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3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24">'24'!$A$1:$K$31</definedName>
    <definedName name="_xlnm.Print_Area" localSheetId="25">'27'!$A$1</definedName>
    <definedName name="_xlnm.Print_Area" localSheetId="26">'28'!$A$1</definedName>
    <definedName name="_xlnm.Print_Area" localSheetId="27">'29'!$A$1</definedName>
    <definedName name="_xlnm.Print_Area" localSheetId="3">'3'!$A$1</definedName>
    <definedName name="_xlnm.Print_Area" localSheetId="28">'30'!$A$1</definedName>
    <definedName name="_xlnm.Print_Area" localSheetId="29">'31'!$A$1</definedName>
    <definedName name="_xlnm.Print_Area" localSheetId="30">'32'!$A$1</definedName>
    <definedName name="_xlnm.Print_Area" localSheetId="31">'33'!$A$1</definedName>
    <definedName name="_xlnm.Print_Area" localSheetId="32">'34'!$A$1</definedName>
    <definedName name="_xlnm.Print_Area" localSheetId="33">'35'!$A$1</definedName>
    <definedName name="_xlnm.Print_Area" localSheetId="34">'36'!$A$1</definedName>
    <definedName name="_xlnm.Print_Area" localSheetId="35">'37'!$A$1</definedName>
    <definedName name="_xlnm.Print_Area" localSheetId="36">'38'!$A$1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'目次'!$A$1:$D$43</definedName>
  </definedNames>
  <calcPr fullCalcOnLoad="1"/>
</workbook>
</file>

<file path=xl/sharedStrings.xml><?xml version="1.0" encoding="utf-8"?>
<sst xmlns="http://schemas.openxmlformats.org/spreadsheetml/2006/main" count="2883" uniqueCount="705">
  <si>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</si>
  <si>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</si>
  <si>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</si>
  <si>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</si>
  <si>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</si>
  <si>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</si>
  <si>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</si>
  <si>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</si>
  <si>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</si>
  <si>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</si>
  <si>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</si>
  <si>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</si>
  <si>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</si>
  <si>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</si>
  <si>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</si>
  <si>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</si>
  <si>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</si>
  <si>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ぼや</t>
  </si>
  <si>
    <t xml:space="preserve"> 罹災世帯数</t>
  </si>
  <si>
    <t xml:space="preserve"> 罹災人員</t>
  </si>
  <si>
    <t>※ 放火自殺によるものを除く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</si>
  <si>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</si>
  <si>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</si>
  <si>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</si>
  <si>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</si>
  <si>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</si>
  <si>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</si>
  <si>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</si>
  <si>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</si>
  <si>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</si>
  <si>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</si>
  <si>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</si>
  <si>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</si>
  <si>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</si>
  <si>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</si>
  <si>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</si>
  <si>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</si>
  <si>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</si>
  <si>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</si>
  <si>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</si>
  <si>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</si>
  <si>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</si>
  <si>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</si>
  <si>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</si>
  <si>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</si>
  <si>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</si>
  <si>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</si>
  <si>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</si>
  <si>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</si>
  <si>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</si>
  <si>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</si>
  <si>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</si>
  <si>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</si>
  <si>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</si>
  <si>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</si>
  <si>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</si>
  <si>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</si>
  <si>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</si>
  <si>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</si>
  <si>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</si>
  <si>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</si>
  <si>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</si>
  <si>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</si>
  <si>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</si>
  <si>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</si>
  <si>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</si>
  <si>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</si>
  <si>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</si>
  <si>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</si>
  <si>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</si>
  <si>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</si>
  <si>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</si>
  <si>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</si>
  <si>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</si>
  <si>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</si>
  <si>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</si>
  <si>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</si>
  <si>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</si>
  <si>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</si>
  <si>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</si>
  <si>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</si>
  <si>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</si>
  <si>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</si>
  <si>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</si>
  <si>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</si>
  <si>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</si>
  <si>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</si>
  <si>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</si>
  <si>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</si>
  <si>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</si>
  <si>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</si>
  <si>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</si>
  <si>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</si>
  <si>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</si>
  <si>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</si>
  <si>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</si>
  <si>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</si>
  <si>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</si>
  <si>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</si>
  <si>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</si>
  <si>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</si>
  <si>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</si>
  <si>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</si>
  <si>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</si>
  <si>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</si>
  <si>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</si>
  <si>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</si>
  <si>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</si>
  <si>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</si>
  <si>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</si>
  <si>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由宇町</t>
  </si>
  <si>
    <t>玖珂町</t>
  </si>
  <si>
    <t>本郷村</t>
  </si>
  <si>
    <t>周東町</t>
  </si>
  <si>
    <t>錦町</t>
  </si>
  <si>
    <t>美川町</t>
  </si>
  <si>
    <t>美和町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</si>
  <si>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</si>
  <si>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</si>
  <si>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</si>
  <si>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</si>
  <si>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</si>
  <si>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</si>
  <si>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</si>
  <si>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</si>
  <si>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</si>
  <si>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</si>
  <si>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</si>
  <si>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</si>
  <si>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</si>
  <si>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</si>
  <si>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</si>
  <si>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</si>
  <si>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</si>
  <si>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</si>
  <si>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</si>
  <si>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</si>
  <si>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</si>
  <si>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</si>
  <si>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</si>
  <si>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</si>
  <si>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</si>
  <si>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</si>
  <si>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</si>
  <si>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</si>
  <si>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</si>
  <si>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</si>
  <si>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</si>
  <si>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</si>
  <si>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</si>
  <si>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</si>
  <si>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</si>
  <si>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</si>
  <si>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</si>
  <si>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</si>
  <si>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</si>
  <si>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</si>
  <si>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</si>
  <si>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</si>
  <si>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</si>
  <si>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</si>
  <si>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</si>
  <si>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</si>
  <si>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</si>
  <si>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</si>
  <si>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</si>
  <si>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</si>
  <si>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</si>
  <si>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</si>
  <si>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</si>
  <si>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</si>
  <si>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</si>
  <si>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</si>
  <si>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</si>
  <si>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</si>
  <si>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</si>
  <si>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</si>
  <si>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</si>
  <si>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</si>
  <si>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</si>
  <si>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</si>
  <si>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</si>
  <si>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</si>
  <si>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</si>
  <si>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</si>
  <si>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</si>
  <si>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</si>
  <si>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</si>
  <si>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</si>
  <si>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</si>
  <si>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</si>
  <si>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</si>
  <si>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</si>
  <si>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</si>
  <si>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</si>
  <si>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</si>
  <si>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</si>
  <si>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</si>
  <si>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</si>
  <si>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</si>
  <si>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</si>
  <si>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</si>
  <si>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</si>
  <si>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</si>
  <si>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</si>
  <si>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</si>
  <si>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</si>
  <si>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</si>
  <si>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</si>
  <si>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</si>
  <si>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</si>
  <si>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</si>
  <si>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</si>
  <si>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</si>
  <si>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</si>
  <si>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</si>
  <si>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</si>
  <si>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</si>
  <si>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</si>
  <si>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</si>
  <si>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</si>
  <si>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</si>
  <si>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</si>
  <si>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</si>
  <si>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</si>
  <si>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</si>
  <si>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</si>
  <si>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</si>
  <si>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</si>
  <si>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</si>
  <si>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</si>
  <si>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</si>
  <si>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</si>
  <si>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</si>
  <si>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</si>
  <si>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</si>
  <si>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</si>
  <si>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</si>
  <si>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</si>
  <si>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</si>
  <si>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</si>
  <si>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</si>
  <si>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</si>
  <si>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</si>
  <si>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</si>
  <si>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</si>
  <si>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</si>
  <si>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</si>
  <si>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</si>
  <si>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</si>
  <si>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</si>
  <si>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</si>
  <si>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</si>
  <si>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</si>
  <si>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</si>
  <si>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</si>
  <si>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</si>
  <si>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</si>
  <si>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</si>
  <si>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</si>
  <si>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</si>
  <si>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</si>
  <si>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</si>
  <si>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</si>
  <si>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</si>
  <si>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</si>
  <si>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</si>
  <si>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</si>
  <si>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</si>
  <si>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</si>
  <si>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</si>
  <si>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</si>
  <si>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</si>
  <si>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</si>
  <si>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</si>
  <si>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</si>
  <si>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</si>
  <si>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</si>
  <si>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</si>
  <si>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</si>
  <si>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</si>
  <si>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</si>
  <si>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</si>
  <si>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</si>
  <si>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</si>
  <si>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</si>
  <si>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</si>
  <si>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</si>
  <si>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</si>
  <si>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</si>
  <si>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</si>
  <si>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</si>
  <si>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</si>
  <si>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</si>
  <si>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</si>
  <si>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</si>
  <si>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</si>
  <si>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</si>
  <si>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</si>
  <si>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</si>
  <si>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</si>
  <si>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</si>
  <si>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</si>
  <si>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</si>
  <si>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</si>
  <si>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</si>
  <si>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</si>
  <si>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</si>
  <si>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</si>
  <si>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</si>
  <si>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</si>
  <si>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</si>
  <si>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</si>
  <si>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</si>
  <si>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</si>
  <si>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</si>
  <si>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</si>
  <si>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</si>
  <si>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</si>
  <si>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</si>
  <si>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</si>
  <si>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</si>
  <si>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</si>
  <si>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</si>
  <si>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</si>
  <si>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</si>
  <si>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</si>
  <si>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</si>
  <si>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</si>
  <si>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</si>
  <si>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</si>
  <si>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</si>
  <si>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</si>
  <si>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</si>
  <si>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</si>
  <si>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</si>
  <si>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</si>
  <si>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</si>
  <si>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</si>
  <si>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</si>
  <si>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</si>
  <si>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</si>
  <si>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</si>
  <si>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</si>
  <si>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</si>
  <si>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</si>
  <si>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</si>
  <si>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</si>
  <si>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</si>
  <si>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</si>
  <si>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</si>
  <si>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</si>
  <si>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</si>
  <si>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</si>
  <si>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</si>
  <si>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</si>
  <si>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</si>
  <si>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</si>
  <si>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</si>
  <si>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</si>
  <si>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</si>
  <si>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</si>
  <si>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</si>
  <si>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</si>
  <si>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</si>
  <si>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</si>
  <si>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</si>
  <si>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</si>
  <si>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</si>
  <si>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</si>
  <si>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</si>
  <si>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</si>
  <si>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</si>
  <si>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</si>
  <si>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</si>
  <si>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</si>
  <si>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</si>
  <si>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</si>
  <si>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</si>
  <si>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</si>
  <si>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</si>
  <si>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</si>
  <si>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</si>
  <si>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</si>
  <si>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</si>
  <si>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宇部市</t>
  </si>
  <si>
    <t>周南市</t>
  </si>
  <si>
    <t>防府市</t>
  </si>
  <si>
    <t>その他の火災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</si>
  <si>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</si>
  <si>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</si>
  <si>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</si>
  <si>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</si>
  <si>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</si>
  <si>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</si>
  <si>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</si>
  <si>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</si>
  <si>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</si>
  <si>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</si>
  <si>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</si>
  <si>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</si>
  <si>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</si>
  <si>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</si>
  <si>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</si>
  <si>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</si>
  <si>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</si>
  <si>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</si>
  <si>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</si>
  <si>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</si>
  <si>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</si>
  <si>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</si>
  <si>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</si>
  <si>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</si>
  <si>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</si>
  <si>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</si>
  <si>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</si>
  <si>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</si>
  <si>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</si>
  <si>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</si>
  <si>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</si>
  <si>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</si>
  <si>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</si>
  <si>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</si>
  <si>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</si>
  <si>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</si>
  <si>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</si>
  <si>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</si>
  <si>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</si>
  <si>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</si>
  <si>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</si>
  <si>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</si>
  <si>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</si>
  <si>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</si>
  <si>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</si>
  <si>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</si>
  <si>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</si>
  <si>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</si>
  <si>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</si>
  <si>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</si>
  <si>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</si>
  <si>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</si>
  <si>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</si>
  <si>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</si>
  <si>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</si>
  <si>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</si>
  <si>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</si>
  <si>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</si>
  <si>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</si>
  <si>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</si>
  <si>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</si>
  <si>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</si>
  <si>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</si>
  <si>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</si>
  <si>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</si>
  <si>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</si>
  <si>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</si>
  <si>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</si>
  <si>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</si>
  <si>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</si>
  <si>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</si>
  <si>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</si>
  <si>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</si>
  <si>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</si>
  <si>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</si>
  <si>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</si>
  <si>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</si>
  <si>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</si>
  <si>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</si>
  <si>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</si>
  <si>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</si>
  <si>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</si>
  <si>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</si>
  <si>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</si>
  <si>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</si>
  <si>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</si>
  <si>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</si>
  <si>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</si>
  <si>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</si>
  <si>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H16</t>
  </si>
  <si>
    <t>光市</t>
  </si>
  <si>
    <t>周防大島町</t>
  </si>
  <si>
    <t>16：20</t>
  </si>
  <si>
    <t>02月13日</t>
  </si>
  <si>
    <t>その他の火災</t>
  </si>
  <si>
    <t>木造</t>
  </si>
  <si>
    <t>居室</t>
  </si>
  <si>
    <t>その他</t>
  </si>
  <si>
    <t>台所</t>
  </si>
  <si>
    <t>敷地内</t>
  </si>
  <si>
    <t>田畑</t>
  </si>
  <si>
    <t>部分焼</t>
  </si>
  <si>
    <t>放火自殺</t>
  </si>
  <si>
    <t>着衣着火</t>
  </si>
  <si>
    <t>逃げ遅れ</t>
  </si>
  <si>
    <t>放火自殺（心中の道づれを含む）</t>
  </si>
  <si>
    <t>病気・身体不自由</t>
  </si>
  <si>
    <t>不明・調査中</t>
  </si>
  <si>
    <t>熟睡</t>
  </si>
  <si>
    <t>たき火中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</si>
  <si>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</si>
  <si>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</si>
  <si>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</si>
  <si>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</si>
  <si>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</si>
  <si>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</si>
  <si>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</si>
  <si>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</si>
  <si>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</si>
  <si>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</si>
  <si>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</si>
  <si>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16</t>
  </si>
  <si>
    <t>32</t>
  </si>
  <si>
    <t>71</t>
  </si>
  <si>
    <t>65</t>
  </si>
  <si>
    <t>57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</si>
  <si>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</si>
  <si>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</si>
  <si>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</si>
  <si>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</si>
  <si>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</si>
  <si>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</si>
  <si>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</si>
  <si>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</si>
  <si>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9</t>
  </si>
  <si>
    <t>69</t>
  </si>
  <si>
    <t>21</t>
  </si>
  <si>
    <t>38</t>
  </si>
  <si>
    <t>41</t>
  </si>
  <si>
    <t>37</t>
  </si>
  <si>
    <t>48</t>
  </si>
  <si>
    <t>たばこ</t>
  </si>
  <si>
    <t>石油・ガソリンストーブ
（開放式）</t>
  </si>
  <si>
    <t>石油・ガソリンストーブ
（開放式）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</si>
  <si>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</si>
  <si>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</si>
  <si>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</si>
  <si>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</si>
  <si>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</si>
  <si>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</si>
  <si>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</si>
  <si>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</si>
  <si>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</si>
  <si>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</si>
  <si>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</si>
  <si>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</si>
  <si>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</si>
  <si>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</si>
  <si>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</si>
  <si>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</si>
  <si>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</si>
  <si>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</si>
  <si>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</si>
  <si>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
火　災　種　別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</si>
  <si>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</si>
  <si>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Ｂ</t>
    </r>
  </si>
  <si>
    <r>
      <t>平　成　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　年　月　別</t>
    </r>
  </si>
  <si>
    <t>平 成 17 年 　 主 な 火 災 概 況</t>
  </si>
  <si>
    <t xml:space="preserve">平 成 17 年 　 火 災 に よ る </t>
  </si>
  <si>
    <t xml:space="preserve">平  成  17  年  市　町　村　別 </t>
  </si>
  <si>
    <t>平 成 17 年 　 火 災 に よ る 死 者 の 状 況</t>
  </si>
  <si>
    <t>H17</t>
  </si>
  <si>
    <t>平成１７年　時間帯別放火火災件数</t>
  </si>
  <si>
    <t>平成１７年　放火火災被害状況</t>
  </si>
  <si>
    <t>平成１７年天ぷらによる火災原因</t>
  </si>
  <si>
    <t>平成１７年たき火による火災原因</t>
  </si>
  <si>
    <t>平成１７年たばこによる火災原因</t>
  </si>
  <si>
    <t>H17</t>
  </si>
  <si>
    <t>周防大島町</t>
  </si>
  <si>
    <t>全焼</t>
  </si>
  <si>
    <t>河川敷等</t>
  </si>
  <si>
    <t>01月17日</t>
  </si>
  <si>
    <t>01月22日</t>
  </si>
  <si>
    <t>01月24日</t>
  </si>
  <si>
    <t>旧旭村</t>
  </si>
  <si>
    <t>02月01日</t>
  </si>
  <si>
    <t>柳井市</t>
  </si>
  <si>
    <t>電気こたつ</t>
  </si>
  <si>
    <t>採暖中（除くたき火）</t>
  </si>
  <si>
    <t>02月16日</t>
  </si>
  <si>
    <t>02月23日</t>
  </si>
  <si>
    <t>判断力、体力条件の要素</t>
  </si>
  <si>
    <t>03月09日</t>
  </si>
  <si>
    <t>03月18日</t>
  </si>
  <si>
    <t>和木町</t>
  </si>
  <si>
    <t>準耐火
建築物</t>
  </si>
  <si>
    <t>電気ストーブ　・火鉢</t>
  </si>
  <si>
    <t>石油．ガソリン・こんろ</t>
  </si>
  <si>
    <t>04月29日</t>
  </si>
  <si>
    <t>05月05日</t>
  </si>
  <si>
    <t>乗用車</t>
  </si>
  <si>
    <t>05月25日</t>
  </si>
  <si>
    <t>耐火
建築物</t>
  </si>
  <si>
    <t>ぼや</t>
  </si>
  <si>
    <t>４／0</t>
  </si>
  <si>
    <t>電気クッキングヒ－タ－</t>
  </si>
  <si>
    <t>05月31日</t>
  </si>
  <si>
    <t>06月08日</t>
  </si>
  <si>
    <t>貨物車</t>
  </si>
  <si>
    <t>車体等の衝撃火花</t>
  </si>
  <si>
    <t>06月0１日</t>
  </si>
  <si>
    <t>浴室</t>
  </si>
  <si>
    <t>枯れ草焼</t>
  </si>
  <si>
    <t>06月24日</t>
  </si>
  <si>
    <t>消火中</t>
  </si>
  <si>
    <t>逃げる機会を失った</t>
  </si>
  <si>
    <t>06月09日</t>
  </si>
  <si>
    <t>07月06日</t>
  </si>
  <si>
    <t>廊下</t>
  </si>
  <si>
    <t>08月06日</t>
  </si>
  <si>
    <t>3／0</t>
  </si>
  <si>
    <t>08月08日</t>
  </si>
  <si>
    <t>08月17日</t>
  </si>
  <si>
    <t>火のついた紙</t>
  </si>
  <si>
    <t>下松市</t>
  </si>
  <si>
    <t>光市</t>
  </si>
  <si>
    <t>12月16日</t>
  </si>
  <si>
    <t>12月19日</t>
  </si>
  <si>
    <t>持ち出品・服装に気をとられて</t>
  </si>
  <si>
    <t>12月25日</t>
  </si>
  <si>
    <t>12月26日</t>
  </si>
  <si>
    <t>2／0</t>
  </si>
  <si>
    <t>01月11日</t>
  </si>
  <si>
    <t>旧油谷町</t>
  </si>
  <si>
    <t>店舗（飲食店）</t>
  </si>
  <si>
    <t>長門市</t>
  </si>
  <si>
    <t>02月27日</t>
  </si>
  <si>
    <t>養畜舎</t>
  </si>
  <si>
    <t>その他電気機器</t>
  </si>
  <si>
    <t>03月04日</t>
  </si>
  <si>
    <t>宇部市</t>
  </si>
  <si>
    <t>ガステ－ブル</t>
  </si>
  <si>
    <t>03月21日</t>
  </si>
  <si>
    <t>ロ－ソク</t>
  </si>
  <si>
    <t>04月20日</t>
  </si>
  <si>
    <t>倉庫</t>
  </si>
  <si>
    <t>05月12日</t>
  </si>
  <si>
    <t>モルタルラス</t>
  </si>
  <si>
    <t>05月19日</t>
  </si>
  <si>
    <t>05月22日</t>
  </si>
  <si>
    <t>05月27日</t>
  </si>
  <si>
    <t>電気クッキングヒ－タ</t>
  </si>
  <si>
    <t>06月29日</t>
  </si>
  <si>
    <t>岩国市</t>
  </si>
  <si>
    <t>07月27日</t>
  </si>
  <si>
    <t>08月07日</t>
  </si>
  <si>
    <t>09月04日</t>
  </si>
  <si>
    <t>10月24日</t>
  </si>
  <si>
    <t>工場</t>
  </si>
  <si>
    <t>溶接機・切断機</t>
  </si>
  <si>
    <t>11月06日</t>
  </si>
  <si>
    <t>11月11日</t>
  </si>
  <si>
    <t>作業場</t>
  </si>
  <si>
    <t>11月21日</t>
  </si>
  <si>
    <t>11月26日</t>
  </si>
  <si>
    <t>12月05日</t>
  </si>
  <si>
    <t>12月25日</t>
  </si>
  <si>
    <t>12月28日</t>
  </si>
  <si>
    <t>消し炭薪</t>
  </si>
  <si>
    <t>平成１７年　都道府県別出火件数</t>
  </si>
  <si>
    <t>平成１７年　都道府県別出火率</t>
  </si>
  <si>
    <t>平成１７年　都道府県別死者数</t>
  </si>
  <si>
    <t>平成１７年　都道府県別死者発生率</t>
  </si>
  <si>
    <t>平成１７年　市町村別出火率</t>
  </si>
  <si>
    <t>平成１７年　市町村別１件当たり損害額</t>
  </si>
  <si>
    <t>平成１７年　火災概況</t>
  </si>
  <si>
    <t>平成１７年　主な火災（１０００万以上）</t>
  </si>
  <si>
    <t>平成１７年　火災による死者の発生状況</t>
  </si>
  <si>
    <t>平成１７年　火災による死者の状況</t>
  </si>
  <si>
    <t>平成１７年　市町村別火災発生被害状況</t>
  </si>
  <si>
    <t>平成１７年　天ぷら油を火災原因とする要因別構成割合</t>
  </si>
  <si>
    <t>平成１７年　たき火を火災原因とする要因別構成割合</t>
  </si>
  <si>
    <t>平成１７年　たばこを火災原因とする要因別構成割合</t>
  </si>
  <si>
    <t>平成１７年　時間帯別放火火災件数</t>
  </si>
  <si>
    <t>平成１７年　放火火災被害状況</t>
  </si>
  <si>
    <t>平成１７年　火災種別火災発生割合</t>
  </si>
  <si>
    <t>平成１７年　火災種別火災損害割合</t>
  </si>
  <si>
    <t>平成１７年　月別出火火災件数（全火災・建物火災）</t>
  </si>
  <si>
    <t>平成１７年　建物火災の主な源別構成割合</t>
  </si>
  <si>
    <t>平成１７年　全火災の主な出火原因</t>
  </si>
  <si>
    <t>平成１７年　時間帯別放火火災件数</t>
  </si>
  <si>
    <t>-</t>
  </si>
  <si>
    <t>-</t>
  </si>
  <si>
    <t>-</t>
  </si>
  <si>
    <t>-</t>
  </si>
  <si>
    <t>山陽小野田市</t>
  </si>
  <si>
    <t>周南市</t>
  </si>
  <si>
    <t>周防
大島町</t>
  </si>
  <si>
    <t>月別乾燥注意報等発令日数及び火災発生状況（平成１５～１７年）</t>
  </si>
  <si>
    <t>複合用途
（非特定）</t>
  </si>
  <si>
    <t>旅館</t>
  </si>
  <si>
    <t>04月12日</t>
  </si>
  <si>
    <t>11月03日</t>
  </si>
  <si>
    <t>11月19日</t>
  </si>
  <si>
    <t>12月06日</t>
  </si>
  <si>
    <t>マッチ・ライター</t>
  </si>
  <si>
    <t>電気スト－ブ</t>
  </si>
  <si>
    <t>08月19日</t>
  </si>
  <si>
    <t>02月06日</t>
  </si>
  <si>
    <t>09月27日</t>
  </si>
  <si>
    <t>市町村人口（H18.1.1）</t>
  </si>
  <si>
    <t>複合用途（特定）</t>
  </si>
  <si>
    <t>10年間平均
（Ｈ7～Ｈ16）
Ｃ</t>
  </si>
  <si>
    <t>下関市</t>
  </si>
  <si>
    <t>長門市</t>
  </si>
  <si>
    <t>放火火災件数の推移（放火の疑いを含む）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</si>
</sst>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[&lt;=999]000;[&lt;=99999]000\-00;000\-0000"/>
  </numFmts>
  <fonts count="4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1.75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5"/>
      <name val="ＭＳ 明朝"/>
      <family val="1"/>
    </font>
    <font>
      <sz val="8.2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7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2" fillId="0" borderId="0" applyNumberFormat="0" applyFill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 horizontal="center" vertical="top" textRotation="255" wrapText="1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top" textRotation="255" wrapText="1"/>
    </xf>
    <xf numFmtId="187" fontId="0" fillId="0" borderId="4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87" fontId="0" fillId="0" borderId="3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2" xfId="0" applyNumberFormat="1" applyFont="1" applyFill="1" applyBorder="1" applyAlignment="1">
      <alignment horizontal="right" vertical="center"/>
    </xf>
    <xf numFmtId="193" fontId="2" fillId="0" borderId="31" xfId="0" applyNumberFormat="1" applyFont="1" applyFill="1" applyBorder="1" applyAlignment="1">
      <alignment horizontal="right" vertical="center"/>
    </xf>
    <xf numFmtId="193" fontId="2" fillId="0" borderId="33" xfId="0" applyNumberFormat="1" applyFont="1" applyFill="1" applyBorder="1" applyAlignment="1">
      <alignment horizontal="right" vertical="center"/>
    </xf>
    <xf numFmtId="193" fontId="2" fillId="0" borderId="34" xfId="0" applyNumberFormat="1" applyFont="1" applyFill="1" applyBorder="1" applyAlignment="1">
      <alignment horizontal="right" vertical="center"/>
    </xf>
    <xf numFmtId="193" fontId="2" fillId="0" borderId="35" xfId="0" applyNumberFormat="1" applyFont="1" applyFill="1" applyBorder="1" applyAlignment="1">
      <alignment horizontal="right" vertical="center"/>
    </xf>
    <xf numFmtId="193" fontId="2" fillId="0" borderId="36" xfId="0" applyNumberFormat="1" applyFont="1" applyFill="1" applyBorder="1" applyAlignment="1">
      <alignment horizontal="right" vertical="center"/>
    </xf>
    <xf numFmtId="193" fontId="2" fillId="0" borderId="37" xfId="0" applyNumberFormat="1" applyFont="1" applyFill="1" applyBorder="1" applyAlignment="1">
      <alignment horizontal="right" vertical="center"/>
    </xf>
    <xf numFmtId="193" fontId="2" fillId="0" borderId="38" xfId="0" applyNumberFormat="1" applyFont="1" applyFill="1" applyBorder="1" applyAlignment="1">
      <alignment horizontal="right" vertical="center"/>
    </xf>
    <xf numFmtId="193" fontId="2" fillId="0" borderId="4" xfId="0" applyNumberFormat="1" applyFont="1" applyFill="1" applyBorder="1" applyAlignment="1">
      <alignment horizontal="right" vertical="center"/>
    </xf>
    <xf numFmtId="193" fontId="2" fillId="0" borderId="30" xfId="0" applyNumberFormat="1" applyFont="1" applyFill="1" applyBorder="1" applyAlignment="1">
      <alignment horizontal="right" vertical="center"/>
    </xf>
    <xf numFmtId="193" fontId="2" fillId="0" borderId="32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93" fontId="2" fillId="0" borderId="39" xfId="0" applyNumberFormat="1" applyFont="1" applyFill="1" applyBorder="1" applyAlignment="1">
      <alignment horizontal="right" vertical="center"/>
    </xf>
    <xf numFmtId="193" fontId="2" fillId="0" borderId="40" xfId="0" applyNumberFormat="1" applyFont="1" applyFill="1" applyBorder="1" applyAlignment="1">
      <alignment horizontal="right" vertical="center"/>
    </xf>
    <xf numFmtId="193" fontId="2" fillId="0" borderId="41" xfId="0" applyNumberFormat="1" applyFont="1" applyFill="1" applyBorder="1" applyAlignment="1">
      <alignment horizontal="right"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5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193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38" fontId="42" fillId="0" borderId="0" xfId="17" applyFont="1" applyFill="1" applyBorder="1" applyAlignment="1">
      <alignment horizontal="center" vertical="center" wrapText="1"/>
    </xf>
    <xf numFmtId="193" fontId="2" fillId="0" borderId="1" xfId="17" applyNumberFormat="1" applyFont="1" applyFill="1" applyBorder="1" applyAlignment="1">
      <alignment horizontal="right" vertical="center"/>
    </xf>
    <xf numFmtId="193" fontId="2" fillId="0" borderId="44" xfId="17" applyNumberFormat="1" applyFont="1" applyFill="1" applyBorder="1" applyAlignment="1">
      <alignment horizontal="right" vertical="center"/>
    </xf>
    <xf numFmtId="193" fontId="2" fillId="0" borderId="45" xfId="17" applyNumberFormat="1" applyFont="1" applyFill="1" applyBorder="1" applyAlignment="1">
      <alignment horizontal="right" vertical="center"/>
    </xf>
    <xf numFmtId="193" fontId="2" fillId="0" borderId="46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19" xfId="0" applyFont="1" applyFill="1" applyBorder="1" applyAlignment="1">
      <alignment horizontal="center" vertical="top" textRotation="255" wrapText="1"/>
    </xf>
    <xf numFmtId="0" fontId="18" fillId="0" borderId="32" xfId="0" applyFont="1" applyFill="1" applyBorder="1" applyAlignment="1">
      <alignment horizontal="center" vertical="top" textRotation="255" wrapText="1"/>
    </xf>
    <xf numFmtId="0" fontId="18" fillId="0" borderId="23" xfId="0" applyFont="1" applyFill="1" applyBorder="1" applyAlignment="1">
      <alignment horizontal="center" vertical="top" textRotation="255" wrapText="1"/>
    </xf>
    <xf numFmtId="0" fontId="18" fillId="0" borderId="19" xfId="0" applyFont="1" applyFill="1" applyBorder="1" applyAlignment="1">
      <alignment horizontal="center" vertical="top" textRotation="255" wrapText="1"/>
    </xf>
    <xf numFmtId="0" fontId="18" fillId="0" borderId="20" xfId="0" applyFont="1" applyFill="1" applyBorder="1" applyAlignment="1">
      <alignment horizontal="center" vertical="top" textRotation="255" wrapText="1"/>
    </xf>
    <xf numFmtId="0" fontId="18" fillId="0" borderId="18" xfId="0" applyFont="1" applyFill="1" applyBorder="1" applyAlignment="1">
      <alignment horizontal="center" vertical="top" textRotation="255" wrapText="1"/>
    </xf>
    <xf numFmtId="0" fontId="18" fillId="0" borderId="47" xfId="0" applyFont="1" applyFill="1" applyBorder="1" applyAlignment="1">
      <alignment horizontal="center" vertical="top" textRotation="255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4" borderId="0" xfId="0" applyFill="1" applyBorder="1" applyAlignment="1">
      <alignment/>
    </xf>
    <xf numFmtId="193" fontId="2" fillId="0" borderId="16" xfId="17" applyNumberFormat="1" applyFont="1" applyFill="1" applyBorder="1" applyAlignment="1">
      <alignment horizontal="right" vertical="center"/>
    </xf>
    <xf numFmtId="193" fontId="2" fillId="0" borderId="13" xfId="17" applyNumberFormat="1" applyFont="1" applyFill="1" applyBorder="1" applyAlignment="1">
      <alignment horizontal="right" vertical="center"/>
    </xf>
    <xf numFmtId="193" fontId="2" fillId="0" borderId="39" xfId="17" applyNumberFormat="1" applyFont="1" applyFill="1" applyBorder="1" applyAlignment="1">
      <alignment horizontal="right" vertical="center"/>
    </xf>
    <xf numFmtId="193" fontId="2" fillId="0" borderId="50" xfId="17" applyNumberFormat="1" applyFont="1" applyFill="1" applyBorder="1" applyAlignment="1">
      <alignment horizontal="right" vertical="center"/>
    </xf>
    <xf numFmtId="193" fontId="2" fillId="0" borderId="40" xfId="17" applyNumberFormat="1" applyFont="1" applyFill="1" applyBorder="1" applyAlignment="1">
      <alignment horizontal="right" vertical="center"/>
    </xf>
    <xf numFmtId="193" fontId="2" fillId="0" borderId="41" xfId="17" applyNumberFormat="1" applyFont="1" applyFill="1" applyBorder="1" applyAlignment="1">
      <alignment horizontal="right" vertical="center"/>
    </xf>
    <xf numFmtId="193" fontId="2" fillId="0" borderId="8" xfId="17" applyNumberFormat="1" applyFont="1" applyFill="1" applyBorder="1" applyAlignment="1">
      <alignment horizontal="right" vertical="center"/>
    </xf>
    <xf numFmtId="193" fontId="2" fillId="0" borderId="5" xfId="17" applyNumberFormat="1" applyFont="1" applyFill="1" applyBorder="1" applyAlignment="1">
      <alignment horizontal="right" vertical="center"/>
    </xf>
    <xf numFmtId="193" fontId="2" fillId="0" borderId="35" xfId="17" applyNumberFormat="1" applyFont="1" applyFill="1" applyBorder="1" applyAlignment="1">
      <alignment horizontal="right" vertical="center"/>
    </xf>
    <xf numFmtId="193" fontId="2" fillId="0" borderId="36" xfId="17" applyNumberFormat="1" applyFont="1" applyFill="1" applyBorder="1" applyAlignment="1">
      <alignment horizontal="right" vertical="center"/>
    </xf>
    <xf numFmtId="193" fontId="2" fillId="0" borderId="38" xfId="17" applyNumberFormat="1" applyFont="1" applyFill="1" applyBorder="1" applyAlignment="1">
      <alignment horizontal="right" vertical="center"/>
    </xf>
    <xf numFmtId="193" fontId="2" fillId="0" borderId="4" xfId="17" applyNumberFormat="1" applyFont="1" applyFill="1" applyBorder="1" applyAlignment="1">
      <alignment horizontal="right" vertical="center"/>
    </xf>
    <xf numFmtId="193" fontId="2" fillId="0" borderId="12" xfId="17" applyNumberFormat="1" applyFont="1" applyFill="1" applyBorder="1" applyAlignment="1">
      <alignment horizontal="right" vertical="center"/>
    </xf>
    <xf numFmtId="193" fontId="2" fillId="0" borderId="19" xfId="1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3" fontId="2" fillId="0" borderId="50" xfId="0" applyNumberFormat="1" applyFont="1" applyFill="1" applyBorder="1" applyAlignment="1">
      <alignment horizontal="right" vertical="center"/>
    </xf>
    <xf numFmtId="193" fontId="2" fillId="0" borderId="37" xfId="17" applyNumberFormat="1" applyFont="1" applyFill="1" applyBorder="1" applyAlignment="1">
      <alignment horizontal="right" vertical="center"/>
    </xf>
    <xf numFmtId="193" fontId="2" fillId="0" borderId="30" xfId="17" applyNumberFormat="1" applyFont="1" applyFill="1" applyBorder="1" applyAlignment="1">
      <alignment horizontal="right" vertical="center"/>
    </xf>
    <xf numFmtId="193" fontId="2" fillId="0" borderId="31" xfId="17" applyNumberFormat="1" applyFont="1" applyFill="1" applyBorder="1" applyAlignment="1">
      <alignment horizontal="right" vertical="center"/>
    </xf>
    <xf numFmtId="193" fontId="2" fillId="0" borderId="32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190" fontId="8" fillId="0" borderId="66" xfId="0" applyNumberFormat="1" applyFont="1" applyFill="1" applyBorder="1" applyAlignment="1">
      <alignment horizontal="right" vertical="center" wrapText="1"/>
    </xf>
    <xf numFmtId="190" fontId="8" fillId="0" borderId="40" xfId="0" applyNumberFormat="1" applyFont="1" applyFill="1" applyBorder="1" applyAlignment="1">
      <alignment horizontal="right" vertical="center" wrapText="1"/>
    </xf>
    <xf numFmtId="190" fontId="8" fillId="0" borderId="67" xfId="0" applyNumberFormat="1" applyFont="1" applyFill="1" applyBorder="1" applyAlignment="1">
      <alignment horizontal="right" vertical="center" wrapText="1"/>
    </xf>
    <xf numFmtId="190" fontId="8" fillId="0" borderId="62" xfId="0" applyNumberFormat="1" applyFont="1" applyFill="1" applyBorder="1" applyAlignment="1">
      <alignment horizontal="right" vertical="center" wrapText="1"/>
    </xf>
    <xf numFmtId="190" fontId="8" fillId="0" borderId="63" xfId="0" applyNumberFormat="1" applyFont="1" applyFill="1" applyBorder="1" applyAlignment="1">
      <alignment horizontal="right" vertical="center" wrapText="1"/>
    </xf>
    <xf numFmtId="190" fontId="8" fillId="0" borderId="68" xfId="0" applyNumberFormat="1" applyFont="1" applyFill="1" applyBorder="1" applyAlignment="1">
      <alignment horizontal="right" vertical="center" wrapText="1"/>
    </xf>
    <xf numFmtId="190" fontId="8" fillId="0" borderId="69" xfId="0" applyNumberFormat="1" applyFont="1" applyFill="1" applyBorder="1" applyAlignment="1">
      <alignment horizontal="right" vertical="center" wrapText="1"/>
    </xf>
    <xf numFmtId="190" fontId="8" fillId="0" borderId="70" xfId="0" applyNumberFormat="1" applyFont="1" applyFill="1" applyBorder="1" applyAlignment="1">
      <alignment horizontal="right" vertical="center" wrapText="1"/>
    </xf>
    <xf numFmtId="190" fontId="8" fillId="0" borderId="60" xfId="0" applyNumberFormat="1" applyFont="1" applyFill="1" applyBorder="1" applyAlignment="1">
      <alignment horizontal="right" vertical="center" wrapText="1"/>
    </xf>
    <xf numFmtId="190" fontId="8" fillId="0" borderId="7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textRotation="255" wrapText="1"/>
    </xf>
    <xf numFmtId="0" fontId="8" fillId="0" borderId="74" xfId="0" applyFont="1" applyFill="1" applyBorder="1" applyAlignment="1">
      <alignment horizontal="center" vertical="center" textRotation="255" wrapText="1"/>
    </xf>
    <xf numFmtId="0" fontId="8" fillId="0" borderId="65" xfId="0" applyFont="1" applyFill="1" applyBorder="1" applyAlignment="1">
      <alignment horizontal="center" vertical="center" textRotation="255" wrapText="1"/>
    </xf>
    <xf numFmtId="190" fontId="8" fillId="0" borderId="68" xfId="0" applyNumberFormat="1" applyFont="1" applyFill="1" applyBorder="1" applyAlignment="1">
      <alignment vertical="center"/>
    </xf>
    <xf numFmtId="190" fontId="8" fillId="0" borderId="16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31" xfId="0" applyNumberFormat="1" applyFont="1" applyFill="1" applyBorder="1" applyAlignment="1">
      <alignment vertical="center"/>
    </xf>
    <xf numFmtId="190" fontId="8" fillId="0" borderId="75" xfId="0" applyNumberFormat="1" applyFont="1" applyFill="1" applyBorder="1" applyAlignment="1">
      <alignment vertical="center"/>
    </xf>
    <xf numFmtId="190" fontId="8" fillId="0" borderId="39" xfId="0" applyNumberFormat="1" applyFont="1" applyFill="1" applyBorder="1" applyAlignment="1">
      <alignment vertical="center"/>
    </xf>
    <xf numFmtId="190" fontId="8" fillId="0" borderId="34" xfId="0" applyNumberFormat="1" applyFont="1" applyFill="1" applyBorder="1" applyAlignment="1">
      <alignment vertical="center"/>
    </xf>
    <xf numFmtId="190" fontId="8" fillId="0" borderId="49" xfId="0" applyNumberFormat="1" applyFont="1" applyFill="1" applyBorder="1" applyAlignment="1">
      <alignment vertical="center"/>
    </xf>
    <xf numFmtId="190" fontId="8" fillId="0" borderId="76" xfId="0" applyNumberFormat="1" applyFont="1" applyFill="1" applyBorder="1" applyAlignment="1">
      <alignment vertical="center"/>
    </xf>
    <xf numFmtId="190" fontId="8" fillId="0" borderId="57" xfId="0" applyNumberFormat="1" applyFont="1" applyFill="1" applyBorder="1" applyAlignment="1">
      <alignment vertical="center"/>
    </xf>
    <xf numFmtId="190" fontId="8" fillId="0" borderId="24" xfId="0" applyNumberFormat="1" applyFont="1" applyFill="1" applyBorder="1" applyAlignment="1">
      <alignment vertical="center"/>
    </xf>
    <xf numFmtId="190" fontId="8" fillId="0" borderId="56" xfId="0" applyNumberFormat="1" applyFont="1" applyFill="1" applyBorder="1" applyAlignment="1">
      <alignment vertical="center"/>
    </xf>
    <xf numFmtId="190" fontId="8" fillId="0" borderId="66" xfId="0" applyNumberFormat="1" applyFont="1" applyFill="1" applyBorder="1" applyAlignment="1">
      <alignment vertical="center"/>
    </xf>
    <xf numFmtId="190" fontId="8" fillId="0" borderId="70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190" fontId="8" fillId="0" borderId="37" xfId="0" applyNumberFormat="1" applyFont="1" applyFill="1" applyBorder="1" applyAlignment="1">
      <alignment vertical="center"/>
    </xf>
    <xf numFmtId="190" fontId="8" fillId="0" borderId="67" xfId="0" applyNumberFormat="1" applyFont="1" applyFill="1" applyBorder="1" applyAlignment="1">
      <alignment vertical="center"/>
    </xf>
    <xf numFmtId="190" fontId="8" fillId="0" borderId="77" xfId="0" applyNumberFormat="1" applyFont="1" applyFill="1" applyBorder="1" applyAlignment="1">
      <alignment vertical="center"/>
    </xf>
    <xf numFmtId="190" fontId="8" fillId="0" borderId="62" xfId="0" applyNumberFormat="1" applyFont="1" applyFill="1" applyBorder="1" applyAlignment="1">
      <alignment vertical="center"/>
    </xf>
    <xf numFmtId="190" fontId="8" fillId="0" borderId="63" xfId="0" applyNumberFormat="1" applyFont="1" applyFill="1" applyBorder="1" applyAlignment="1">
      <alignment vertical="center"/>
    </xf>
    <xf numFmtId="190" fontId="8" fillId="0" borderId="69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80" xfId="0" applyNumberFormat="1" applyFont="1" applyFill="1" applyBorder="1" applyAlignment="1">
      <alignment vertical="center"/>
    </xf>
    <xf numFmtId="190" fontId="8" fillId="0" borderId="13" xfId="0" applyNumberFormat="1" applyFont="1" applyFill="1" applyBorder="1" applyAlignment="1">
      <alignment vertical="center"/>
    </xf>
    <xf numFmtId="190" fontId="8" fillId="0" borderId="33" xfId="0" applyNumberFormat="1" applyFont="1" applyFill="1" applyBorder="1" applyAlignment="1">
      <alignment vertical="center"/>
    </xf>
    <xf numFmtId="190" fontId="8" fillId="0" borderId="44" xfId="0" applyNumberFormat="1" applyFont="1" applyFill="1" applyBorder="1" applyAlignment="1">
      <alignment vertical="center"/>
    </xf>
    <xf numFmtId="190" fontId="8" fillId="0" borderId="81" xfId="0" applyNumberFormat="1" applyFont="1" applyFill="1" applyBorder="1" applyAlignment="1">
      <alignment vertical="center"/>
    </xf>
    <xf numFmtId="190" fontId="8" fillId="0" borderId="50" xfId="0" applyNumberFormat="1" applyFont="1" applyFill="1" applyBorder="1" applyAlignment="1">
      <alignment vertical="center"/>
    </xf>
    <xf numFmtId="190" fontId="8" fillId="0" borderId="55" xfId="0" applyNumberFormat="1" applyFont="1" applyFill="1" applyBorder="1" applyAlignment="1">
      <alignment vertical="center"/>
    </xf>
    <xf numFmtId="190" fontId="8" fillId="0" borderId="82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>
      <alignment vertical="center"/>
    </xf>
    <xf numFmtId="190" fontId="8" fillId="0" borderId="26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45" xfId="0" applyNumberFormat="1" applyFont="1" applyFill="1" applyBorder="1" applyAlignment="1">
      <alignment vertical="center"/>
    </xf>
    <xf numFmtId="190" fontId="8" fillId="0" borderId="84" xfId="0" applyNumberFormat="1" applyFont="1" applyFill="1" applyBorder="1" applyAlignment="1">
      <alignment vertical="center"/>
    </xf>
    <xf numFmtId="190" fontId="8" fillId="0" borderId="41" xfId="0" applyNumberFormat="1" applyFont="1" applyFill="1" applyBorder="1" applyAlignment="1">
      <alignment vertical="center"/>
    </xf>
    <xf numFmtId="190" fontId="8" fillId="0" borderId="38" xfId="0" applyNumberFormat="1" applyFont="1" applyFill="1" applyBorder="1" applyAlignment="1">
      <alignment vertical="center"/>
    </xf>
    <xf numFmtId="190" fontId="8" fillId="0" borderId="85" xfId="0" applyNumberFormat="1" applyFont="1" applyFill="1" applyBorder="1" applyAlignment="1">
      <alignment vertical="center"/>
    </xf>
    <xf numFmtId="190" fontId="8" fillId="0" borderId="86" xfId="0" applyNumberFormat="1" applyFont="1" applyFill="1" applyBorder="1" applyAlignment="1">
      <alignment vertical="center"/>
    </xf>
    <xf numFmtId="190" fontId="8" fillId="0" borderId="87" xfId="0" applyNumberFormat="1" applyFont="1" applyFill="1" applyBorder="1" applyAlignment="1">
      <alignment vertical="center"/>
    </xf>
    <xf numFmtId="190" fontId="8" fillId="0" borderId="61" xfId="0" applyNumberFormat="1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17" applyFont="1" applyFill="1" applyAlignment="1">
      <alignment horizontal="center" vertical="center"/>
    </xf>
    <xf numFmtId="38" fontId="2" fillId="0" borderId="0" xfId="17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/>
    </xf>
    <xf numFmtId="38" fontId="18" fillId="0" borderId="89" xfId="17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17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91" xfId="0" applyFont="1" applyFill="1" applyBorder="1" applyAlignment="1">
      <alignment horizontal="distributed" vertical="center"/>
    </xf>
    <xf numFmtId="38" fontId="0" fillId="0" borderId="92" xfId="17" applyFont="1" applyFill="1" applyBorder="1" applyAlignment="1">
      <alignment vertical="center"/>
    </xf>
    <xf numFmtId="38" fontId="0" fillId="0" borderId="93" xfId="17" applyFont="1" applyFill="1" applyBorder="1" applyAlignment="1">
      <alignment vertical="center"/>
    </xf>
    <xf numFmtId="38" fontId="0" fillId="0" borderId="93" xfId="17" applyFont="1" applyFill="1" applyBorder="1" applyAlignment="1">
      <alignment horizontal="right" vertical="center"/>
    </xf>
    <xf numFmtId="38" fontId="0" fillId="0" borderId="94" xfId="17" applyFont="1" applyFill="1" applyBorder="1" applyAlignment="1">
      <alignment horizontal="right" vertical="center"/>
    </xf>
    <xf numFmtId="38" fontId="0" fillId="0" borderId="95" xfId="17" applyFont="1" applyFill="1" applyBorder="1" applyAlignment="1">
      <alignment horizontal="right" vertical="center"/>
    </xf>
    <xf numFmtId="38" fontId="0" fillId="0" borderId="96" xfId="17" applyFont="1" applyFill="1" applyBorder="1" applyAlignment="1">
      <alignment horizontal="right" vertical="center"/>
    </xf>
    <xf numFmtId="38" fontId="0" fillId="0" borderId="92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2" fillId="0" borderId="98" xfId="0" applyFont="1" applyFill="1" applyBorder="1" applyAlignment="1">
      <alignment horizontal="distributed" vertical="center"/>
    </xf>
    <xf numFmtId="0" fontId="2" fillId="0" borderId="99" xfId="0" applyFont="1" applyFill="1" applyBorder="1" applyAlignment="1">
      <alignment horizontal="distributed" vertical="distributed"/>
    </xf>
    <xf numFmtId="38" fontId="0" fillId="0" borderId="30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distributed" vertical="distributed"/>
    </xf>
    <xf numFmtId="38" fontId="0" fillId="0" borderId="31" xfId="17" applyFont="1" applyFill="1" applyBorder="1" applyAlignment="1">
      <alignment horizontal="right"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distributed" vertical="distributed"/>
    </xf>
    <xf numFmtId="38" fontId="0" fillId="0" borderId="102" xfId="17" applyFont="1" applyFill="1" applyBorder="1" applyAlignment="1">
      <alignment horizontal="right" vertical="center"/>
    </xf>
    <xf numFmtId="38" fontId="0" fillId="0" borderId="103" xfId="17" applyFont="1" applyFill="1" applyBorder="1" applyAlignment="1">
      <alignment horizontal="right" vertical="center"/>
    </xf>
    <xf numFmtId="38" fontId="0" fillId="0" borderId="104" xfId="17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distributed" vertical="distributed"/>
    </xf>
    <xf numFmtId="38" fontId="0" fillId="0" borderId="106" xfId="17" applyFont="1" applyFill="1" applyBorder="1" applyAlignment="1">
      <alignment horizontal="right" vertical="center"/>
    </xf>
    <xf numFmtId="38" fontId="0" fillId="0" borderId="107" xfId="17" applyFont="1" applyFill="1" applyBorder="1" applyAlignment="1">
      <alignment horizontal="right" vertical="center"/>
    </xf>
    <xf numFmtId="38" fontId="0" fillId="0" borderId="108" xfId="17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distributed" vertical="distributed"/>
    </xf>
    <xf numFmtId="38" fontId="0" fillId="0" borderId="110" xfId="17" applyFont="1" applyFill="1" applyBorder="1" applyAlignment="1">
      <alignment horizontal="right" vertical="center"/>
    </xf>
    <xf numFmtId="38" fontId="0" fillId="0" borderId="111" xfId="17" applyFont="1" applyFill="1" applyBorder="1" applyAlignment="1">
      <alignment horizontal="right" vertical="center"/>
    </xf>
    <xf numFmtId="38" fontId="0" fillId="0" borderId="112" xfId="17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distributed" vertical="distributed"/>
    </xf>
    <xf numFmtId="38" fontId="0" fillId="0" borderId="114" xfId="17" applyFont="1" applyFill="1" applyBorder="1" applyAlignment="1">
      <alignment horizontal="right" vertical="center"/>
    </xf>
    <xf numFmtId="38" fontId="0" fillId="0" borderId="115" xfId="17" applyFont="1" applyFill="1" applyBorder="1" applyAlignment="1">
      <alignment horizontal="right" vertical="center"/>
    </xf>
    <xf numFmtId="38" fontId="0" fillId="0" borderId="116" xfId="17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distributed" vertical="distributed"/>
    </xf>
    <xf numFmtId="38" fontId="0" fillId="0" borderId="118" xfId="17" applyFont="1" applyFill="1" applyBorder="1" applyAlignment="1">
      <alignment horizontal="right" vertical="center"/>
    </xf>
    <xf numFmtId="38" fontId="0" fillId="0" borderId="119" xfId="17" applyFont="1" applyFill="1" applyBorder="1" applyAlignment="1">
      <alignment horizontal="right" vertical="center"/>
    </xf>
    <xf numFmtId="38" fontId="0" fillId="0" borderId="120" xfId="17" applyFont="1" applyFill="1" applyBorder="1" applyAlignment="1">
      <alignment horizontal="right" vertical="center"/>
    </xf>
    <xf numFmtId="0" fontId="0" fillId="0" borderId="12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textRotation="255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127" xfId="0" applyFont="1" applyFill="1" applyBorder="1" applyAlignment="1">
      <alignment horizontal="center" vertical="center" textRotation="255" wrapText="1"/>
    </xf>
    <xf numFmtId="0" fontId="2" fillId="0" borderId="128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 textRotation="255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1" xfId="0" applyFont="1" applyFill="1" applyBorder="1" applyAlignment="1">
      <alignment vertical="center"/>
    </xf>
    <xf numFmtId="0" fontId="27" fillId="0" borderId="13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80" xfId="0" applyFont="1" applyFill="1" applyBorder="1" applyAlignment="1">
      <alignment vertical="center"/>
    </xf>
    <xf numFmtId="0" fontId="27" fillId="0" borderId="1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134" xfId="0" applyFont="1" applyFill="1" applyBorder="1" applyAlignment="1">
      <alignment vertical="center"/>
    </xf>
    <xf numFmtId="0" fontId="27" fillId="0" borderId="135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81" xfId="0" applyFont="1" applyFill="1" applyBorder="1" applyAlignment="1">
      <alignment vertical="center"/>
    </xf>
    <xf numFmtId="0" fontId="27" fillId="0" borderId="136" xfId="0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37" xfId="0" applyFont="1" applyFill="1" applyBorder="1" applyAlignment="1">
      <alignment vertical="center"/>
    </xf>
    <xf numFmtId="0" fontId="27" fillId="0" borderId="138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83" xfId="0" applyFont="1" applyFill="1" applyBorder="1" applyAlignment="1">
      <alignment vertical="center"/>
    </xf>
    <xf numFmtId="0" fontId="27" fillId="0" borderId="139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140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14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1" fontId="27" fillId="0" borderId="59" xfId="0" applyNumberFormat="1" applyFont="1" applyFill="1" applyBorder="1" applyAlignment="1">
      <alignment vertical="center"/>
    </xf>
    <xf numFmtId="1" fontId="27" fillId="0" borderId="35" xfId="0" applyNumberFormat="1" applyFont="1" applyFill="1" applyBorder="1" applyAlignment="1">
      <alignment vertical="center"/>
    </xf>
    <xf numFmtId="1" fontId="27" fillId="0" borderId="36" xfId="0" applyNumberFormat="1" applyFont="1" applyFill="1" applyBorder="1" applyAlignment="1">
      <alignment vertical="center"/>
    </xf>
    <xf numFmtId="1" fontId="27" fillId="0" borderId="3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0" fillId="0" borderId="98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00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4" xfId="0" applyFill="1" applyBorder="1" applyAlignment="1">
      <alignment horizontal="left"/>
    </xf>
    <xf numFmtId="38" fontId="0" fillId="0" borderId="19" xfId="17" applyFill="1" applyBorder="1" applyAlignment="1">
      <alignment horizontal="right"/>
    </xf>
    <xf numFmtId="38" fontId="0" fillId="0" borderId="20" xfId="17" applyFill="1" applyBorder="1" applyAlignment="1">
      <alignment horizontal="right"/>
    </xf>
    <xf numFmtId="38" fontId="0" fillId="0" borderId="32" xfId="17" applyFill="1" applyBorder="1" applyAlignment="1">
      <alignment horizontal="right"/>
    </xf>
    <xf numFmtId="0" fontId="0" fillId="0" borderId="123" xfId="0" applyFill="1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2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77" xfId="0" applyFill="1" applyBorder="1" applyAlignment="1">
      <alignment horizontal="center" shrinkToFit="1"/>
    </xf>
    <xf numFmtId="0" fontId="0" fillId="0" borderId="62" xfId="0" applyFill="1" applyBorder="1" applyAlignment="1">
      <alignment horizontal="center" shrinkToFit="1"/>
    </xf>
    <xf numFmtId="0" fontId="4" fillId="0" borderId="14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93" fontId="0" fillId="3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9" xfId="0" applyNumberFormat="1" applyFill="1" applyBorder="1" applyAlignment="1">
      <alignment/>
    </xf>
    <xf numFmtId="4" fontId="0" fillId="0" borderId="100" xfId="0" applyNumberFormat="1" applyFill="1" applyBorder="1" applyAlignment="1">
      <alignment/>
    </xf>
    <xf numFmtId="2" fontId="0" fillId="0" borderId="100" xfId="0" applyNumberFormat="1" applyFill="1" applyBorder="1" applyAlignment="1">
      <alignment/>
    </xf>
    <xf numFmtId="2" fontId="0" fillId="0" borderId="122" xfId="0" applyNumberFormat="1" applyFill="1" applyBorder="1" applyAlignment="1">
      <alignment/>
    </xf>
    <xf numFmtId="4" fontId="0" fillId="0" borderId="121" xfId="0" applyNumberFormat="1" applyFill="1" applyBorder="1" applyAlignment="1">
      <alignment/>
    </xf>
    <xf numFmtId="4" fontId="0" fillId="0" borderId="123" xfId="0" applyNumberFormat="1" applyFill="1" applyBorder="1" applyAlignment="1">
      <alignment/>
    </xf>
    <xf numFmtId="2" fontId="0" fillId="0" borderId="124" xfId="0" applyNumberFormat="1" applyFill="1" applyBorder="1" applyAlignment="1">
      <alignment/>
    </xf>
    <xf numFmtId="193" fontId="2" fillId="0" borderId="123" xfId="17" applyNumberFormat="1" applyFont="1" applyFill="1" applyBorder="1" applyAlignment="1">
      <alignment horizontal="right" vertical="center"/>
    </xf>
    <xf numFmtId="38" fontId="0" fillId="0" borderId="143" xfId="17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49" fontId="42" fillId="0" borderId="11" xfId="22" applyNumberFormat="1" applyFont="1" applyFill="1" applyBorder="1" applyAlignment="1">
      <alignment horizontal="center" vertical="center" wrapText="1"/>
      <protection/>
    </xf>
    <xf numFmtId="0" fontId="42" fillId="0" borderId="12" xfId="22" applyFont="1" applyFill="1" applyBorder="1" applyAlignment="1">
      <alignment horizontal="center" vertical="center" wrapText="1"/>
      <protection/>
    </xf>
    <xf numFmtId="20" fontId="42" fillId="0" borderId="12" xfId="22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2" fillId="0" borderId="12" xfId="21" applyFont="1" applyFill="1" applyBorder="1" applyAlignment="1">
      <alignment horizontal="center" vertical="center" wrapText="1"/>
      <protection/>
    </xf>
    <xf numFmtId="0" fontId="42" fillId="0" borderId="4" xfId="22" applyFont="1" applyFill="1" applyBorder="1" applyAlignment="1">
      <alignment horizontal="center" vertical="center" wrapText="1"/>
      <protection/>
    </xf>
    <xf numFmtId="0" fontId="42" fillId="0" borderId="34" xfId="22" applyFont="1" applyFill="1" applyBorder="1" applyAlignment="1">
      <alignment horizontal="center" vertical="center" wrapText="1"/>
      <protection/>
    </xf>
    <xf numFmtId="49" fontId="42" fillId="0" borderId="38" xfId="22" applyNumberFormat="1" applyFont="1" applyFill="1" applyBorder="1" applyAlignment="1">
      <alignment horizontal="center" vertical="center" wrapText="1"/>
      <protection/>
    </xf>
    <xf numFmtId="20" fontId="42" fillId="0" borderId="4" xfId="22" applyNumberFormat="1" applyFont="1" applyFill="1" applyBorder="1" applyAlignment="1">
      <alignment horizontal="center" vertical="center" wrapText="1"/>
      <protection/>
    </xf>
    <xf numFmtId="0" fontId="4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2" fillId="0" borderId="4" xfId="21" applyFont="1" applyFill="1" applyBorder="1" applyAlignment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2" fillId="0" borderId="34" xfId="21" applyFont="1" applyFill="1" applyBorder="1" applyAlignment="1">
      <alignment horizontal="center" vertical="center" wrapText="1"/>
      <protection/>
    </xf>
    <xf numFmtId="49" fontId="42" fillId="0" borderId="61" xfId="22" applyNumberFormat="1" applyFont="1" applyFill="1" applyBorder="1" applyAlignment="1">
      <alignment horizontal="center" vertical="center" wrapText="1"/>
      <protection/>
    </xf>
    <xf numFmtId="20" fontId="42" fillId="0" borderId="62" xfId="22" applyNumberFormat="1" applyFont="1" applyFill="1" applyBorder="1" applyAlignment="1">
      <alignment horizontal="center" vertical="center" wrapText="1"/>
      <protection/>
    </xf>
    <xf numFmtId="0" fontId="42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2" fillId="0" borderId="62" xfId="22" applyFont="1" applyFill="1" applyBorder="1" applyAlignment="1">
      <alignment horizontal="center" vertical="center" wrapText="1"/>
      <protection/>
    </xf>
    <xf numFmtId="0" fontId="42" fillId="0" borderId="62" xfId="21" applyFont="1" applyFill="1" applyBorder="1" applyAlignment="1">
      <alignment horizontal="center" vertical="center" wrapText="1"/>
      <protection/>
    </xf>
    <xf numFmtId="0" fontId="42" fillId="0" borderId="19" xfId="2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9" fontId="42" fillId="0" borderId="142" xfId="22" applyNumberFormat="1" applyFont="1" applyFill="1" applyBorder="1" applyAlignment="1">
      <alignment horizontal="center" vertical="center" wrapText="1"/>
      <protection/>
    </xf>
    <xf numFmtId="20" fontId="42" fillId="0" borderId="51" xfId="22" applyNumberFormat="1" applyFont="1" applyFill="1" applyBorder="1" applyAlignment="1">
      <alignment horizontal="center" vertical="center" wrapText="1"/>
      <protection/>
    </xf>
    <xf numFmtId="0" fontId="42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2" fillId="0" borderId="51" xfId="22" applyFont="1" applyFill="1" applyBorder="1" applyAlignment="1">
      <alignment horizontal="center" vertical="center" wrapText="1"/>
      <protection/>
    </xf>
    <xf numFmtId="0" fontId="42" fillId="0" borderId="51" xfId="21" applyFont="1" applyFill="1" applyBorder="1" applyAlignment="1">
      <alignment horizontal="center" vertical="center" wrapText="1"/>
      <protection/>
    </xf>
    <xf numFmtId="49" fontId="42" fillId="0" borderId="18" xfId="22" applyNumberFormat="1" applyFont="1" applyFill="1" applyBorder="1" applyAlignment="1">
      <alignment horizontal="center" vertical="center" wrapText="1"/>
      <protection/>
    </xf>
    <xf numFmtId="20" fontId="42" fillId="0" borderId="19" xfId="22" applyNumberFormat="1" applyFont="1" applyFill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2" fillId="0" borderId="19" xfId="21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vertical="center"/>
    </xf>
    <xf numFmtId="0" fontId="27" fillId="0" borderId="145" xfId="0" applyFont="1" applyFill="1" applyBorder="1" applyAlignment="1">
      <alignment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textRotation="255" wrapText="1"/>
    </xf>
    <xf numFmtId="0" fontId="0" fillId="0" borderId="74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 textRotation="255" wrapText="1"/>
    </xf>
    <xf numFmtId="190" fontId="8" fillId="0" borderId="87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2" xfId="0" applyNumberFormat="1" applyFont="1" applyFill="1" applyBorder="1" applyAlignment="1">
      <alignment horizontal="right" vertical="center" wrapText="1"/>
    </xf>
    <xf numFmtId="190" fontId="8" fillId="0" borderId="13" xfId="0" applyNumberFormat="1" applyFont="1" applyFill="1" applyBorder="1" applyAlignment="1">
      <alignment horizontal="right" vertical="center" wrapText="1"/>
    </xf>
    <xf numFmtId="190" fontId="8" fillId="0" borderId="31" xfId="0" applyNumberFormat="1" applyFont="1" applyFill="1" applyBorder="1" applyAlignment="1">
      <alignment horizontal="right" vertical="center" wrapText="1"/>
    </xf>
    <xf numFmtId="190" fontId="8" fillId="0" borderId="75" xfId="0" applyNumberFormat="1" applyFont="1" applyFill="1" applyBorder="1" applyAlignment="1">
      <alignment horizontal="right" vertical="center" wrapText="1"/>
    </xf>
    <xf numFmtId="190" fontId="8" fillId="0" borderId="146" xfId="0" applyNumberFormat="1" applyFont="1" applyFill="1" applyBorder="1" applyAlignment="1">
      <alignment horizontal="right" vertical="center" wrapText="1"/>
    </xf>
    <xf numFmtId="190" fontId="8" fillId="0" borderId="34" xfId="0" applyNumberFormat="1" applyFont="1" applyFill="1" applyBorder="1" applyAlignment="1">
      <alignment horizontal="right" vertical="center" wrapText="1"/>
    </xf>
    <xf numFmtId="190" fontId="8" fillId="0" borderId="50" xfId="0" applyNumberFormat="1" applyFont="1" applyFill="1" applyBorder="1" applyAlignment="1">
      <alignment horizontal="right" vertical="center" wrapText="1"/>
    </xf>
    <xf numFmtId="190" fontId="8" fillId="0" borderId="49" xfId="0" applyNumberFormat="1" applyFont="1" applyFill="1" applyBorder="1" applyAlignment="1">
      <alignment horizontal="right" vertical="center" wrapText="1"/>
    </xf>
    <xf numFmtId="190" fontId="8" fillId="0" borderId="76" xfId="0" applyNumberFormat="1" applyFont="1" applyFill="1" applyBorder="1" applyAlignment="1">
      <alignment horizontal="right" vertical="center" wrapText="1"/>
    </xf>
    <xf numFmtId="190" fontId="8" fillId="0" borderId="147" xfId="0" applyNumberFormat="1" applyFont="1" applyFill="1" applyBorder="1" applyAlignment="1">
      <alignment horizontal="right" vertical="center" wrapText="1"/>
    </xf>
    <xf numFmtId="190" fontId="8" fillId="0" borderId="24" xfId="0" applyNumberFormat="1" applyFont="1" applyFill="1" applyBorder="1" applyAlignment="1">
      <alignment horizontal="right" vertical="center" wrapText="1"/>
    </xf>
    <xf numFmtId="190" fontId="8" fillId="0" borderId="26" xfId="0" applyNumberFormat="1" applyFont="1" applyFill="1" applyBorder="1" applyAlignment="1">
      <alignment horizontal="right" vertical="center" wrapText="1"/>
    </xf>
    <xf numFmtId="190" fontId="8" fillId="0" borderId="56" xfId="0" applyNumberFormat="1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0" fontId="26" fillId="0" borderId="31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right" vertical="center" wrapText="1"/>
    </xf>
    <xf numFmtId="190" fontId="8" fillId="0" borderId="19" xfId="0" applyNumberFormat="1" applyFont="1" applyFill="1" applyBorder="1" applyAlignment="1">
      <alignment horizontal="right" vertical="center" wrapText="1"/>
    </xf>
    <xf numFmtId="0" fontId="26" fillId="0" borderId="32" xfId="0" applyFont="1" applyFill="1" applyBorder="1" applyAlignment="1">
      <alignment horizontal="right" vertical="center" wrapText="1"/>
    </xf>
    <xf numFmtId="190" fontId="8" fillId="0" borderId="23" xfId="0" applyNumberFormat="1" applyFont="1" applyFill="1" applyBorder="1" applyAlignment="1">
      <alignment vertical="center"/>
    </xf>
    <xf numFmtId="190" fontId="8" fillId="0" borderId="19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38" fontId="25" fillId="0" borderId="12" xfId="17" applyFont="1" applyFill="1" applyBorder="1" applyAlignment="1">
      <alignment horizontal="right" vertical="center" wrapText="1"/>
    </xf>
    <xf numFmtId="38" fontId="25" fillId="0" borderId="16" xfId="17" applyFont="1" applyFill="1" applyBorder="1" applyAlignment="1">
      <alignment horizontal="right" vertical="center" wrapText="1"/>
    </xf>
    <xf numFmtId="38" fontId="25" fillId="0" borderId="11" xfId="17" applyFont="1" applyFill="1" applyBorder="1" applyAlignment="1">
      <alignment horizontal="right" vertical="center" wrapText="1"/>
    </xf>
    <xf numFmtId="38" fontId="25" fillId="0" borderId="1" xfId="17" applyFont="1" applyFill="1" applyBorder="1" applyAlignment="1">
      <alignment horizontal="right" vertical="center" wrapText="1"/>
    </xf>
    <xf numFmtId="38" fontId="25" fillId="0" borderId="13" xfId="17" applyFont="1" applyFill="1" applyBorder="1" applyAlignment="1">
      <alignment horizontal="right" vertical="center" wrapText="1"/>
    </xf>
    <xf numFmtId="38" fontId="25" fillId="0" borderId="4" xfId="17" applyFont="1" applyFill="1" applyBorder="1" applyAlignment="1">
      <alignment horizontal="right" vertical="center" wrapText="1"/>
    </xf>
    <xf numFmtId="38" fontId="25" fillId="0" borderId="8" xfId="17" applyFont="1" applyFill="1" applyBorder="1" applyAlignment="1">
      <alignment horizontal="right" vertical="center" wrapText="1"/>
    </xf>
    <xf numFmtId="38" fontId="25" fillId="0" borderId="38" xfId="17" applyFont="1" applyFill="1" applyBorder="1" applyAlignment="1">
      <alignment horizontal="right" vertical="center" wrapText="1"/>
    </xf>
    <xf numFmtId="38" fontId="25" fillId="0" borderId="46" xfId="17" applyFont="1" applyFill="1" applyBorder="1" applyAlignment="1">
      <alignment horizontal="right" vertical="center" wrapText="1"/>
    </xf>
    <xf numFmtId="38" fontId="25" fillId="0" borderId="5" xfId="17" applyFont="1" applyFill="1" applyBorder="1" applyAlignment="1">
      <alignment horizontal="right" vertical="center" wrapText="1"/>
    </xf>
    <xf numFmtId="38" fontId="25" fillId="0" borderId="12" xfId="17" applyFont="1" applyFill="1" applyBorder="1" applyAlignment="1">
      <alignment horizontal="right" vertical="center"/>
    </xf>
    <xf numFmtId="38" fontId="25" fillId="0" borderId="16" xfId="17" applyFont="1" applyFill="1" applyBorder="1" applyAlignment="1">
      <alignment horizontal="right" vertical="center"/>
    </xf>
    <xf numFmtId="38" fontId="25" fillId="0" borderId="11" xfId="17" applyFont="1" applyFill="1" applyBorder="1" applyAlignment="1">
      <alignment horizontal="right" vertical="center"/>
    </xf>
    <xf numFmtId="38" fontId="25" fillId="0" borderId="1" xfId="17" applyFont="1" applyFill="1" applyBorder="1" applyAlignment="1">
      <alignment horizontal="right" vertical="center"/>
    </xf>
    <xf numFmtId="38" fontId="25" fillId="0" borderId="38" xfId="17" applyFont="1" applyFill="1" applyBorder="1" applyAlignment="1">
      <alignment horizontal="right" vertical="center"/>
    </xf>
    <xf numFmtId="38" fontId="25" fillId="0" borderId="4" xfId="17" applyFont="1" applyFill="1" applyBorder="1" applyAlignment="1">
      <alignment horizontal="right" vertical="center"/>
    </xf>
    <xf numFmtId="38" fontId="25" fillId="0" borderId="13" xfId="17" applyFont="1" applyFill="1" applyBorder="1" applyAlignment="1">
      <alignment horizontal="right" vertical="center"/>
    </xf>
    <xf numFmtId="38" fontId="25" fillId="0" borderId="104" xfId="17" applyFont="1" applyFill="1" applyBorder="1" applyAlignment="1">
      <alignment horizontal="right" vertical="center" wrapText="1"/>
    </xf>
    <xf numFmtId="38" fontId="25" fillId="0" borderId="148" xfId="17" applyFont="1" applyFill="1" applyBorder="1" applyAlignment="1">
      <alignment horizontal="right" vertical="center" wrapText="1"/>
    </xf>
    <xf numFmtId="38" fontId="25" fillId="0" borderId="149" xfId="17" applyFont="1" applyFill="1" applyBorder="1" applyAlignment="1">
      <alignment horizontal="right" vertical="center" wrapText="1"/>
    </xf>
    <xf numFmtId="38" fontId="25" fillId="0" borderId="101" xfId="17" applyFont="1" applyFill="1" applyBorder="1" applyAlignment="1">
      <alignment horizontal="right" vertical="center" wrapText="1"/>
    </xf>
    <xf numFmtId="38" fontId="25" fillId="0" borderId="103" xfId="17" applyFont="1" applyFill="1" applyBorder="1" applyAlignment="1">
      <alignment horizontal="right" vertical="center" wrapText="1"/>
    </xf>
    <xf numFmtId="38" fontId="25" fillId="0" borderId="108" xfId="17" applyFont="1" applyFill="1" applyBorder="1" applyAlignment="1">
      <alignment horizontal="right" vertical="center" wrapText="1"/>
    </xf>
    <xf numFmtId="38" fontId="25" fillId="0" borderId="150" xfId="17" applyFont="1" applyFill="1" applyBorder="1" applyAlignment="1">
      <alignment horizontal="right" vertical="center" wrapText="1"/>
    </xf>
    <xf numFmtId="38" fontId="25" fillId="0" borderId="151" xfId="17" applyFont="1" applyFill="1" applyBorder="1" applyAlignment="1">
      <alignment horizontal="right" vertical="center" wrapText="1"/>
    </xf>
    <xf numFmtId="38" fontId="25" fillId="0" borderId="105" xfId="17" applyFont="1" applyFill="1" applyBorder="1" applyAlignment="1">
      <alignment horizontal="right" vertical="center" wrapText="1"/>
    </xf>
    <xf numFmtId="38" fontId="25" fillId="0" borderId="107" xfId="17" applyFont="1" applyFill="1" applyBorder="1" applyAlignment="1">
      <alignment horizontal="right" vertical="center" wrapText="1"/>
    </xf>
    <xf numFmtId="38" fontId="25" fillId="0" borderId="112" xfId="17" applyFont="1" applyFill="1" applyBorder="1" applyAlignment="1">
      <alignment horizontal="right" vertical="center" wrapText="1"/>
    </xf>
    <xf numFmtId="38" fontId="25" fillId="0" borderId="152" xfId="17" applyFont="1" applyFill="1" applyBorder="1" applyAlignment="1">
      <alignment horizontal="right" vertical="center" wrapText="1"/>
    </xf>
    <xf numFmtId="38" fontId="25" fillId="0" borderId="153" xfId="17" applyFont="1" applyFill="1" applyBorder="1" applyAlignment="1">
      <alignment horizontal="right" vertical="center" wrapText="1"/>
    </xf>
    <xf numFmtId="38" fontId="25" fillId="0" borderId="109" xfId="17" applyFont="1" applyFill="1" applyBorder="1" applyAlignment="1">
      <alignment horizontal="right" vertical="center" wrapText="1"/>
    </xf>
    <xf numFmtId="38" fontId="25" fillId="0" borderId="111" xfId="17" applyFont="1" applyFill="1" applyBorder="1" applyAlignment="1">
      <alignment horizontal="right" vertical="center" wrapText="1"/>
    </xf>
    <xf numFmtId="38" fontId="25" fillId="0" borderId="116" xfId="17" applyFont="1" applyFill="1" applyBorder="1" applyAlignment="1">
      <alignment horizontal="right" vertical="center" wrapText="1"/>
    </xf>
    <xf numFmtId="38" fontId="25" fillId="0" borderId="154" xfId="17" applyFont="1" applyFill="1" applyBorder="1" applyAlignment="1">
      <alignment horizontal="right" vertical="center" wrapText="1"/>
    </xf>
    <xf numFmtId="38" fontId="25" fillId="0" borderId="155" xfId="17" applyFont="1" applyFill="1" applyBorder="1" applyAlignment="1">
      <alignment horizontal="right" vertical="center" wrapText="1"/>
    </xf>
    <xf numFmtId="38" fontId="25" fillId="0" borderId="113" xfId="17" applyFont="1" applyFill="1" applyBorder="1" applyAlignment="1">
      <alignment horizontal="right" vertical="center" wrapText="1"/>
    </xf>
    <xf numFmtId="38" fontId="25" fillId="0" borderId="115" xfId="17" applyFont="1" applyFill="1" applyBorder="1" applyAlignment="1">
      <alignment horizontal="right" vertical="center" wrapText="1"/>
    </xf>
    <xf numFmtId="38" fontId="25" fillId="0" borderId="156" xfId="17" applyFont="1" applyFill="1" applyBorder="1" applyAlignment="1">
      <alignment horizontal="right" vertical="center" wrapText="1"/>
    </xf>
    <xf numFmtId="38" fontId="25" fillId="0" borderId="157" xfId="17" applyFont="1" applyFill="1" applyBorder="1" applyAlignment="1">
      <alignment horizontal="right" vertical="center" wrapText="1"/>
    </xf>
    <xf numFmtId="38" fontId="25" fillId="0" borderId="120" xfId="17" applyFont="1" applyFill="1" applyBorder="1" applyAlignment="1">
      <alignment horizontal="right" vertical="center" wrapText="1"/>
    </xf>
    <xf numFmtId="38" fontId="25" fillId="0" borderId="158" xfId="17" applyFont="1" applyFill="1" applyBorder="1" applyAlignment="1">
      <alignment horizontal="right" vertical="center" wrapText="1"/>
    </xf>
    <xf numFmtId="38" fontId="25" fillId="0" borderId="159" xfId="17" applyFont="1" applyFill="1" applyBorder="1" applyAlignment="1">
      <alignment horizontal="right" vertical="center" wrapText="1"/>
    </xf>
    <xf numFmtId="38" fontId="25" fillId="0" borderId="117" xfId="17" applyFont="1" applyFill="1" applyBorder="1" applyAlignment="1">
      <alignment horizontal="right" vertical="center" wrapText="1"/>
    </xf>
    <xf numFmtId="38" fontId="25" fillId="0" borderId="119" xfId="17" applyFont="1" applyFill="1" applyBorder="1" applyAlignment="1">
      <alignment horizontal="right" vertical="center" wrapText="1"/>
    </xf>
    <xf numFmtId="0" fontId="2" fillId="0" borderId="101" xfId="0" applyFont="1" applyFill="1" applyBorder="1" applyAlignment="1">
      <alignment horizontal="distributed" vertical="distributed" wrapText="1"/>
    </xf>
    <xf numFmtId="0" fontId="0" fillId="0" borderId="16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61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190" fontId="8" fillId="0" borderId="162" xfId="0" applyNumberFormat="1" applyFont="1" applyFill="1" applyBorder="1" applyAlignment="1">
      <alignment vertical="center"/>
    </xf>
    <xf numFmtId="190" fontId="8" fillId="0" borderId="163" xfId="0" applyNumberFormat="1" applyFont="1" applyFill="1" applyBorder="1" applyAlignment="1">
      <alignment vertical="center"/>
    </xf>
    <xf numFmtId="190" fontId="8" fillId="0" borderId="20" xfId="0" applyNumberFormat="1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20" fontId="24" fillId="0" borderId="62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wrapText="1"/>
    </xf>
    <xf numFmtId="38" fontId="24" fillId="0" borderId="62" xfId="17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wrapText="1"/>
    </xf>
    <xf numFmtId="38" fontId="24" fillId="0" borderId="12" xfId="17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20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38" fontId="24" fillId="0" borderId="19" xfId="17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right" vertical="center" wrapText="1"/>
    </xf>
    <xf numFmtId="0" fontId="24" fillId="0" borderId="38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2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38" fontId="24" fillId="0" borderId="4" xfId="17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20" fontId="24" fillId="0" borderId="34" xfId="0" applyNumberFormat="1" applyFont="1" applyFill="1" applyBorder="1" applyAlignment="1">
      <alignment horizontal="center" vertical="center" wrapText="1"/>
    </xf>
    <xf numFmtId="38" fontId="24" fillId="0" borderId="34" xfId="17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vertical="center" wrapText="1"/>
    </xf>
    <xf numFmtId="0" fontId="24" fillId="0" borderId="49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165" xfId="0" applyFont="1" applyFill="1" applyBorder="1" applyAlignment="1">
      <alignment vertical="center"/>
    </xf>
    <xf numFmtId="0" fontId="27" fillId="0" borderId="166" xfId="0" applyFont="1" applyFill="1" applyBorder="1" applyAlignment="1">
      <alignment vertical="center"/>
    </xf>
    <xf numFmtId="0" fontId="27" fillId="0" borderId="167" xfId="0" applyFont="1" applyFill="1" applyBorder="1" applyAlignment="1">
      <alignment vertical="center"/>
    </xf>
    <xf numFmtId="0" fontId="27" fillId="0" borderId="168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38" fontId="42" fillId="0" borderId="12" xfId="17" applyFont="1" applyFill="1" applyBorder="1" applyAlignment="1">
      <alignment wrapText="1"/>
    </xf>
    <xf numFmtId="189" fontId="0" fillId="0" borderId="12" xfId="0" applyNumberFormat="1" applyFill="1" applyBorder="1" applyAlignment="1">
      <alignment/>
    </xf>
    <xf numFmtId="38" fontId="25" fillId="0" borderId="11" xfId="17" applyFont="1" applyFill="1" applyBorder="1" applyAlignment="1">
      <alignment vertical="center"/>
    </xf>
    <xf numFmtId="38" fontId="25" fillId="0" borderId="12" xfId="17" applyFont="1" applyFill="1" applyBorder="1" applyAlignment="1">
      <alignment vertical="center"/>
    </xf>
    <xf numFmtId="38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38" fontId="0" fillId="0" borderId="0" xfId="0" applyNumberFormat="1" applyFill="1" applyBorder="1" applyAlignment="1">
      <alignment/>
    </xf>
    <xf numFmtId="193" fontId="42" fillId="0" borderId="13" xfId="17" applyNumberFormat="1" applyFont="1" applyFill="1" applyBorder="1" applyAlignment="1">
      <alignment horizontal="right" vertical="center"/>
    </xf>
    <xf numFmtId="193" fontId="42" fillId="0" borderId="11" xfId="17" applyNumberFormat="1" applyFont="1" applyFill="1" applyBorder="1" applyAlignment="1">
      <alignment horizontal="right" vertical="center"/>
    </xf>
    <xf numFmtId="193" fontId="42" fillId="0" borderId="12" xfId="17" applyNumberFormat="1" applyFont="1" applyFill="1" applyBorder="1" applyAlignment="1">
      <alignment horizontal="right" vertical="center"/>
    </xf>
    <xf numFmtId="193" fontId="42" fillId="0" borderId="16" xfId="17" applyNumberFormat="1" applyFont="1" applyFill="1" applyBorder="1" applyAlignment="1">
      <alignment horizontal="right" vertical="center"/>
    </xf>
    <xf numFmtId="193" fontId="42" fillId="0" borderId="100" xfId="17" applyNumberFormat="1" applyFont="1" applyFill="1" applyBorder="1" applyAlignment="1">
      <alignment horizontal="right" vertical="center"/>
    </xf>
    <xf numFmtId="193" fontId="42" fillId="0" borderId="18" xfId="17" applyNumberFormat="1" applyFont="1" applyFill="1" applyBorder="1" applyAlignment="1">
      <alignment horizontal="right" vertical="center"/>
    </xf>
    <xf numFmtId="193" fontId="42" fillId="0" borderId="19" xfId="17" applyNumberFormat="1" applyFont="1" applyFill="1" applyBorder="1" applyAlignment="1">
      <alignment horizontal="right" vertical="center"/>
    </xf>
    <xf numFmtId="193" fontId="42" fillId="0" borderId="23" xfId="17" applyNumberFormat="1" applyFont="1" applyFill="1" applyBorder="1" applyAlignment="1">
      <alignment horizontal="right" vertical="center"/>
    </xf>
    <xf numFmtId="193" fontId="42" fillId="0" borderId="124" xfId="17" applyNumberFormat="1" applyFont="1" applyFill="1" applyBorder="1" applyAlignment="1">
      <alignment horizontal="right" vertical="center"/>
    </xf>
    <xf numFmtId="193" fontId="42" fillId="0" borderId="20" xfId="17" applyNumberFormat="1" applyFont="1" applyFill="1" applyBorder="1" applyAlignment="1">
      <alignment horizontal="right" vertical="center"/>
    </xf>
    <xf numFmtId="190" fontId="0" fillId="0" borderId="4" xfId="0" applyNumberFormat="1" applyFill="1" applyBorder="1" applyAlignment="1">
      <alignment horizontal="right"/>
    </xf>
    <xf numFmtId="190" fontId="0" fillId="0" borderId="5" xfId="0" applyNumberFormat="1" applyFill="1" applyBorder="1" applyAlignment="1">
      <alignment horizontal="right"/>
    </xf>
    <xf numFmtId="190" fontId="0" fillId="0" borderId="12" xfId="0" applyNumberFormat="1" applyFill="1" applyBorder="1" applyAlignment="1">
      <alignment horizontal="right"/>
    </xf>
    <xf numFmtId="190" fontId="0" fillId="0" borderId="13" xfId="0" applyNumberFormat="1" applyFill="1" applyBorder="1" applyAlignment="1">
      <alignment horizontal="right"/>
    </xf>
    <xf numFmtId="190" fontId="0" fillId="0" borderId="19" xfId="17" applyNumberFormat="1" applyFill="1" applyBorder="1" applyAlignment="1">
      <alignment horizontal="right"/>
    </xf>
    <xf numFmtId="190" fontId="0" fillId="0" borderId="20" xfId="17" applyNumberFormat="1" applyFill="1" applyBorder="1" applyAlignment="1">
      <alignment horizontal="right"/>
    </xf>
    <xf numFmtId="190" fontId="0" fillId="0" borderId="30" xfId="0" applyNumberFormat="1" applyFill="1" applyBorder="1" applyAlignment="1">
      <alignment horizontal="right"/>
    </xf>
    <xf numFmtId="0" fontId="4" fillId="0" borderId="90" xfId="0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right" vertical="center"/>
    </xf>
    <xf numFmtId="190" fontId="8" fillId="0" borderId="4" xfId="0" applyNumberFormat="1" applyFont="1" applyFill="1" applyBorder="1" applyAlignment="1">
      <alignment horizontal="right" vertical="center"/>
    </xf>
    <xf numFmtId="190" fontId="8" fillId="0" borderId="87" xfId="0" applyNumberFormat="1" applyFont="1" applyFill="1" applyBorder="1" applyAlignment="1">
      <alignment horizontal="right" vertical="center"/>
    </xf>
    <xf numFmtId="190" fontId="8" fillId="0" borderId="85" xfId="0" applyNumberFormat="1" applyFont="1" applyFill="1" applyBorder="1" applyAlignment="1">
      <alignment horizontal="right" vertical="center"/>
    </xf>
    <xf numFmtId="190" fontId="8" fillId="0" borderId="7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/>
    </xf>
    <xf numFmtId="190" fontId="8" fillId="0" borderId="8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top"/>
    </xf>
    <xf numFmtId="0" fontId="0" fillId="0" borderId="14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170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3" xfId="0" applyBorder="1" applyAlignment="1">
      <alignment/>
    </xf>
    <xf numFmtId="0" fontId="0" fillId="0" borderId="161" xfId="0" applyBorder="1" applyAlignment="1">
      <alignment/>
    </xf>
    <xf numFmtId="0" fontId="0" fillId="0" borderId="0" xfId="0" applyAlignment="1">
      <alignment/>
    </xf>
    <xf numFmtId="0" fontId="0" fillId="0" borderId="34" xfId="0" applyFont="1" applyBorder="1" applyAlignment="1">
      <alignment horizontal="center" vertical="top" textRotation="255" wrapText="1"/>
    </xf>
    <xf numFmtId="0" fontId="0" fillId="0" borderId="174" xfId="0" applyFont="1" applyBorder="1" applyAlignment="1">
      <alignment horizontal="center" vertical="top" textRotation="255"/>
    </xf>
    <xf numFmtId="0" fontId="0" fillId="0" borderId="50" xfId="0" applyFont="1" applyBorder="1" applyAlignment="1">
      <alignment horizontal="center" vertical="top" textRotation="255"/>
    </xf>
    <xf numFmtId="0" fontId="0" fillId="0" borderId="175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76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/>
    </xf>
    <xf numFmtId="0" fontId="0" fillId="0" borderId="177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13" xfId="0" applyNumberFormat="1" applyFont="1" applyFill="1" applyBorder="1" applyAlignment="1">
      <alignment horizontal="right" vertical="center"/>
    </xf>
    <xf numFmtId="190" fontId="8" fillId="0" borderId="1" xfId="0" applyNumberFormat="1" applyFont="1" applyFill="1" applyBorder="1" applyAlignment="1">
      <alignment horizontal="right" vertical="center"/>
    </xf>
    <xf numFmtId="191" fontId="8" fillId="0" borderId="4" xfId="17" applyNumberFormat="1" applyFont="1" applyFill="1" applyBorder="1" applyAlignment="1">
      <alignment horizontal="right" vertical="center"/>
    </xf>
    <xf numFmtId="192" fontId="8" fillId="0" borderId="4" xfId="0" applyNumberFormat="1" applyFont="1" applyFill="1" applyBorder="1" applyAlignment="1">
      <alignment horizontal="center" vertical="center"/>
    </xf>
    <xf numFmtId="192" fontId="8" fillId="0" borderId="30" xfId="0" applyNumberFormat="1" applyFont="1" applyFill="1" applyBorder="1" applyAlignment="1">
      <alignment horizontal="center" vertical="center"/>
    </xf>
    <xf numFmtId="191" fontId="8" fillId="0" borderId="12" xfId="17" applyNumberFormat="1" applyFont="1" applyFill="1" applyBorder="1" applyAlignment="1">
      <alignment horizontal="right" vertical="center"/>
    </xf>
    <xf numFmtId="192" fontId="8" fillId="0" borderId="12" xfId="0" applyNumberFormat="1" applyFont="1" applyFill="1" applyBorder="1" applyAlignment="1">
      <alignment horizontal="center" vertical="center"/>
    </xf>
    <xf numFmtId="192" fontId="8" fillId="0" borderId="3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0" fontId="8" fillId="0" borderId="12" xfId="17" applyNumberFormat="1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38" fontId="8" fillId="0" borderId="16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38" fontId="8" fillId="0" borderId="39" xfId="17" applyFont="1" applyFill="1" applyBorder="1" applyAlignment="1">
      <alignment horizontal="right" vertical="center"/>
    </xf>
    <xf numFmtId="38" fontId="8" fillId="0" borderId="34" xfId="17" applyFont="1" applyFill="1" applyBorder="1" applyAlignment="1">
      <alignment horizontal="right" vertical="center"/>
    </xf>
    <xf numFmtId="191" fontId="8" fillId="0" borderId="34" xfId="17" applyNumberFormat="1" applyFont="1" applyFill="1" applyBorder="1" applyAlignment="1">
      <alignment horizontal="right" vertical="center"/>
    </xf>
    <xf numFmtId="192" fontId="8" fillId="0" borderId="34" xfId="0" applyNumberFormat="1" applyFont="1" applyFill="1" applyBorder="1" applyAlignment="1">
      <alignment horizontal="center" vertical="center"/>
    </xf>
    <xf numFmtId="192" fontId="8" fillId="0" borderId="49" xfId="0" applyNumberFormat="1" applyFont="1" applyFill="1" applyBorder="1" applyAlignment="1">
      <alignment horizontal="center" vertical="center"/>
    </xf>
    <xf numFmtId="191" fontId="8" fillId="0" borderId="19" xfId="17" applyNumberFormat="1" applyFont="1" applyFill="1" applyBorder="1" applyAlignment="1">
      <alignment horizontal="right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horizontal="right" vertical="center"/>
    </xf>
    <xf numFmtId="38" fontId="8" fillId="0" borderId="162" xfId="17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62" xfId="0" applyFont="1" applyFill="1" applyBorder="1" applyAlignment="1">
      <alignment horizontal="center" vertical="center" textRotation="255" wrapText="1"/>
    </xf>
    <xf numFmtId="0" fontId="8" fillId="0" borderId="177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6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78" xfId="0" applyFont="1" applyFill="1" applyBorder="1" applyAlignment="1">
      <alignment horizontal="center" vertical="center" textRotation="255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193" fontId="0" fillId="0" borderId="33" xfId="0" applyNumberFormat="1" applyFont="1" applyFill="1" applyBorder="1" applyAlignment="1">
      <alignment horizontal="center" vertical="center" textRotation="255"/>
    </xf>
    <xf numFmtId="193" fontId="0" fillId="0" borderId="142" xfId="0" applyNumberFormat="1" applyFont="1" applyFill="1" applyBorder="1" applyAlignment="1">
      <alignment horizontal="center" vertical="center" textRotation="255"/>
    </xf>
    <xf numFmtId="193" fontId="0" fillId="0" borderId="43" xfId="0" applyNumberFormat="1" applyFont="1" applyFill="1" applyBorder="1" applyAlignment="1">
      <alignment horizontal="center" vertical="center" textRotation="255"/>
    </xf>
    <xf numFmtId="193" fontId="0" fillId="0" borderId="10" xfId="0" applyNumberFormat="1" applyFont="1" applyFill="1" applyBorder="1" applyAlignment="1">
      <alignment horizontal="center" vertical="center" wrapText="1"/>
    </xf>
    <xf numFmtId="193" fontId="0" fillId="0" borderId="28" xfId="0" applyNumberFormat="1" applyFont="1" applyFill="1" applyBorder="1" applyAlignment="1">
      <alignment horizontal="center" vertical="center" wrapText="1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63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2" fillId="0" borderId="35" xfId="0" applyNumberFormat="1" applyFont="1" applyFill="1" applyBorder="1" applyAlignment="1">
      <alignment horizontal="center" vertical="center"/>
    </xf>
    <xf numFmtId="193" fontId="2" fillId="0" borderId="37" xfId="0" applyNumberFormat="1" applyFont="1" applyFill="1" applyBorder="1" applyAlignment="1">
      <alignment horizontal="center" vertical="center"/>
    </xf>
    <xf numFmtId="193" fontId="0" fillId="0" borderId="3" xfId="0" applyNumberFormat="1" applyFont="1" applyFill="1" applyBorder="1" applyAlignment="1">
      <alignment horizontal="center" vertical="center" wrapText="1"/>
    </xf>
    <xf numFmtId="193" fontId="0" fillId="0" borderId="6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3" fontId="0" fillId="0" borderId="54" xfId="0" applyNumberFormat="1" applyFont="1" applyFill="1" applyBorder="1" applyAlignment="1">
      <alignment horizontal="center" vertical="center" wrapText="1"/>
    </xf>
    <xf numFmtId="193" fontId="0" fillId="0" borderId="29" xfId="0" applyNumberFormat="1" applyFont="1" applyFill="1" applyBorder="1" applyAlignment="1">
      <alignment horizontal="center" vertical="center" wrapText="1"/>
    </xf>
    <xf numFmtId="188" fontId="0" fillId="0" borderId="33" xfId="0" applyNumberFormat="1" applyFont="1" applyFill="1" applyBorder="1" applyAlignment="1">
      <alignment horizontal="center" vertical="center" textRotation="255" wrapText="1"/>
    </xf>
    <xf numFmtId="188" fontId="0" fillId="0" borderId="142" xfId="0" applyNumberFormat="1" applyFont="1" applyFill="1" applyBorder="1" applyAlignment="1">
      <alignment horizontal="center" vertical="center" textRotation="255" wrapText="1"/>
    </xf>
    <xf numFmtId="188" fontId="0" fillId="0" borderId="43" xfId="0" applyNumberFormat="1" applyFont="1" applyFill="1" applyBorder="1" applyAlignment="1">
      <alignment horizontal="center" vertical="center" textRotation="255" wrapText="1"/>
    </xf>
    <xf numFmtId="193" fontId="0" fillId="0" borderId="11" xfId="0" applyNumberFormat="1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 wrapText="1"/>
    </xf>
    <xf numFmtId="193" fontId="0" fillId="0" borderId="33" xfId="0" applyNumberFormat="1" applyFont="1" applyFill="1" applyBorder="1" applyAlignment="1">
      <alignment horizontal="center" vertical="center" wrapText="1"/>
    </xf>
    <xf numFmtId="193" fontId="0" fillId="0" borderId="4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2" fillId="0" borderId="172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8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56" fontId="2" fillId="0" borderId="88" xfId="0" applyNumberFormat="1" applyFont="1" applyFill="1" applyBorder="1" applyAlignment="1">
      <alignment horizontal="center" vertical="center" wrapText="1"/>
    </xf>
    <xf numFmtId="56" fontId="2" fillId="0" borderId="43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0" borderId="181" xfId="0" applyFont="1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top" textRotation="255"/>
    </xf>
    <xf numFmtId="0" fontId="0" fillId="0" borderId="142" xfId="0" applyFont="1" applyFill="1" applyBorder="1" applyAlignment="1">
      <alignment horizontal="center" vertical="top" textRotation="255"/>
    </xf>
    <xf numFmtId="0" fontId="0" fillId="0" borderId="176" xfId="0" applyFill="1" applyBorder="1" applyAlignment="1">
      <alignment horizontal="center" vertical="top" textRotation="255"/>
    </xf>
    <xf numFmtId="0" fontId="0" fillId="0" borderId="58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169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" fillId="0" borderId="178" xfId="0" applyFont="1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62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1" xfId="0" applyFill="1" applyBorder="1" applyAlignment="1">
      <alignment horizontal="distributed" vertical="distributed"/>
    </xf>
    <xf numFmtId="0" fontId="0" fillId="0" borderId="63" xfId="0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0" fontId="0" fillId="0" borderId="32" xfId="0" applyFill="1" applyBorder="1" applyAlignment="1">
      <alignment horizontal="distributed" vertical="distributed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distributed"/>
    </xf>
    <xf numFmtId="0" fontId="0" fillId="0" borderId="31" xfId="0" applyFill="1" applyBorder="1" applyAlignment="1">
      <alignment horizontal="distributed" vertical="distributed"/>
    </xf>
    <xf numFmtId="0" fontId="0" fillId="0" borderId="14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41" xfId="0" applyFill="1" applyBorder="1" applyAlignment="1">
      <alignment horizontal="distributed" vertical="distributed"/>
    </xf>
    <xf numFmtId="0" fontId="0" fillId="0" borderId="65" xfId="0" applyFill="1" applyBorder="1" applyAlignment="1">
      <alignment horizontal="distributed" vertical="distributed"/>
    </xf>
    <xf numFmtId="0" fontId="27" fillId="0" borderId="184" xfId="0" applyFont="1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distributed"/>
    </xf>
    <xf numFmtId="0" fontId="0" fillId="0" borderId="74" xfId="0" applyFill="1" applyBorder="1" applyAlignment="1">
      <alignment horizontal="center" vertical="distributed"/>
    </xf>
    <xf numFmtId="0" fontId="0" fillId="0" borderId="65" xfId="0" applyFill="1" applyBorder="1" applyAlignment="1">
      <alignment horizontal="center" vertical="distributed"/>
    </xf>
    <xf numFmtId="193" fontId="0" fillId="0" borderId="141" xfId="0" applyNumberFormat="1" applyFont="1" applyFill="1" applyBorder="1" applyAlignment="1">
      <alignment horizontal="center" vertical="center"/>
    </xf>
    <xf numFmtId="193" fontId="0" fillId="0" borderId="65" xfId="0" applyNumberFormat="1" applyFont="1" applyFill="1" applyBorder="1" applyAlignment="1">
      <alignment horizontal="center" vertical="center"/>
    </xf>
    <xf numFmtId="0" fontId="0" fillId="0" borderId="185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6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41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left" vertical="center"/>
    </xf>
    <xf numFmtId="0" fontId="0" fillId="0" borderId="184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90" xfId="0" applyFont="1" applyFill="1" applyBorder="1" applyAlignment="1">
      <alignment horizontal="left" vertical="center"/>
    </xf>
    <xf numFmtId="0" fontId="0" fillId="0" borderId="172" xfId="0" applyFont="1" applyFill="1" applyBorder="1" applyAlignment="1">
      <alignment horizontal="right" vertical="center"/>
    </xf>
    <xf numFmtId="0" fontId="0" fillId="0" borderId="173" xfId="0" applyFont="1" applyFill="1" applyBorder="1" applyAlignment="1">
      <alignment horizontal="right" vertical="center"/>
    </xf>
    <xf numFmtId="0" fontId="0" fillId="0" borderId="161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38" fontId="0" fillId="0" borderId="141" xfId="17" applyFont="1" applyFill="1" applyBorder="1" applyAlignment="1">
      <alignment horizontal="right" vertical="center"/>
    </xf>
    <xf numFmtId="38" fontId="0" fillId="0" borderId="74" xfId="17" applyFont="1" applyFill="1" applyBorder="1" applyAlignment="1">
      <alignment horizontal="right" vertical="center"/>
    </xf>
    <xf numFmtId="38" fontId="0" fillId="0" borderId="65" xfId="17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0" fillId="0" borderId="172" xfId="0" applyFont="1" applyFill="1" applyBorder="1" applyAlignment="1">
      <alignment horizontal="left" vertical="center"/>
    </xf>
    <xf numFmtId="0" fontId="0" fillId="0" borderId="173" xfId="0" applyFont="1" applyFill="1" applyBorder="1" applyAlignment="1">
      <alignment horizontal="left" vertical="center"/>
    </xf>
    <xf numFmtId="0" fontId="0" fillId="0" borderId="16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9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4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平成17年　都道府県別出火件数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275"/>
          <c:w val="0.919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1!$S$3:$S$49</c:f>
              <c:strCache/>
            </c:strRef>
          </c:cat>
          <c:val>
            <c:numRef>
              <c:f>1!$T$3:$T$49</c:f>
              <c:numCache/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389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775"/>
          <c:w val="0.7785"/>
          <c:h val="0.800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平成１０年</c:v>
                </c:pt>
                <c:pt idx="4">
                  <c:v>平成１１年</c:v>
                </c:pt>
                <c:pt idx="5">
                  <c:v>平成１２年</c:v>
                </c:pt>
                <c:pt idx="6">
                  <c:v>平成１３年</c:v>
                </c:pt>
                <c:pt idx="7">
                  <c:v>平成１４年</c:v>
                </c:pt>
                <c:pt idx="8">
                  <c:v>平成１５年</c:v>
                </c:pt>
                <c:pt idx="9">
                  <c:v>平成１６年</c:v>
                </c:pt>
                <c:pt idx="10">
                  <c:v>平成１７年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  <c:pt idx="10">
                  <c:v>707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6487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475"/>
          <c:y val="0.25825"/>
          <c:w val="0.15525"/>
          <c:h val="0.05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2305"/>
          <c:w val="0.4735"/>
          <c:h val="0.6462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465"/>
          <c:w val="0.1315"/>
          <c:h val="0.3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425"/>
          <c:w val="0.42275"/>
          <c:h val="0.600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898590</c:v>
                </c:pt>
                <c:pt idx="1">
                  <c:v>4185</c:v>
                </c:pt>
                <c:pt idx="2">
                  <c:v>34654</c:v>
                </c:pt>
                <c:pt idx="3">
                  <c:v>8540</c:v>
                </c:pt>
                <c:pt idx="4">
                  <c:v>0</c:v>
                </c:pt>
                <c:pt idx="5">
                  <c:v>69297</c:v>
                </c:pt>
                <c:pt idx="6">
                  <c:v>63601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"/>
          <c:y val="0.323"/>
          <c:w val="0.12975"/>
          <c:h val="0.33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平成１７年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85"/>
          <c:w val="0.7877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53</c:v>
                </c:pt>
                <c:pt idx="1">
                  <c:v>56</c:v>
                </c:pt>
                <c:pt idx="2">
                  <c:v>54</c:v>
                </c:pt>
                <c:pt idx="3">
                  <c:v>72</c:v>
                </c:pt>
                <c:pt idx="4">
                  <c:v>68</c:v>
                </c:pt>
                <c:pt idx="5">
                  <c:v>77</c:v>
                </c:pt>
                <c:pt idx="6">
                  <c:v>39</c:v>
                </c:pt>
                <c:pt idx="7">
                  <c:v>71</c:v>
                </c:pt>
                <c:pt idx="8">
                  <c:v>40</c:v>
                </c:pt>
                <c:pt idx="9">
                  <c:v>48</c:v>
                </c:pt>
                <c:pt idx="10">
                  <c:v>57</c:v>
                </c:pt>
                <c:pt idx="11">
                  <c:v>72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32</c:v>
                </c:pt>
                <c:pt idx="1">
                  <c:v>37</c:v>
                </c:pt>
                <c:pt idx="2">
                  <c:v>33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18</c:v>
                </c:pt>
                <c:pt idx="7">
                  <c:v>26</c:v>
                </c:pt>
                <c:pt idx="8">
                  <c:v>24</c:v>
                </c:pt>
                <c:pt idx="9">
                  <c:v>10</c:v>
                </c:pt>
                <c:pt idx="10">
                  <c:v>32</c:v>
                </c:pt>
                <c:pt idx="11">
                  <c:v>44</c:v>
                </c:pt>
              </c:numCache>
            </c:numRef>
          </c:val>
          <c:shape val="box"/>
        </c:ser>
        <c:shape val="box"/>
        <c:axId val="32274545"/>
        <c:axId val="22035450"/>
      </c:bar3D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  <c:max val="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7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2275"/>
          <c:w val="0.07075"/>
          <c:h val="0.099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675"/>
          <c:w val="0.95475"/>
          <c:h val="0.66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427</c:v>
                </c:pt>
                <c:pt idx="1">
                  <c:v>410</c:v>
                </c:pt>
                <c:pt idx="2">
                  <c:v>414</c:v>
                </c:pt>
                <c:pt idx="3">
                  <c:v>404</c:v>
                </c:pt>
                <c:pt idx="4">
                  <c:v>416</c:v>
                </c:pt>
                <c:pt idx="5">
                  <c:v>391</c:v>
                </c:pt>
                <c:pt idx="6">
                  <c:v>406</c:v>
                </c:pt>
                <c:pt idx="7">
                  <c:v>365</c:v>
                </c:pt>
                <c:pt idx="8">
                  <c:v>382</c:v>
                </c:pt>
                <c:pt idx="9">
                  <c:v>349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78</c:v>
                </c:pt>
                <c:pt idx="1">
                  <c:v>75</c:v>
                </c:pt>
                <c:pt idx="2">
                  <c:v>74</c:v>
                </c:pt>
                <c:pt idx="3">
                  <c:v>97</c:v>
                </c:pt>
                <c:pt idx="4">
                  <c:v>106</c:v>
                </c:pt>
                <c:pt idx="5">
                  <c:v>68</c:v>
                </c:pt>
                <c:pt idx="6">
                  <c:v>90</c:v>
                </c:pt>
                <c:pt idx="7">
                  <c:v>82</c:v>
                </c:pt>
                <c:pt idx="8">
                  <c:v>73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209</c:v>
                </c:pt>
                <c:pt idx="1">
                  <c:v>210</c:v>
                </c:pt>
                <c:pt idx="2">
                  <c:v>145</c:v>
                </c:pt>
                <c:pt idx="3">
                  <c:v>155</c:v>
                </c:pt>
                <c:pt idx="4">
                  <c:v>184</c:v>
                </c:pt>
                <c:pt idx="5">
                  <c:v>227</c:v>
                </c:pt>
                <c:pt idx="6">
                  <c:v>311</c:v>
                </c:pt>
                <c:pt idx="7">
                  <c:v>165</c:v>
                </c:pt>
                <c:pt idx="8">
                  <c:v>172</c:v>
                </c:pt>
                <c:pt idx="9">
                  <c:v>223</c:v>
                </c:pt>
              </c:numCache>
            </c:numRef>
          </c:val>
        </c:ser>
        <c:overlap val="100"/>
        <c:axId val="64101323"/>
        <c:axId val="40040996"/>
      </c:barChart>
      <c:catAx>
        <c:axId val="64101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1323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91"/>
          <c:y val="0.91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475"/>
          <c:h val="0.709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18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19</c:v>
                </c:pt>
                <c:pt idx="5">
                  <c:v>21</c:v>
                </c:pt>
                <c:pt idx="6">
                  <c:v>49</c:v>
                </c:pt>
                <c:pt idx="7">
                  <c:v>31</c:v>
                </c:pt>
                <c:pt idx="8">
                  <c:v>31</c:v>
                </c:pt>
                <c:pt idx="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95</c:v>
                </c:pt>
                <c:pt idx="4">
                  <c:v>105</c:v>
                </c:pt>
                <c:pt idx="5">
                  <c:v>99</c:v>
                </c:pt>
                <c:pt idx="6">
                  <c:v>109</c:v>
                </c:pt>
                <c:pt idx="7">
                  <c:v>102</c:v>
                </c:pt>
                <c:pt idx="8">
                  <c:v>89</c:v>
                </c:pt>
                <c:pt idx="9">
                  <c:v>98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482464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425"/>
          <c:y val="0.45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6975"/>
          <c:w val="0.65575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axId val="64639199"/>
        <c:axId val="44881880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2232</c:v>
                </c:pt>
                <c:pt idx="1">
                  <c:v>1437</c:v>
                </c:pt>
                <c:pt idx="2">
                  <c:v>535</c:v>
                </c:pt>
                <c:pt idx="3">
                  <c:v>3111</c:v>
                </c:pt>
                <c:pt idx="4">
                  <c:v>994</c:v>
                </c:pt>
                <c:pt idx="5">
                  <c:v>2025</c:v>
                </c:pt>
                <c:pt idx="6">
                  <c:v>6591</c:v>
                </c:pt>
                <c:pt idx="7">
                  <c:v>1754</c:v>
                </c:pt>
                <c:pt idx="8">
                  <c:v>536</c:v>
                </c:pt>
                <c:pt idx="9">
                  <c:v>615</c:v>
                </c:pt>
              </c:numCache>
            </c:numRef>
          </c:val>
          <c:smooth val="0"/>
        </c:ser>
        <c:axId val="1283737"/>
        <c:axId val="11553634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1880"/>
        <c:crosses val="autoZero"/>
        <c:auto val="0"/>
        <c:lblOffset val="100"/>
        <c:noMultiLvlLbl val="0"/>
      </c:catAx>
      <c:valAx>
        <c:axId val="44881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4639199"/>
        <c:crossesAt val="1"/>
        <c:crossBetween val="between"/>
        <c:dispUnits/>
      </c:valAx>
      <c:catAx>
        <c:axId val="1283737"/>
        <c:scaling>
          <c:orientation val="minMax"/>
        </c:scaling>
        <c:axPos val="b"/>
        <c:delete val="1"/>
        <c:majorTickMark val="in"/>
        <c:minorTickMark val="none"/>
        <c:tickLblPos val="nextTo"/>
        <c:crossAx val="11553634"/>
        <c:crosses val="autoZero"/>
        <c:auto val="0"/>
        <c:lblOffset val="100"/>
        <c:noMultiLvlLbl val="0"/>
      </c:catAx>
      <c:valAx>
        <c:axId val="11553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837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445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075"/>
          <c:w val="0.69075"/>
          <c:h val="0.78475"/>
        </c:manualLayout>
      </c:layout>
      <c:lineChart>
        <c:grouping val="standard"/>
        <c:varyColors val="0"/>
        <c:ser>
          <c:idx val="0"/>
          <c:order val="0"/>
          <c:tx>
            <c:v>平成１７年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平成１６年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平成１５年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738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9"/>
          <c:y val="0.45175"/>
          <c:w val="0.158"/>
          <c:h val="0.14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平成１７年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475"/>
          <c:w val="0.43075"/>
          <c:h val="0.629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52</c:v>
                </c:pt>
                <c:pt idx="1">
                  <c:v>104</c:v>
                </c:pt>
                <c:pt idx="2">
                  <c:v>9</c:v>
                </c:pt>
                <c:pt idx="3">
                  <c:v>94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337"/>
          <c:w val="0.254"/>
          <c:h val="0.65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375"/>
          <c:w val="0.83675"/>
          <c:h val="0.836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76</c:v>
                </c:pt>
                <c:pt idx="1">
                  <c:v>99</c:v>
                </c:pt>
                <c:pt idx="2">
                  <c:v>25</c:v>
                </c:pt>
                <c:pt idx="3">
                  <c:v>62</c:v>
                </c:pt>
                <c:pt idx="4">
                  <c:v>34</c:v>
                </c:pt>
                <c:pt idx="5">
                  <c:v>24</c:v>
                </c:pt>
                <c:pt idx="6">
                  <c:v>9</c:v>
                </c:pt>
                <c:pt idx="7">
                  <c:v>33</c:v>
                </c:pt>
                <c:pt idx="8">
                  <c:v>23</c:v>
                </c:pt>
                <c:pt idx="9">
                  <c:v>6</c:v>
                </c:pt>
                <c:pt idx="10">
                  <c:v>12</c:v>
                </c:pt>
                <c:pt idx="11">
                  <c:v>222</c:v>
                </c:pt>
                <c:pt idx="12">
                  <c:v>82</c:v>
                </c:pt>
              </c:numCache>
            </c:numRef>
          </c:val>
          <c:shape val="box"/>
        </c:ser>
        <c:overlap val="100"/>
        <c:shape val="box"/>
        <c:axId val="33991277"/>
        <c:axId val="37486038"/>
      </c:bar3D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12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26575"/>
          <c:w val="0.13025"/>
          <c:h val="0.04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"/>
          <c:w val="0.91325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2!$U$3:$U$49</c:f>
              <c:strCache/>
            </c:strRef>
          </c:cat>
          <c:val>
            <c:numRef>
              <c:f>2!$V$3:$V$49</c:f>
              <c:numCache/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605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3775"/>
          <c:w val="0.7992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'20'!$A$4</c:f>
              <c:strCache>
                <c:ptCount val="1"/>
                <c:pt idx="0">
                  <c:v>全火災件数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'20'!$A$5</c:f>
              <c:strCache>
                <c:ptCount val="1"/>
                <c:pt idx="0">
                  <c:v>放火火災件数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68</c:v>
                </c:pt>
                <c:pt idx="1">
                  <c:v>61</c:v>
                </c:pt>
                <c:pt idx="2">
                  <c:v>93</c:v>
                </c:pt>
                <c:pt idx="3">
                  <c:v>74</c:v>
                </c:pt>
                <c:pt idx="4">
                  <c:v>79</c:v>
                </c:pt>
                <c:pt idx="5">
                  <c:v>90</c:v>
                </c:pt>
                <c:pt idx="6">
                  <c:v>100</c:v>
                </c:pt>
                <c:pt idx="7">
                  <c:v>101</c:v>
                </c:pt>
                <c:pt idx="8">
                  <c:v>71</c:v>
                </c:pt>
                <c:pt idx="9">
                  <c:v>58</c:v>
                </c:pt>
              </c:numCache>
            </c:numRef>
          </c:val>
          <c:smooth val="0"/>
        </c:ser>
        <c:marker val="1"/>
        <c:axId val="1830023"/>
        <c:axId val="16470208"/>
      </c:lineChart>
      <c:lineChart>
        <c:grouping val="standard"/>
        <c:varyColors val="0"/>
        <c:ser>
          <c:idx val="2"/>
          <c:order val="2"/>
          <c:tx>
            <c:strRef>
              <c:f>'20'!$A$6</c:f>
              <c:strCache>
                <c:ptCount val="1"/>
                <c:pt idx="0">
                  <c:v>放火火災割合(%)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8.395061728395062</c:v>
                </c:pt>
                <c:pt idx="1">
                  <c:v>7.731305449936629</c:v>
                </c:pt>
                <c:pt idx="2">
                  <c:v>13.266761768901569</c:v>
                </c:pt>
                <c:pt idx="3">
                  <c:v>9.973045822102426</c:v>
                </c:pt>
                <c:pt idx="4">
                  <c:v>10.193548387096774</c:v>
                </c:pt>
                <c:pt idx="5">
                  <c:v>12.096774193548388</c:v>
                </c:pt>
                <c:pt idx="6">
                  <c:v>10.905125408942203</c:v>
                </c:pt>
                <c:pt idx="7">
                  <c:v>15.443425076452598</c:v>
                </c:pt>
                <c:pt idx="8">
                  <c:v>10.186513629842182</c:v>
                </c:pt>
                <c:pt idx="9">
                  <c:v>8.203677510608204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0023"/>
        <c:crossesAt val="1"/>
        <c:crossBetween val="between"/>
        <c:dispUnits/>
      </c:valAx>
      <c:catAx>
        <c:axId val="14014145"/>
        <c:scaling>
          <c:orientation val="minMax"/>
        </c:scaling>
        <c:axPos val="b"/>
        <c:delete val="1"/>
        <c:majorTickMark val="in"/>
        <c:minorTickMark val="none"/>
        <c:tickLblPos val="nextTo"/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141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平成１７年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1835"/>
          <c:w val="0.35675"/>
          <c:h val="0.6065"/>
        </c:manualLayout>
      </c:layout>
      <c:pieChart>
        <c:varyColors val="1"/>
        <c:ser>
          <c:idx val="0"/>
          <c:order val="0"/>
          <c:tx>
            <c:strRef>
              <c:f>'20'!$A$13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0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平成1７年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5"/>
          <c:w val="0.95125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3!$S$3:$S$49</c:f>
              <c:strCache/>
            </c:strRef>
          </c:cat>
          <c:val>
            <c:numRef>
              <c:f>3!$T$3:$T$49</c:f>
              <c:numCache/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687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都道府県別死者発生率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75"/>
          <c:w val="0.888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4!$M$3:$M$49</c:f>
              <c:strCache/>
            </c:strRef>
          </c:cat>
          <c:val>
            <c:numRef>
              <c:f>4!$N$3:$N$49</c:f>
              <c:numCache/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52877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525"/>
          <c:w val="0.816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6!$B$3:$B$31</c:f>
              <c:strCache/>
            </c:strRef>
          </c:cat>
          <c:val>
            <c:numRef>
              <c:f>6!$C$3:$C$31</c:f>
              <c:numCache/>
            </c:numRef>
          </c:val>
        </c:ser>
        <c:gapWidth val="60"/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8327075"/>
        <c:crossesAt val="1"/>
        <c:crossBetween val="between"/>
        <c:dispUnits/>
        <c:minorUnit val="1"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75"/>
          <c:y val="0.09025"/>
          <c:w val="0.8527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7!$B$3:$B$33</c:f>
              <c:strCache/>
            </c:strRef>
          </c:cat>
          <c:val>
            <c:numRef>
              <c:f>7!$C$3:$C$33</c:f>
              <c:numCache/>
            </c:numRef>
          </c:val>
          <c:shape val="box"/>
        </c:ser>
        <c:gapWidth val="20"/>
        <c:gapDepth val="0"/>
        <c:shape val="box"/>
        <c:axId val="17485341"/>
        <c:axId val="23150342"/>
      </c:bar3D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2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8"/>
              <c:y val="-0.3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7485341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125"/>
          <c:w val="0.33975"/>
          <c:h val="0.619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69"/>
          <c:w val="0.11525"/>
          <c:h val="0.3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9275"/>
          <c:w val="0.607"/>
          <c:h val="0.5262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3325"/>
          <c:w val="0.121"/>
          <c:h val="0.25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225"/>
          <c:w val="0.59175"/>
          <c:h val="0.52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39025"/>
          <c:w val="0.144"/>
          <c:h val="0.3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0.22825</cdr:x>
      <cdr:y>0.31125</cdr:y>
    </cdr:from>
    <cdr:to>
      <cdr:x>0.564</cdr:x>
      <cdr:y>0.34775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781175"/>
          <a:ext cx="3105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全国47都道府県中26番目に多く火災が発生した</a:t>
          </a:r>
        </a:p>
      </cdr:txBody>
    </cdr:sp>
  </cdr:relSizeAnchor>
  <cdr:relSizeAnchor xmlns:cdr="http://schemas.openxmlformats.org/drawingml/2006/chartDrawing">
    <cdr:from>
      <cdr:x>0.63</cdr:x>
      <cdr:y>0.658</cdr:y>
    </cdr:from>
    <cdr:to>
      <cdr:x>0.736</cdr:x>
      <cdr:y>0.6945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378142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山口県７０７件</a:t>
          </a:r>
        </a:p>
      </cdr:txBody>
    </cdr:sp>
  </cdr:relSizeAnchor>
  <cdr:relSizeAnchor xmlns:cdr="http://schemas.openxmlformats.org/drawingml/2006/chartDrawing">
    <cdr:from>
      <cdr:x>0.49925</cdr:x>
      <cdr:y>1</cdr:y>
    </cdr:from>
    <cdr:to>
      <cdr:x>0.49925</cdr:x>
      <cdr:y>1</cdr:y>
    </cdr:to>
    <cdr:sp>
      <cdr:nvSpPr>
        <cdr:cNvPr id="3" name="Line 3"/>
        <cdr:cNvSpPr>
          <a:spLocks/>
        </cdr:cNvSpPr>
      </cdr:nvSpPr>
      <cdr:spPr>
        <a:xfrm>
          <a:off x="46101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0.6955</cdr:y>
    </cdr:from>
    <cdr:to>
      <cdr:x>0.63</cdr:x>
      <cdr:y>0.77775</cdr:y>
    </cdr:to>
    <cdr:sp>
      <cdr:nvSpPr>
        <cdr:cNvPr id="4" name="Line 4"/>
        <cdr:cNvSpPr>
          <a:spLocks/>
        </cdr:cNvSpPr>
      </cdr:nvSpPr>
      <cdr:spPr>
        <a:xfrm flipH="1">
          <a:off x="5657850" y="4000500"/>
          <a:ext cx="161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35</xdr:row>
      <xdr:rowOff>95250</xdr:rowOff>
    </xdr:from>
    <xdr:to>
      <xdr:col>13</xdr:col>
      <xdr:colOff>447675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866775" y="6096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0.799</cdr:y>
    </cdr:from>
    <cdr:to>
      <cdr:x>0.84125</cdr:x>
      <cdr:y>0.799</cdr:y>
    </cdr:to>
    <cdr:sp>
      <cdr:nvSpPr>
        <cdr:cNvPr id="1" name="Line 1"/>
        <cdr:cNvSpPr>
          <a:spLocks/>
        </cdr:cNvSpPr>
      </cdr:nvSpPr>
      <cdr:spPr>
        <a:xfrm>
          <a:off x="981075" y="3695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0.7135</cdr:x>
      <cdr:y>0.755</cdr:y>
    </cdr:from>
    <cdr:to>
      <cdr:x>0.84125</cdr:x>
      <cdr:y>0.79825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3486150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１，８７１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10</xdr:col>
      <xdr:colOff>200025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1371600" y="617220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0.08825</cdr:y>
    </cdr:from>
    <cdr:to>
      <cdr:x>0.6885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0.17425</cdr:y>
    </cdr:from>
    <cdr:to>
      <cdr:x>0.934</cdr:x>
      <cdr:y>0.2595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657225"/>
          <a:ext cx="733425" cy="3238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合計３４９件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0.21875</cdr:y>
    </cdr:from>
    <cdr:to>
      <cdr:x>0.6765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12573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0.51575</cdr:x>
      <cdr:y>0.381</cdr:y>
    </cdr:from>
    <cdr:to>
      <cdr:x>0.6045</cdr:x>
      <cdr:y>0.419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2190750"/>
          <a:ext cx="8667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</a:t>
          </a:r>
        </a:p>
      </cdr:txBody>
    </cdr:sp>
  </cdr:relSizeAnchor>
  <cdr:relSizeAnchor xmlns:cdr="http://schemas.openxmlformats.org/drawingml/2006/chartDrawing">
    <cdr:from>
      <cdr:x>0.49</cdr:x>
      <cdr:y>0.41775</cdr:y>
    </cdr:from>
    <cdr:to>
      <cdr:x>0.51575</cdr:x>
      <cdr:y>0.50025</cdr:y>
    </cdr:to>
    <cdr:sp>
      <cdr:nvSpPr>
        <cdr:cNvPr id="3" name="Line 3"/>
        <cdr:cNvSpPr>
          <a:spLocks/>
        </cdr:cNvSpPr>
      </cdr:nvSpPr>
      <cdr:spPr>
        <a:xfrm flipH="1">
          <a:off x="4772025" y="2400300"/>
          <a:ext cx="247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753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0.297</cdr:y>
    </cdr:from>
    <cdr:to>
      <cdr:x>0.5945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09700"/>
          <a:ext cx="2133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全国４７都道府県中多い方から２５番目</a:t>
          </a:r>
        </a:p>
      </cdr:txBody>
    </cdr:sp>
  </cdr:relSizeAnchor>
  <cdr:relSizeAnchor xmlns:cdr="http://schemas.openxmlformats.org/drawingml/2006/chartDrawing">
    <cdr:from>
      <cdr:x>0.59075</cdr:x>
      <cdr:y>0.52975</cdr:y>
    </cdr:from>
    <cdr:to>
      <cdr:x>0.68125</cdr:x>
      <cdr:y>0.56975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2514600"/>
          <a:ext cx="742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山口県３６人</a:t>
          </a:r>
        </a:p>
      </cdr:txBody>
    </cdr:sp>
  </cdr:relSizeAnchor>
  <cdr:relSizeAnchor xmlns:cdr="http://schemas.openxmlformats.org/drawingml/2006/chartDrawing">
    <cdr:from>
      <cdr:x>0.546</cdr:x>
      <cdr:y>0.5715</cdr:y>
    </cdr:from>
    <cdr:to>
      <cdr:x>0.59075</cdr:x>
      <cdr:y>0.6695</cdr:y>
    </cdr:to>
    <cdr:sp>
      <cdr:nvSpPr>
        <cdr:cNvPr id="3" name="Line 3"/>
        <cdr:cNvSpPr>
          <a:spLocks/>
        </cdr:cNvSpPr>
      </cdr:nvSpPr>
      <cdr:spPr>
        <a:xfrm flipH="1">
          <a:off x="4476750" y="2714625"/>
          <a:ext cx="371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0.22525</cdr:y>
    </cdr:from>
    <cdr:to>
      <cdr:x>0.69625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90487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0.3645</cdr:x>
      <cdr:y>0.35475</cdr:y>
    </cdr:from>
    <cdr:to>
      <cdr:x>0.4495</cdr:x>
      <cdr:y>0.41375</cdr:y>
    </cdr:to>
    <cdr:sp>
      <cdr:nvSpPr>
        <cdr:cNvPr id="2" name="Line 2"/>
        <cdr:cNvSpPr>
          <a:spLocks/>
        </cdr:cNvSpPr>
      </cdr:nvSpPr>
      <cdr:spPr>
        <a:xfrm flipH="1">
          <a:off x="2352675" y="142875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0.31025</cdr:y>
    </cdr:from>
    <cdr:to>
      <cdr:x>0.534</cdr:x>
      <cdr:y>0.348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47775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山口県2.39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0.35925</cdr:y>
    </cdr:from>
    <cdr:to>
      <cdr:x>0.76875</cdr:x>
      <cdr:y>0.4135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2009775"/>
          <a:ext cx="3543300" cy="304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0.13075</cdr:x>
      <cdr:y>0.73125</cdr:y>
    </cdr:from>
    <cdr:to>
      <cdr:x>0.9115</cdr:x>
      <cdr:y>0.73125</cdr:y>
    </cdr:to>
    <cdr:sp>
      <cdr:nvSpPr>
        <cdr:cNvPr id="2" name="Line 2"/>
        <cdr:cNvSpPr>
          <a:spLocks/>
        </cdr:cNvSpPr>
      </cdr:nvSpPr>
      <cdr:spPr>
        <a:xfrm>
          <a:off x="1190625" y="410527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0.6985</cdr:y>
    </cdr:from>
    <cdr:to>
      <cdr:x>0.912</cdr:x>
      <cdr:y>0.7325</cdr:y>
    </cdr:to>
    <cdr:sp>
      <cdr:nvSpPr>
        <cdr:cNvPr id="3" name="TextBox 3"/>
        <cdr:cNvSpPr txBox="1">
          <a:spLocks noChangeArrowheads="1"/>
        </cdr:cNvSpPr>
      </cdr:nvSpPr>
      <cdr:spPr>
        <a:xfrm>
          <a:off x="8048625" y="39243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6.47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355</v>
      </c>
      <c r="B1" s="700"/>
      <c r="C1" s="700"/>
      <c r="D1" s="700"/>
    </row>
    <row r="2" spans="1:4" s="1" customFormat="1" ht="14.25" customHeight="1">
      <c r="A2" s="2" t="s">
        <v>351</v>
      </c>
      <c r="B2" s="2" t="s">
        <v>356</v>
      </c>
      <c r="C2" s="2" t="s">
        <v>353</v>
      </c>
      <c r="D2" s="2" t="s">
        <v>354</v>
      </c>
    </row>
    <row r="3" spans="1:4" s="1" customFormat="1" ht="14.25" customHeight="1">
      <c r="A3" s="42">
        <v>1</v>
      </c>
      <c r="B3" s="42" t="s">
        <v>658</v>
      </c>
      <c r="C3" s="43"/>
      <c r="D3" s="43" t="s">
        <v>357</v>
      </c>
    </row>
    <row r="4" spans="1:4" s="1" customFormat="1" ht="14.25" customHeight="1">
      <c r="A4" s="1">
        <v>2</v>
      </c>
      <c r="B4" s="1" t="s">
        <v>659</v>
      </c>
      <c r="C4" s="2"/>
      <c r="D4" s="2" t="s">
        <v>357</v>
      </c>
    </row>
    <row r="5" spans="1:4" s="1" customFormat="1" ht="14.25" customHeight="1">
      <c r="A5" s="42">
        <v>3</v>
      </c>
      <c r="B5" s="42" t="s">
        <v>660</v>
      </c>
      <c r="C5" s="43"/>
      <c r="D5" s="43" t="s">
        <v>357</v>
      </c>
    </row>
    <row r="6" spans="1:4" s="1" customFormat="1" ht="14.25" customHeight="1">
      <c r="A6" s="1">
        <v>4</v>
      </c>
      <c r="B6" s="1" t="s">
        <v>661</v>
      </c>
      <c r="C6" s="2"/>
      <c r="D6" s="2" t="s">
        <v>357</v>
      </c>
    </row>
    <row r="7" spans="1:4" s="1" customFormat="1" ht="14.25" customHeight="1">
      <c r="A7" s="42">
        <v>5</v>
      </c>
      <c r="B7" s="42" t="s">
        <v>424</v>
      </c>
      <c r="C7" s="43" t="s">
        <v>357</v>
      </c>
      <c r="D7" s="43"/>
    </row>
    <row r="8" spans="1:4" s="1" customFormat="1" ht="14.25" customHeight="1">
      <c r="A8" s="1">
        <v>6</v>
      </c>
      <c r="B8" s="1" t="s">
        <v>662</v>
      </c>
      <c r="C8" s="2"/>
      <c r="D8" s="2" t="s">
        <v>357</v>
      </c>
    </row>
    <row r="9" spans="1:4" s="1" customFormat="1" ht="14.25" customHeight="1">
      <c r="A9" s="42">
        <v>7</v>
      </c>
      <c r="B9" s="42" t="s">
        <v>663</v>
      </c>
      <c r="C9" s="43"/>
      <c r="D9" s="43" t="s">
        <v>357</v>
      </c>
    </row>
    <row r="10" spans="1:4" s="1" customFormat="1" ht="14.25" customHeight="1">
      <c r="A10" s="1">
        <v>8</v>
      </c>
      <c r="B10" s="1" t="s">
        <v>664</v>
      </c>
      <c r="C10" s="2" t="s">
        <v>357</v>
      </c>
      <c r="D10" s="2"/>
    </row>
    <row r="11" spans="1:4" s="1" customFormat="1" ht="14.25" customHeight="1">
      <c r="A11" s="42">
        <v>9</v>
      </c>
      <c r="B11" s="42" t="s">
        <v>426</v>
      </c>
      <c r="C11" s="43" t="s">
        <v>357</v>
      </c>
      <c r="D11" s="43"/>
    </row>
    <row r="12" spans="1:4" s="1" customFormat="1" ht="14.25" customHeight="1">
      <c r="A12" s="1">
        <v>10</v>
      </c>
      <c r="B12" s="1" t="s">
        <v>377</v>
      </c>
      <c r="C12" s="2" t="s">
        <v>357</v>
      </c>
      <c r="D12" s="2"/>
    </row>
    <row r="13" spans="1:4" s="1" customFormat="1" ht="14.25" customHeight="1">
      <c r="A13" s="42">
        <v>11</v>
      </c>
      <c r="B13" s="42" t="s">
        <v>352</v>
      </c>
      <c r="C13" s="43" t="s">
        <v>357</v>
      </c>
      <c r="D13" s="43"/>
    </row>
    <row r="14" spans="1:4" s="1" customFormat="1" ht="14.25" customHeight="1">
      <c r="A14" s="1">
        <v>12</v>
      </c>
      <c r="B14" s="1" t="s">
        <v>419</v>
      </c>
      <c r="C14" s="2" t="s">
        <v>357</v>
      </c>
      <c r="D14" s="2"/>
    </row>
    <row r="15" spans="1:4" s="1" customFormat="1" ht="14.25" customHeight="1">
      <c r="A15" s="42">
        <v>13</v>
      </c>
      <c r="B15" s="42" t="s">
        <v>420</v>
      </c>
      <c r="C15" s="43" t="s">
        <v>357</v>
      </c>
      <c r="D15" s="43"/>
    </row>
    <row r="16" spans="1:4" s="1" customFormat="1" ht="14.25" customHeight="1">
      <c r="A16" s="1">
        <v>14</v>
      </c>
      <c r="B16" s="1" t="s">
        <v>665</v>
      </c>
      <c r="C16" s="2" t="s">
        <v>357</v>
      </c>
      <c r="D16" s="2"/>
    </row>
    <row r="17" spans="1:4" s="1" customFormat="1" ht="14.25" customHeight="1">
      <c r="A17" s="42">
        <v>15</v>
      </c>
      <c r="B17" s="42" t="s">
        <v>666</v>
      </c>
      <c r="C17" s="43" t="s">
        <v>357</v>
      </c>
      <c r="D17" s="43"/>
    </row>
    <row r="18" spans="1:4" s="1" customFormat="1" ht="14.25" customHeight="1">
      <c r="A18" s="1">
        <v>16</v>
      </c>
      <c r="B18" s="1" t="s">
        <v>667</v>
      </c>
      <c r="C18" s="2" t="s">
        <v>357</v>
      </c>
      <c r="D18" s="2"/>
    </row>
    <row r="19" spans="1:4" s="1" customFormat="1" ht="14.25" customHeight="1">
      <c r="A19" s="42">
        <v>17</v>
      </c>
      <c r="B19" s="42" t="s">
        <v>668</v>
      </c>
      <c r="C19" s="43" t="s">
        <v>357</v>
      </c>
      <c r="D19" s="43"/>
    </row>
    <row r="20" spans="1:4" s="1" customFormat="1" ht="14.25" customHeight="1">
      <c r="A20" s="1">
        <v>18</v>
      </c>
      <c r="B20" s="44" t="s">
        <v>421</v>
      </c>
      <c r="C20" s="45" t="s">
        <v>357</v>
      </c>
      <c r="D20" s="45"/>
    </row>
    <row r="21" spans="1:4" s="1" customFormat="1" ht="14.25" customHeight="1">
      <c r="A21" s="42">
        <v>19</v>
      </c>
      <c r="B21" s="42" t="s">
        <v>422</v>
      </c>
      <c r="C21" s="43" t="s">
        <v>357</v>
      </c>
      <c r="D21" s="43"/>
    </row>
    <row r="22" spans="1:4" s="1" customFormat="1" ht="14.25" customHeight="1">
      <c r="A22" s="1">
        <v>19</v>
      </c>
      <c r="B22" s="1" t="s">
        <v>423</v>
      </c>
      <c r="C22" s="2" t="s">
        <v>357</v>
      </c>
      <c r="D22" s="2"/>
    </row>
    <row r="23" spans="1:4" s="44" customFormat="1" ht="14.25" customHeight="1">
      <c r="A23" s="42">
        <v>20</v>
      </c>
      <c r="B23" s="42" t="s">
        <v>425</v>
      </c>
      <c r="C23" s="43" t="s">
        <v>357</v>
      </c>
      <c r="D23" s="43"/>
    </row>
    <row r="24" spans="1:4" s="44" customFormat="1" ht="14.25" customHeight="1">
      <c r="A24" s="44">
        <v>20</v>
      </c>
      <c r="B24" s="44" t="s">
        <v>672</v>
      </c>
      <c r="C24" s="45" t="s">
        <v>357</v>
      </c>
      <c r="D24" s="45"/>
    </row>
    <row r="25" spans="1:4" s="44" customFormat="1" ht="14.25" customHeight="1">
      <c r="A25" s="42">
        <v>20</v>
      </c>
      <c r="B25" s="42" t="s">
        <v>673</v>
      </c>
      <c r="C25" s="43" t="s">
        <v>411</v>
      </c>
      <c r="D25" s="43"/>
    </row>
    <row r="26" spans="1:4" s="44" customFormat="1" ht="14.25" customHeight="1">
      <c r="A26" s="44">
        <v>21</v>
      </c>
      <c r="B26" s="44" t="s">
        <v>669</v>
      </c>
      <c r="C26" s="45"/>
      <c r="D26" s="45" t="s">
        <v>381</v>
      </c>
    </row>
    <row r="27" spans="1:4" s="44" customFormat="1" ht="14.25" customHeight="1">
      <c r="A27" s="42">
        <v>22</v>
      </c>
      <c r="B27" s="42" t="s">
        <v>670</v>
      </c>
      <c r="C27" s="43"/>
      <c r="D27" s="43" t="s">
        <v>381</v>
      </c>
    </row>
    <row r="28" spans="1:4" s="44" customFormat="1" ht="14.25" customHeight="1">
      <c r="A28" s="44">
        <v>23</v>
      </c>
      <c r="B28" s="44" t="s">
        <v>671</v>
      </c>
      <c r="C28" s="45"/>
      <c r="D28" s="45" t="s">
        <v>381</v>
      </c>
    </row>
    <row r="29" spans="1:4" s="44" customFormat="1" ht="14.25" customHeight="1">
      <c r="A29" s="42">
        <v>24</v>
      </c>
      <c r="B29" s="42" t="s">
        <v>425</v>
      </c>
      <c r="C29" s="43" t="s">
        <v>357</v>
      </c>
      <c r="D29" s="43"/>
    </row>
    <row r="30" spans="1:4" s="44" customFormat="1" ht="14.25" customHeight="1">
      <c r="A30" s="44">
        <v>24</v>
      </c>
      <c r="B30" s="44" t="s">
        <v>672</v>
      </c>
      <c r="C30" s="45" t="s">
        <v>357</v>
      </c>
      <c r="D30" s="45"/>
    </row>
    <row r="31" spans="1:4" s="44" customFormat="1" ht="14.25" customHeight="1">
      <c r="A31" s="42">
        <v>24</v>
      </c>
      <c r="B31" s="42" t="s">
        <v>673</v>
      </c>
      <c r="C31" s="43" t="s">
        <v>411</v>
      </c>
      <c r="D31" s="43"/>
    </row>
    <row r="32" spans="1:4" s="44" customFormat="1" ht="14.25" customHeight="1">
      <c r="A32" s="44">
        <v>27</v>
      </c>
      <c r="B32" s="44" t="s">
        <v>0</v>
      </c>
      <c r="C32" s="45"/>
      <c r="D32" s="45" t="s">
        <v>1</v>
      </c>
    </row>
    <row r="33" spans="1:4" s="44" customFormat="1" ht="14.25" customHeight="1">
      <c r="A33" s="42">
        <v>28</v>
      </c>
      <c r="B33" s="42" t="s">
        <v>674</v>
      </c>
      <c r="C33" s="43"/>
      <c r="D33" s="43" t="s">
        <v>2</v>
      </c>
    </row>
    <row r="34" spans="1:4" s="44" customFormat="1" ht="14.25" customHeight="1">
      <c r="A34" s="44">
        <v>29</v>
      </c>
      <c r="B34" s="44" t="s">
        <v>675</v>
      </c>
      <c r="C34" s="45"/>
      <c r="D34" s="45" t="s">
        <v>1</v>
      </c>
    </row>
    <row r="35" spans="1:4" s="44" customFormat="1" ht="14.25" customHeight="1">
      <c r="A35" s="42">
        <v>30</v>
      </c>
      <c r="B35" s="42" t="s">
        <v>676</v>
      </c>
      <c r="C35" s="43"/>
      <c r="D35" s="43" t="s">
        <v>2</v>
      </c>
    </row>
    <row r="36" spans="1:4" s="44" customFormat="1" ht="13.5">
      <c r="A36" s="44">
        <v>31</v>
      </c>
      <c r="B36" s="44" t="s">
        <v>3</v>
      </c>
      <c r="D36" s="45" t="s">
        <v>1</v>
      </c>
    </row>
    <row r="37" spans="1:4" s="44" customFormat="1" ht="13.5">
      <c r="A37" s="42">
        <v>32</v>
      </c>
      <c r="B37" s="42" t="s">
        <v>4</v>
      </c>
      <c r="C37" s="42"/>
      <c r="D37" s="43" t="s">
        <v>2</v>
      </c>
    </row>
    <row r="38" spans="1:4" s="44" customFormat="1" ht="13.5">
      <c r="A38" s="44">
        <v>33</v>
      </c>
      <c r="B38" s="44" t="s">
        <v>5</v>
      </c>
      <c r="D38" s="45" t="s">
        <v>1</v>
      </c>
    </row>
    <row r="39" spans="1:4" s="44" customFormat="1" ht="13.5">
      <c r="A39" s="42">
        <v>34</v>
      </c>
      <c r="B39" s="42" t="s">
        <v>6</v>
      </c>
      <c r="C39" s="42"/>
      <c r="D39" s="43" t="s">
        <v>2</v>
      </c>
    </row>
    <row r="40" spans="1:4" s="44" customFormat="1" ht="13.5">
      <c r="A40" s="44">
        <v>35</v>
      </c>
      <c r="B40" s="44" t="s">
        <v>677</v>
      </c>
      <c r="D40" s="45" t="s">
        <v>1</v>
      </c>
    </row>
    <row r="41" spans="1:4" s="44" customFormat="1" ht="13.5">
      <c r="A41" s="42">
        <v>36</v>
      </c>
      <c r="B41" s="42" t="s">
        <v>678</v>
      </c>
      <c r="C41" s="42"/>
      <c r="D41" s="43" t="s">
        <v>2</v>
      </c>
    </row>
    <row r="42" spans="1:4" s="44" customFormat="1" ht="13.5">
      <c r="A42" s="44">
        <v>37</v>
      </c>
      <c r="B42" s="44" t="s">
        <v>425</v>
      </c>
      <c r="D42" s="45" t="s">
        <v>1</v>
      </c>
    </row>
    <row r="43" spans="1:4" s="44" customFormat="1" ht="13.5">
      <c r="A43" s="42">
        <v>38</v>
      </c>
      <c r="B43" s="42" t="s">
        <v>679</v>
      </c>
      <c r="C43" s="42"/>
      <c r="D43" s="4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0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8" sqref="A18:A29"/>
    </sheetView>
  </sheetViews>
  <sheetFormatPr defaultColWidth="9.00390625" defaultRowHeight="13.5"/>
  <cols>
    <col min="1" max="1" width="3.75390625" style="47" customWidth="1"/>
    <col min="2" max="2" width="7.625" style="47" customWidth="1"/>
    <col min="3" max="17" width="4.875" style="47" customWidth="1"/>
    <col min="18" max="18" width="5.50390625" style="47" customWidth="1"/>
    <col min="19" max="20" width="4.625" style="47" customWidth="1"/>
    <col min="21" max="22" width="4.875" style="47" customWidth="1"/>
    <col min="23" max="26" width="4.625" style="47" customWidth="1"/>
    <col min="27" max="28" width="7.625" style="47" customWidth="1"/>
    <col min="29" max="31" width="8.625" style="47" customWidth="1"/>
    <col min="32" max="37" width="7.25390625" style="47" customWidth="1"/>
    <col min="38" max="38" width="9.75390625" style="47" customWidth="1"/>
    <col min="39" max="16384" width="9.00390625" style="47" customWidth="1"/>
  </cols>
  <sheetData>
    <row r="1" spans="22:23" ht="19.5" customHeight="1">
      <c r="V1" s="78" t="s">
        <v>360</v>
      </c>
      <c r="W1" s="79" t="s">
        <v>155</v>
      </c>
    </row>
    <row r="2" spans="33:38" ht="19.5" customHeight="1" thickBot="1">
      <c r="AG2" s="150"/>
      <c r="AH2" s="150"/>
      <c r="AI2" s="150"/>
      <c r="AJ2" s="150"/>
      <c r="AK2" s="150"/>
      <c r="AL2" s="150"/>
    </row>
    <row r="3" spans="1:38" ht="42" customHeight="1">
      <c r="A3" s="768"/>
      <c r="B3" s="769"/>
      <c r="C3" s="774" t="s">
        <v>156</v>
      </c>
      <c r="D3" s="775"/>
      <c r="E3" s="775"/>
      <c r="F3" s="775"/>
      <c r="G3" s="775"/>
      <c r="H3" s="775"/>
      <c r="I3" s="776"/>
      <c r="J3" s="763" t="s">
        <v>157</v>
      </c>
      <c r="K3" s="775"/>
      <c r="L3" s="775"/>
      <c r="M3" s="764"/>
      <c r="N3" s="760" t="s">
        <v>158</v>
      </c>
      <c r="O3" s="761"/>
      <c r="P3" s="761"/>
      <c r="Q3" s="762"/>
      <c r="R3" s="757" t="s">
        <v>146</v>
      </c>
      <c r="S3" s="760" t="s">
        <v>159</v>
      </c>
      <c r="T3" s="761"/>
      <c r="U3" s="761"/>
      <c r="V3" s="762"/>
      <c r="W3" s="760" t="s">
        <v>160</v>
      </c>
      <c r="X3" s="761"/>
      <c r="Y3" s="761"/>
      <c r="Z3" s="762"/>
      <c r="AA3" s="763" t="s">
        <v>161</v>
      </c>
      <c r="AB3" s="764"/>
      <c r="AC3" s="791" t="s">
        <v>162</v>
      </c>
      <c r="AD3" s="792"/>
      <c r="AE3" s="792"/>
      <c r="AF3" s="792"/>
      <c r="AG3" s="792"/>
      <c r="AH3" s="792"/>
      <c r="AI3" s="792"/>
      <c r="AJ3" s="793"/>
      <c r="AK3" s="793"/>
      <c r="AL3" s="794"/>
    </row>
    <row r="4" spans="1:38" ht="27" customHeight="1">
      <c r="A4" s="770"/>
      <c r="B4" s="771"/>
      <c r="C4" s="795" t="s">
        <v>133</v>
      </c>
      <c r="D4" s="783" t="s">
        <v>134</v>
      </c>
      <c r="E4" s="783" t="s">
        <v>135</v>
      </c>
      <c r="F4" s="783" t="s">
        <v>136</v>
      </c>
      <c r="G4" s="783" t="s">
        <v>137</v>
      </c>
      <c r="H4" s="783" t="s">
        <v>138</v>
      </c>
      <c r="I4" s="779" t="s">
        <v>163</v>
      </c>
      <c r="J4" s="789" t="s">
        <v>141</v>
      </c>
      <c r="K4" s="766" t="s">
        <v>142</v>
      </c>
      <c r="L4" s="777" t="s">
        <v>164</v>
      </c>
      <c r="M4" s="779" t="s">
        <v>163</v>
      </c>
      <c r="N4" s="749" t="s">
        <v>165</v>
      </c>
      <c r="O4" s="766" t="s">
        <v>166</v>
      </c>
      <c r="P4" s="766" t="s">
        <v>167</v>
      </c>
      <c r="Q4" s="781" t="s">
        <v>163</v>
      </c>
      <c r="R4" s="758"/>
      <c r="S4" s="749" t="s">
        <v>168</v>
      </c>
      <c r="T4" s="766" t="s">
        <v>169</v>
      </c>
      <c r="U4" s="766" t="s">
        <v>138</v>
      </c>
      <c r="V4" s="781" t="s">
        <v>163</v>
      </c>
      <c r="W4" s="749" t="s">
        <v>168</v>
      </c>
      <c r="X4" s="766" t="s">
        <v>169</v>
      </c>
      <c r="Y4" s="766" t="s">
        <v>138</v>
      </c>
      <c r="Z4" s="781" t="s">
        <v>163</v>
      </c>
      <c r="AA4" s="785" t="s">
        <v>170</v>
      </c>
      <c r="AB4" s="787" t="s">
        <v>171</v>
      </c>
      <c r="AC4" s="809" t="s">
        <v>172</v>
      </c>
      <c r="AD4" s="810"/>
      <c r="AE4" s="810"/>
      <c r="AF4" s="766" t="s">
        <v>173</v>
      </c>
      <c r="AG4" s="783" t="s">
        <v>174</v>
      </c>
      <c r="AH4" s="783" t="s">
        <v>175</v>
      </c>
      <c r="AI4" s="783" t="s">
        <v>176</v>
      </c>
      <c r="AJ4" s="766" t="s">
        <v>177</v>
      </c>
      <c r="AK4" s="766" t="s">
        <v>372</v>
      </c>
      <c r="AL4" s="779" t="s">
        <v>163</v>
      </c>
    </row>
    <row r="5" spans="1:38" ht="56.25" customHeight="1" thickBot="1">
      <c r="A5" s="772"/>
      <c r="B5" s="773"/>
      <c r="C5" s="796"/>
      <c r="D5" s="784"/>
      <c r="E5" s="784"/>
      <c r="F5" s="784"/>
      <c r="G5" s="784"/>
      <c r="H5" s="784"/>
      <c r="I5" s="780"/>
      <c r="J5" s="790"/>
      <c r="K5" s="767"/>
      <c r="L5" s="778"/>
      <c r="M5" s="780"/>
      <c r="N5" s="765"/>
      <c r="O5" s="767"/>
      <c r="P5" s="767"/>
      <c r="Q5" s="782"/>
      <c r="R5" s="759"/>
      <c r="S5" s="765"/>
      <c r="T5" s="767"/>
      <c r="U5" s="767"/>
      <c r="V5" s="782"/>
      <c r="W5" s="765"/>
      <c r="X5" s="767"/>
      <c r="Y5" s="767"/>
      <c r="Z5" s="782"/>
      <c r="AA5" s="786"/>
      <c r="AB5" s="788"/>
      <c r="AC5" s="70" t="s">
        <v>133</v>
      </c>
      <c r="AD5" s="68" t="s">
        <v>178</v>
      </c>
      <c r="AE5" s="68" t="s">
        <v>163</v>
      </c>
      <c r="AF5" s="767"/>
      <c r="AG5" s="784"/>
      <c r="AH5" s="784"/>
      <c r="AI5" s="784"/>
      <c r="AJ5" s="767"/>
      <c r="AK5" s="767"/>
      <c r="AL5" s="780"/>
    </row>
    <row r="6" spans="1:38" s="71" customFormat="1" ht="33.75" customHeight="1">
      <c r="A6" s="807" t="s">
        <v>179</v>
      </c>
      <c r="B6" s="808"/>
      <c r="C6" s="56">
        <v>443</v>
      </c>
      <c r="D6" s="57">
        <v>97</v>
      </c>
      <c r="E6" s="57">
        <v>68</v>
      </c>
      <c r="F6" s="57">
        <v>2</v>
      </c>
      <c r="G6" s="57">
        <v>0</v>
      </c>
      <c r="H6" s="57">
        <v>266</v>
      </c>
      <c r="I6" s="58">
        <f aca="true" t="shared" si="0" ref="I6:I15">SUM(C6:H6)</f>
        <v>876</v>
      </c>
      <c r="J6" s="65">
        <v>191</v>
      </c>
      <c r="K6" s="57">
        <v>45</v>
      </c>
      <c r="L6" s="57">
        <v>381</v>
      </c>
      <c r="M6" s="66">
        <f aca="true" t="shared" si="1" ref="M6:M15">SUM(J6:L6)</f>
        <v>617</v>
      </c>
      <c r="N6" s="56">
        <v>123</v>
      </c>
      <c r="O6" s="57">
        <v>26</v>
      </c>
      <c r="P6" s="57">
        <v>249</v>
      </c>
      <c r="Q6" s="58">
        <f aca="true" t="shared" si="2" ref="Q6:Q15">SUM(N6:P6)</f>
        <v>398</v>
      </c>
      <c r="R6" s="77">
        <v>1105</v>
      </c>
      <c r="S6" s="56">
        <v>0</v>
      </c>
      <c r="T6" s="57">
        <v>0</v>
      </c>
      <c r="U6" s="57">
        <v>25</v>
      </c>
      <c r="V6" s="58">
        <f aca="true" t="shared" si="3" ref="V6:V15">SUM(S6:U6)</f>
        <v>25</v>
      </c>
      <c r="W6" s="56">
        <v>6</v>
      </c>
      <c r="X6" s="57">
        <v>5</v>
      </c>
      <c r="Y6" s="57">
        <v>93</v>
      </c>
      <c r="Z6" s="58">
        <f aca="true" t="shared" si="4" ref="Z6:Z15">SUM(W6:Y6)</f>
        <v>104</v>
      </c>
      <c r="AA6" s="142">
        <v>24619</v>
      </c>
      <c r="AB6" s="143">
        <v>3841</v>
      </c>
      <c r="AC6" s="56">
        <v>936173</v>
      </c>
      <c r="AD6" s="57">
        <v>476435</v>
      </c>
      <c r="AE6" s="57">
        <f aca="true" t="shared" si="5" ref="AE6:AE15">SUM(AC6:AD6)</f>
        <v>1412608</v>
      </c>
      <c r="AF6" s="57">
        <v>19675</v>
      </c>
      <c r="AG6" s="57">
        <v>23117</v>
      </c>
      <c r="AH6" s="57">
        <v>35</v>
      </c>
      <c r="AI6" s="57">
        <v>0</v>
      </c>
      <c r="AJ6" s="57">
        <v>30746</v>
      </c>
      <c r="AK6" s="66">
        <v>0</v>
      </c>
      <c r="AL6" s="58">
        <f aca="true" t="shared" si="6" ref="AL6:AL15">SUM(AE6:AK6)</f>
        <v>1486181</v>
      </c>
    </row>
    <row r="7" spans="1:38" s="71" customFormat="1" ht="33.75" customHeight="1">
      <c r="A7" s="800" t="s">
        <v>180</v>
      </c>
      <c r="B7" s="801"/>
      <c r="C7" s="48">
        <v>427</v>
      </c>
      <c r="D7" s="49">
        <v>91</v>
      </c>
      <c r="E7" s="49">
        <v>78</v>
      </c>
      <c r="F7" s="49">
        <v>5</v>
      </c>
      <c r="G7" s="49">
        <v>0</v>
      </c>
      <c r="H7" s="49">
        <v>209</v>
      </c>
      <c r="I7" s="50">
        <f t="shared" si="0"/>
        <v>810</v>
      </c>
      <c r="J7" s="60">
        <v>177</v>
      </c>
      <c r="K7" s="49">
        <v>61</v>
      </c>
      <c r="L7" s="49">
        <v>353</v>
      </c>
      <c r="M7" s="61">
        <f t="shared" si="1"/>
        <v>591</v>
      </c>
      <c r="N7" s="48">
        <v>125</v>
      </c>
      <c r="O7" s="49">
        <v>47</v>
      </c>
      <c r="P7" s="49">
        <v>212</v>
      </c>
      <c r="Q7" s="50">
        <f t="shared" si="2"/>
        <v>384</v>
      </c>
      <c r="R7" s="74">
        <v>1075</v>
      </c>
      <c r="S7" s="48">
        <v>0</v>
      </c>
      <c r="T7" s="49">
        <v>0</v>
      </c>
      <c r="U7" s="49">
        <v>18</v>
      </c>
      <c r="V7" s="50">
        <f t="shared" si="3"/>
        <v>18</v>
      </c>
      <c r="W7" s="48">
        <v>0</v>
      </c>
      <c r="X7" s="49">
        <v>1</v>
      </c>
      <c r="Y7" s="49">
        <v>95</v>
      </c>
      <c r="Z7" s="50">
        <f t="shared" si="4"/>
        <v>96</v>
      </c>
      <c r="AA7" s="136">
        <v>25623</v>
      </c>
      <c r="AB7" s="137">
        <v>2232</v>
      </c>
      <c r="AC7" s="48">
        <v>1216189</v>
      </c>
      <c r="AD7" s="49">
        <v>571898</v>
      </c>
      <c r="AE7" s="49">
        <f t="shared" si="5"/>
        <v>1788087</v>
      </c>
      <c r="AF7" s="49">
        <v>10501</v>
      </c>
      <c r="AG7" s="49">
        <v>103380</v>
      </c>
      <c r="AH7" s="49">
        <v>6624</v>
      </c>
      <c r="AI7" s="49">
        <v>0</v>
      </c>
      <c r="AJ7" s="49">
        <v>3153</v>
      </c>
      <c r="AK7" s="61">
        <v>0</v>
      </c>
      <c r="AL7" s="50">
        <f t="shared" si="6"/>
        <v>1911745</v>
      </c>
    </row>
    <row r="8" spans="1:38" s="71" customFormat="1" ht="33.75" customHeight="1">
      <c r="A8" s="800" t="s">
        <v>181</v>
      </c>
      <c r="B8" s="801"/>
      <c r="C8" s="48">
        <v>410</v>
      </c>
      <c r="D8" s="49">
        <v>94</v>
      </c>
      <c r="E8" s="49">
        <v>75</v>
      </c>
      <c r="F8" s="49">
        <v>0</v>
      </c>
      <c r="G8" s="49">
        <v>0</v>
      </c>
      <c r="H8" s="49">
        <v>210</v>
      </c>
      <c r="I8" s="50">
        <f t="shared" si="0"/>
        <v>789</v>
      </c>
      <c r="J8" s="60">
        <v>198</v>
      </c>
      <c r="K8" s="49">
        <v>56</v>
      </c>
      <c r="L8" s="49">
        <v>362</v>
      </c>
      <c r="M8" s="61">
        <f t="shared" si="1"/>
        <v>616</v>
      </c>
      <c r="N8" s="48">
        <v>130</v>
      </c>
      <c r="O8" s="49">
        <v>40</v>
      </c>
      <c r="P8" s="49">
        <v>244</v>
      </c>
      <c r="Q8" s="50">
        <f t="shared" si="2"/>
        <v>414</v>
      </c>
      <c r="R8" s="74">
        <v>1082</v>
      </c>
      <c r="S8" s="48">
        <v>0</v>
      </c>
      <c r="T8" s="49">
        <v>0</v>
      </c>
      <c r="U8" s="49">
        <v>33</v>
      </c>
      <c r="V8" s="50">
        <f t="shared" si="3"/>
        <v>33</v>
      </c>
      <c r="W8" s="48">
        <v>6</v>
      </c>
      <c r="X8" s="49">
        <v>6</v>
      </c>
      <c r="Y8" s="49">
        <v>79</v>
      </c>
      <c r="Z8" s="50">
        <f t="shared" si="4"/>
        <v>91</v>
      </c>
      <c r="AA8" s="136">
        <v>25321</v>
      </c>
      <c r="AB8" s="137">
        <v>1437</v>
      </c>
      <c r="AC8" s="48">
        <v>941003</v>
      </c>
      <c r="AD8" s="49">
        <v>444090</v>
      </c>
      <c r="AE8" s="49">
        <f t="shared" si="5"/>
        <v>1385093</v>
      </c>
      <c r="AF8" s="49">
        <v>3136</v>
      </c>
      <c r="AG8" s="49">
        <v>38052</v>
      </c>
      <c r="AH8" s="49">
        <v>0</v>
      </c>
      <c r="AI8" s="49">
        <v>0</v>
      </c>
      <c r="AJ8" s="49">
        <v>33949</v>
      </c>
      <c r="AK8" s="61">
        <v>0</v>
      </c>
      <c r="AL8" s="50">
        <f t="shared" si="6"/>
        <v>1460230</v>
      </c>
    </row>
    <row r="9" spans="1:38" s="71" customFormat="1" ht="33.75" customHeight="1">
      <c r="A9" s="800" t="s">
        <v>549</v>
      </c>
      <c r="B9" s="801"/>
      <c r="C9" s="48">
        <v>414</v>
      </c>
      <c r="D9" s="49">
        <v>63</v>
      </c>
      <c r="E9" s="49">
        <v>74</v>
      </c>
      <c r="F9" s="49">
        <v>5</v>
      </c>
      <c r="G9" s="49">
        <v>0</v>
      </c>
      <c r="H9" s="49">
        <v>145</v>
      </c>
      <c r="I9" s="50">
        <f t="shared" si="0"/>
        <v>701</v>
      </c>
      <c r="J9" s="60">
        <v>209</v>
      </c>
      <c r="K9" s="49">
        <v>48</v>
      </c>
      <c r="L9" s="49">
        <v>374</v>
      </c>
      <c r="M9" s="61">
        <f t="shared" si="1"/>
        <v>631</v>
      </c>
      <c r="N9" s="48">
        <v>121</v>
      </c>
      <c r="O9" s="49">
        <v>27</v>
      </c>
      <c r="P9" s="49">
        <v>241</v>
      </c>
      <c r="Q9" s="50">
        <f t="shared" si="2"/>
        <v>389</v>
      </c>
      <c r="R9" s="74">
        <v>995</v>
      </c>
      <c r="S9" s="48">
        <v>0</v>
      </c>
      <c r="T9" s="49">
        <v>0</v>
      </c>
      <c r="U9" s="49">
        <v>42</v>
      </c>
      <c r="V9" s="50">
        <f t="shared" si="3"/>
        <v>42</v>
      </c>
      <c r="W9" s="48">
        <v>2</v>
      </c>
      <c r="X9" s="49">
        <v>1</v>
      </c>
      <c r="Y9" s="49">
        <v>77</v>
      </c>
      <c r="Z9" s="50">
        <f t="shared" si="4"/>
        <v>80</v>
      </c>
      <c r="AA9" s="136">
        <v>24181</v>
      </c>
      <c r="AB9" s="137">
        <v>535</v>
      </c>
      <c r="AC9" s="48">
        <v>814621</v>
      </c>
      <c r="AD9" s="49">
        <v>404973</v>
      </c>
      <c r="AE9" s="49">
        <f t="shared" si="5"/>
        <v>1219594</v>
      </c>
      <c r="AF9" s="49">
        <v>1281</v>
      </c>
      <c r="AG9" s="49">
        <v>29776</v>
      </c>
      <c r="AH9" s="49">
        <v>5324</v>
      </c>
      <c r="AI9" s="49">
        <v>0</v>
      </c>
      <c r="AJ9" s="49">
        <v>9459</v>
      </c>
      <c r="AK9" s="61">
        <v>0</v>
      </c>
      <c r="AL9" s="50">
        <f t="shared" si="6"/>
        <v>1265434</v>
      </c>
    </row>
    <row r="10" spans="1:38" s="71" customFormat="1" ht="33.75" customHeight="1">
      <c r="A10" s="800" t="s">
        <v>34</v>
      </c>
      <c r="B10" s="801"/>
      <c r="C10" s="48">
        <v>404</v>
      </c>
      <c r="D10" s="49">
        <v>85</v>
      </c>
      <c r="E10" s="49">
        <v>97</v>
      </c>
      <c r="F10" s="49">
        <v>1</v>
      </c>
      <c r="G10" s="49">
        <v>0</v>
      </c>
      <c r="H10" s="49">
        <v>155</v>
      </c>
      <c r="I10" s="50">
        <f t="shared" si="0"/>
        <v>742</v>
      </c>
      <c r="J10" s="60">
        <v>162</v>
      </c>
      <c r="K10" s="49">
        <v>43</v>
      </c>
      <c r="L10" s="49">
        <v>350</v>
      </c>
      <c r="M10" s="61">
        <f t="shared" si="1"/>
        <v>555</v>
      </c>
      <c r="N10" s="48">
        <v>106</v>
      </c>
      <c r="O10" s="49">
        <v>28</v>
      </c>
      <c r="P10" s="49">
        <v>238</v>
      </c>
      <c r="Q10" s="50">
        <f t="shared" si="2"/>
        <v>372</v>
      </c>
      <c r="R10" s="74">
        <v>967</v>
      </c>
      <c r="S10" s="48">
        <v>0</v>
      </c>
      <c r="T10" s="49">
        <v>0</v>
      </c>
      <c r="U10" s="49">
        <v>28</v>
      </c>
      <c r="V10" s="50">
        <f t="shared" si="3"/>
        <v>28</v>
      </c>
      <c r="W10" s="48">
        <v>2</v>
      </c>
      <c r="X10" s="49">
        <v>9</v>
      </c>
      <c r="Y10" s="49">
        <v>84</v>
      </c>
      <c r="Z10" s="50">
        <f t="shared" si="4"/>
        <v>95</v>
      </c>
      <c r="AA10" s="136">
        <v>22396</v>
      </c>
      <c r="AB10" s="137">
        <v>3111</v>
      </c>
      <c r="AC10" s="48">
        <v>901888</v>
      </c>
      <c r="AD10" s="49">
        <v>390237</v>
      </c>
      <c r="AE10" s="49">
        <f t="shared" si="5"/>
        <v>1292125</v>
      </c>
      <c r="AF10" s="49">
        <v>7100</v>
      </c>
      <c r="AG10" s="49">
        <v>70487</v>
      </c>
      <c r="AH10" s="49">
        <v>236</v>
      </c>
      <c r="AI10" s="49">
        <v>0</v>
      </c>
      <c r="AJ10" s="49">
        <v>13299</v>
      </c>
      <c r="AK10" s="61">
        <v>0</v>
      </c>
      <c r="AL10" s="50">
        <f t="shared" si="6"/>
        <v>1383247</v>
      </c>
    </row>
    <row r="11" spans="1:38" s="71" customFormat="1" ht="33.75" customHeight="1">
      <c r="A11" s="800" t="s">
        <v>35</v>
      </c>
      <c r="B11" s="801"/>
      <c r="C11" s="48">
        <v>416</v>
      </c>
      <c r="D11" s="49">
        <v>67</v>
      </c>
      <c r="E11" s="49">
        <v>106</v>
      </c>
      <c r="F11" s="49">
        <v>2</v>
      </c>
      <c r="G11" s="49">
        <v>0</v>
      </c>
      <c r="H11" s="49">
        <v>184</v>
      </c>
      <c r="I11" s="50">
        <f t="shared" si="0"/>
        <v>775</v>
      </c>
      <c r="J11" s="60">
        <v>166</v>
      </c>
      <c r="K11" s="49">
        <v>48</v>
      </c>
      <c r="L11" s="49">
        <v>374</v>
      </c>
      <c r="M11" s="61">
        <f t="shared" si="1"/>
        <v>588</v>
      </c>
      <c r="N11" s="48">
        <v>95</v>
      </c>
      <c r="O11" s="49">
        <v>24</v>
      </c>
      <c r="P11" s="49">
        <v>258</v>
      </c>
      <c r="Q11" s="50">
        <f t="shared" si="2"/>
        <v>377</v>
      </c>
      <c r="R11" s="74">
        <v>1068</v>
      </c>
      <c r="S11" s="48">
        <v>0</v>
      </c>
      <c r="T11" s="49">
        <v>0</v>
      </c>
      <c r="U11" s="49">
        <v>19</v>
      </c>
      <c r="V11" s="50">
        <f t="shared" si="3"/>
        <v>19</v>
      </c>
      <c r="W11" s="48">
        <v>3</v>
      </c>
      <c r="X11" s="49">
        <v>1</v>
      </c>
      <c r="Y11" s="49">
        <v>101</v>
      </c>
      <c r="Z11" s="50">
        <f t="shared" si="4"/>
        <v>105</v>
      </c>
      <c r="AA11" s="136">
        <v>21235</v>
      </c>
      <c r="AB11" s="137">
        <v>994</v>
      </c>
      <c r="AC11" s="48">
        <v>990172</v>
      </c>
      <c r="AD11" s="49">
        <v>453130</v>
      </c>
      <c r="AE11" s="49">
        <f t="shared" si="5"/>
        <v>1443302</v>
      </c>
      <c r="AF11" s="49">
        <v>648</v>
      </c>
      <c r="AG11" s="49">
        <v>45178</v>
      </c>
      <c r="AH11" s="49">
        <v>1359</v>
      </c>
      <c r="AI11" s="49">
        <v>0</v>
      </c>
      <c r="AJ11" s="49">
        <v>15444</v>
      </c>
      <c r="AK11" s="61">
        <v>0</v>
      </c>
      <c r="AL11" s="50">
        <f t="shared" si="6"/>
        <v>1505931</v>
      </c>
    </row>
    <row r="12" spans="1:38" s="71" customFormat="1" ht="33.75" customHeight="1">
      <c r="A12" s="800" t="s">
        <v>91</v>
      </c>
      <c r="B12" s="801"/>
      <c r="C12" s="48">
        <v>391</v>
      </c>
      <c r="D12" s="49">
        <v>55</v>
      </c>
      <c r="E12" s="49">
        <v>68</v>
      </c>
      <c r="F12" s="49">
        <v>2</v>
      </c>
      <c r="G12" s="49">
        <v>1</v>
      </c>
      <c r="H12" s="49">
        <v>227</v>
      </c>
      <c r="I12" s="50">
        <f t="shared" si="0"/>
        <v>744</v>
      </c>
      <c r="J12" s="60">
        <v>151</v>
      </c>
      <c r="K12" s="49">
        <v>35</v>
      </c>
      <c r="L12" s="49">
        <v>344</v>
      </c>
      <c r="M12" s="61">
        <f t="shared" si="1"/>
        <v>530</v>
      </c>
      <c r="N12" s="48">
        <v>97</v>
      </c>
      <c r="O12" s="49">
        <v>21</v>
      </c>
      <c r="P12" s="49">
        <v>224</v>
      </c>
      <c r="Q12" s="50">
        <f t="shared" si="2"/>
        <v>342</v>
      </c>
      <c r="R12" s="74">
        <v>891</v>
      </c>
      <c r="S12" s="48">
        <v>0</v>
      </c>
      <c r="T12" s="49">
        <v>0</v>
      </c>
      <c r="U12" s="49">
        <v>21</v>
      </c>
      <c r="V12" s="50">
        <f t="shared" si="3"/>
        <v>21</v>
      </c>
      <c r="W12" s="48">
        <v>4</v>
      </c>
      <c r="X12" s="49">
        <v>2</v>
      </c>
      <c r="Y12" s="49">
        <v>93</v>
      </c>
      <c r="Z12" s="50">
        <f t="shared" si="4"/>
        <v>99</v>
      </c>
      <c r="AA12" s="136">
        <v>17761</v>
      </c>
      <c r="AB12" s="137">
        <v>2025</v>
      </c>
      <c r="AC12" s="48">
        <v>971951</v>
      </c>
      <c r="AD12" s="49">
        <v>246207</v>
      </c>
      <c r="AE12" s="49">
        <f t="shared" si="5"/>
        <v>1218158</v>
      </c>
      <c r="AF12" s="49">
        <v>1910</v>
      </c>
      <c r="AG12" s="49">
        <v>57299</v>
      </c>
      <c r="AH12" s="49">
        <v>1035</v>
      </c>
      <c r="AI12" s="49">
        <v>10200</v>
      </c>
      <c r="AJ12" s="49">
        <v>18737</v>
      </c>
      <c r="AK12" s="61">
        <v>0</v>
      </c>
      <c r="AL12" s="50">
        <f t="shared" si="6"/>
        <v>1307339</v>
      </c>
    </row>
    <row r="13" spans="1:38" s="71" customFormat="1" ht="33.75" customHeight="1">
      <c r="A13" s="800" t="s">
        <v>37</v>
      </c>
      <c r="B13" s="801"/>
      <c r="C13" s="48">
        <v>406</v>
      </c>
      <c r="D13" s="49">
        <v>106</v>
      </c>
      <c r="E13" s="49">
        <v>90</v>
      </c>
      <c r="F13" s="49">
        <v>4</v>
      </c>
      <c r="G13" s="49">
        <v>0</v>
      </c>
      <c r="H13" s="49">
        <v>311</v>
      </c>
      <c r="I13" s="50">
        <f t="shared" si="0"/>
        <v>917</v>
      </c>
      <c r="J13" s="60">
        <v>194</v>
      </c>
      <c r="K13" s="49">
        <v>43</v>
      </c>
      <c r="L13" s="49">
        <v>353</v>
      </c>
      <c r="M13" s="61">
        <f t="shared" si="1"/>
        <v>590</v>
      </c>
      <c r="N13" s="48">
        <v>102</v>
      </c>
      <c r="O13" s="49">
        <v>21</v>
      </c>
      <c r="P13" s="49">
        <v>233</v>
      </c>
      <c r="Q13" s="50">
        <f t="shared" si="2"/>
        <v>356</v>
      </c>
      <c r="R13" s="74">
        <v>997</v>
      </c>
      <c r="S13" s="48">
        <v>0</v>
      </c>
      <c r="T13" s="49">
        <v>0</v>
      </c>
      <c r="U13" s="49">
        <v>49</v>
      </c>
      <c r="V13" s="50">
        <f t="shared" si="3"/>
        <v>49</v>
      </c>
      <c r="W13" s="48">
        <v>2</v>
      </c>
      <c r="X13" s="49">
        <v>3</v>
      </c>
      <c r="Y13" s="49">
        <v>104</v>
      </c>
      <c r="Z13" s="50">
        <f t="shared" si="4"/>
        <v>109</v>
      </c>
      <c r="AA13" s="136">
        <v>25427</v>
      </c>
      <c r="AB13" s="137">
        <v>6591</v>
      </c>
      <c r="AC13" s="48">
        <v>1679614</v>
      </c>
      <c r="AD13" s="49">
        <v>398427</v>
      </c>
      <c r="AE13" s="49">
        <f t="shared" si="5"/>
        <v>2078041</v>
      </c>
      <c r="AF13" s="49">
        <v>10715</v>
      </c>
      <c r="AG13" s="49">
        <v>68863</v>
      </c>
      <c r="AH13" s="49">
        <v>5104</v>
      </c>
      <c r="AI13" s="49">
        <v>0</v>
      </c>
      <c r="AJ13" s="49">
        <v>20906</v>
      </c>
      <c r="AK13" s="61">
        <v>0</v>
      </c>
      <c r="AL13" s="50">
        <f t="shared" si="6"/>
        <v>2183629</v>
      </c>
    </row>
    <row r="14" spans="1:38" s="71" customFormat="1" ht="33.75" customHeight="1">
      <c r="A14" s="800" t="s">
        <v>334</v>
      </c>
      <c r="B14" s="801"/>
      <c r="C14" s="51">
        <v>365</v>
      </c>
      <c r="D14" s="52">
        <v>34</v>
      </c>
      <c r="E14" s="52">
        <v>82</v>
      </c>
      <c r="F14" s="52">
        <v>7</v>
      </c>
      <c r="G14" s="52">
        <v>1</v>
      </c>
      <c r="H14" s="52">
        <v>165</v>
      </c>
      <c r="I14" s="50">
        <f t="shared" si="0"/>
        <v>654</v>
      </c>
      <c r="J14" s="62">
        <v>40</v>
      </c>
      <c r="K14" s="52">
        <v>14</v>
      </c>
      <c r="L14" s="52">
        <v>124</v>
      </c>
      <c r="M14" s="61">
        <f t="shared" si="1"/>
        <v>178</v>
      </c>
      <c r="N14" s="51">
        <v>115</v>
      </c>
      <c r="O14" s="52">
        <v>26</v>
      </c>
      <c r="P14" s="52">
        <v>238</v>
      </c>
      <c r="Q14" s="50">
        <f t="shared" si="2"/>
        <v>379</v>
      </c>
      <c r="R14" s="75">
        <v>956</v>
      </c>
      <c r="S14" s="48">
        <v>0</v>
      </c>
      <c r="T14" s="49">
        <v>0</v>
      </c>
      <c r="U14" s="52">
        <v>31</v>
      </c>
      <c r="V14" s="50">
        <f t="shared" si="3"/>
        <v>31</v>
      </c>
      <c r="W14" s="51">
        <v>0</v>
      </c>
      <c r="X14" s="52">
        <v>1</v>
      </c>
      <c r="Y14" s="52">
        <v>101</v>
      </c>
      <c r="Z14" s="50">
        <f t="shared" si="4"/>
        <v>102</v>
      </c>
      <c r="AA14" s="138">
        <v>22468</v>
      </c>
      <c r="AB14" s="139">
        <v>1754</v>
      </c>
      <c r="AC14" s="51">
        <v>971498</v>
      </c>
      <c r="AD14" s="52">
        <v>611917</v>
      </c>
      <c r="AE14" s="49">
        <f t="shared" si="5"/>
        <v>1583415</v>
      </c>
      <c r="AF14" s="52">
        <v>299</v>
      </c>
      <c r="AG14" s="52">
        <v>160749</v>
      </c>
      <c r="AH14" s="52">
        <v>163908</v>
      </c>
      <c r="AI14" s="52">
        <v>500000</v>
      </c>
      <c r="AJ14" s="52">
        <v>42633</v>
      </c>
      <c r="AK14" s="151">
        <v>191</v>
      </c>
      <c r="AL14" s="50">
        <f t="shared" si="6"/>
        <v>2451195</v>
      </c>
    </row>
    <row r="15" spans="1:38" s="71" customFormat="1" ht="33.75" customHeight="1" thickBot="1">
      <c r="A15" s="800" t="s">
        <v>430</v>
      </c>
      <c r="B15" s="801"/>
      <c r="C15" s="51">
        <v>382</v>
      </c>
      <c r="D15" s="52">
        <v>62</v>
      </c>
      <c r="E15" s="52">
        <v>73</v>
      </c>
      <c r="F15" s="52">
        <v>8</v>
      </c>
      <c r="G15" s="52">
        <v>0</v>
      </c>
      <c r="H15" s="52">
        <v>172</v>
      </c>
      <c r="I15" s="50">
        <f t="shared" si="0"/>
        <v>697</v>
      </c>
      <c r="J15" s="62">
        <v>173</v>
      </c>
      <c r="K15" s="52">
        <v>59</v>
      </c>
      <c r="L15" s="52">
        <v>351</v>
      </c>
      <c r="M15" s="61">
        <f t="shared" si="1"/>
        <v>583</v>
      </c>
      <c r="N15" s="51">
        <v>112</v>
      </c>
      <c r="O15" s="52">
        <v>30</v>
      </c>
      <c r="P15" s="52">
        <v>209</v>
      </c>
      <c r="Q15" s="50">
        <f t="shared" si="2"/>
        <v>351</v>
      </c>
      <c r="R15" s="75">
        <v>858</v>
      </c>
      <c r="S15" s="51">
        <v>0</v>
      </c>
      <c r="T15" s="52">
        <v>0</v>
      </c>
      <c r="U15" s="52">
        <v>31</v>
      </c>
      <c r="V15" s="50">
        <f t="shared" si="3"/>
        <v>31</v>
      </c>
      <c r="W15" s="51">
        <v>4</v>
      </c>
      <c r="X15" s="52">
        <v>2</v>
      </c>
      <c r="Y15" s="52">
        <v>83</v>
      </c>
      <c r="Z15" s="50">
        <f t="shared" si="4"/>
        <v>89</v>
      </c>
      <c r="AA15" s="138">
        <v>25062</v>
      </c>
      <c r="AB15" s="139">
        <v>536</v>
      </c>
      <c r="AC15" s="51">
        <v>911922</v>
      </c>
      <c r="AD15" s="52">
        <v>385575</v>
      </c>
      <c r="AE15" s="49">
        <f t="shared" si="5"/>
        <v>1297497</v>
      </c>
      <c r="AF15" s="52">
        <v>2417</v>
      </c>
      <c r="AG15" s="52">
        <v>55986</v>
      </c>
      <c r="AH15" s="52">
        <v>8967</v>
      </c>
      <c r="AI15" s="52">
        <v>0</v>
      </c>
      <c r="AJ15" s="52">
        <v>26989</v>
      </c>
      <c r="AK15" s="151">
        <v>49377</v>
      </c>
      <c r="AL15" s="50">
        <f t="shared" si="6"/>
        <v>1441233</v>
      </c>
    </row>
    <row r="16" spans="1:43" s="71" customFormat="1" ht="33.75" customHeight="1" thickBot="1" thickTop="1">
      <c r="A16" s="805" t="s">
        <v>186</v>
      </c>
      <c r="B16" s="806"/>
      <c r="C16" s="53">
        <f>SUM(C6:C15)/10</f>
        <v>405.8</v>
      </c>
      <c r="D16" s="54">
        <f aca="true" t="shared" si="7" ref="D16:AL16">SUM(D6:D15)/10</f>
        <v>75.4</v>
      </c>
      <c r="E16" s="54">
        <f t="shared" si="7"/>
        <v>81.1</v>
      </c>
      <c r="F16" s="54">
        <f t="shared" si="7"/>
        <v>3.6</v>
      </c>
      <c r="G16" s="54">
        <f t="shared" si="7"/>
        <v>0.2</v>
      </c>
      <c r="H16" s="54">
        <f t="shared" si="7"/>
        <v>204.4</v>
      </c>
      <c r="I16" s="55">
        <f t="shared" si="7"/>
        <v>770.5</v>
      </c>
      <c r="J16" s="63">
        <f t="shared" si="7"/>
        <v>166.1</v>
      </c>
      <c r="K16" s="54">
        <f t="shared" si="7"/>
        <v>45.2</v>
      </c>
      <c r="L16" s="54">
        <f t="shared" si="7"/>
        <v>336.6</v>
      </c>
      <c r="M16" s="64">
        <f t="shared" si="7"/>
        <v>547.9</v>
      </c>
      <c r="N16" s="53">
        <f t="shared" si="7"/>
        <v>112.6</v>
      </c>
      <c r="O16" s="54">
        <f t="shared" si="7"/>
        <v>29</v>
      </c>
      <c r="P16" s="54">
        <f t="shared" si="7"/>
        <v>234.6</v>
      </c>
      <c r="Q16" s="55">
        <f t="shared" si="7"/>
        <v>376.2</v>
      </c>
      <c r="R16" s="76">
        <f t="shared" si="7"/>
        <v>999.4</v>
      </c>
      <c r="S16" s="53">
        <f t="shared" si="7"/>
        <v>0</v>
      </c>
      <c r="T16" s="54">
        <f t="shared" si="7"/>
        <v>0</v>
      </c>
      <c r="U16" s="54">
        <f t="shared" si="7"/>
        <v>29.7</v>
      </c>
      <c r="V16" s="55">
        <f t="shared" si="7"/>
        <v>29.7</v>
      </c>
      <c r="W16" s="53">
        <f t="shared" si="7"/>
        <v>2.9</v>
      </c>
      <c r="X16" s="54">
        <f t="shared" si="7"/>
        <v>3.1</v>
      </c>
      <c r="Y16" s="54">
        <f t="shared" si="7"/>
        <v>91</v>
      </c>
      <c r="Z16" s="55">
        <f t="shared" si="7"/>
        <v>97</v>
      </c>
      <c r="AA16" s="140">
        <f t="shared" si="7"/>
        <v>23409.3</v>
      </c>
      <c r="AB16" s="141">
        <f t="shared" si="7"/>
        <v>2305.6</v>
      </c>
      <c r="AC16" s="144">
        <f t="shared" si="7"/>
        <v>1033503.1</v>
      </c>
      <c r="AD16" s="145">
        <f t="shared" si="7"/>
        <v>438288.9</v>
      </c>
      <c r="AE16" s="145">
        <f t="shared" si="7"/>
        <v>1471792</v>
      </c>
      <c r="AF16" s="145">
        <f t="shared" si="7"/>
        <v>5768.2</v>
      </c>
      <c r="AG16" s="145">
        <f t="shared" si="7"/>
        <v>65288.7</v>
      </c>
      <c r="AH16" s="145">
        <f t="shared" si="7"/>
        <v>19259.2</v>
      </c>
      <c r="AI16" s="145">
        <f t="shared" si="7"/>
        <v>51020</v>
      </c>
      <c r="AJ16" s="145">
        <f t="shared" si="7"/>
        <v>21531.5</v>
      </c>
      <c r="AK16" s="145">
        <f>SUM(AK6:AK15)/10</f>
        <v>4956.8</v>
      </c>
      <c r="AL16" s="152">
        <f t="shared" si="7"/>
        <v>1639616.4</v>
      </c>
      <c r="AO16" s="804" t="s">
        <v>380</v>
      </c>
      <c r="AP16" s="804"/>
      <c r="AQ16" s="804"/>
    </row>
    <row r="17" spans="1:44" s="71" customFormat="1" ht="33.75" customHeight="1">
      <c r="A17" s="802" t="s">
        <v>548</v>
      </c>
      <c r="B17" s="803"/>
      <c r="C17" s="56">
        <f aca="true" t="shared" si="8" ref="C17:AL17">(SUM(C18:C29))</f>
        <v>349</v>
      </c>
      <c r="D17" s="57">
        <f t="shared" si="8"/>
        <v>59</v>
      </c>
      <c r="E17" s="57">
        <f t="shared" si="8"/>
        <v>73</v>
      </c>
      <c r="F17" s="57">
        <f t="shared" si="8"/>
        <v>3</v>
      </c>
      <c r="G17" s="57">
        <f t="shared" si="8"/>
        <v>0</v>
      </c>
      <c r="H17" s="57">
        <f t="shared" si="8"/>
        <v>223</v>
      </c>
      <c r="I17" s="58">
        <f t="shared" si="8"/>
        <v>707</v>
      </c>
      <c r="J17" s="65">
        <f t="shared" si="8"/>
        <v>136</v>
      </c>
      <c r="K17" s="57">
        <f t="shared" si="8"/>
        <v>36</v>
      </c>
      <c r="L17" s="57">
        <f t="shared" si="8"/>
        <v>335</v>
      </c>
      <c r="M17" s="66">
        <f t="shared" si="8"/>
        <v>507</v>
      </c>
      <c r="N17" s="56">
        <f t="shared" si="8"/>
        <v>104</v>
      </c>
      <c r="O17" s="57">
        <f t="shared" si="8"/>
        <v>25</v>
      </c>
      <c r="P17" s="57">
        <f t="shared" si="8"/>
        <v>202</v>
      </c>
      <c r="Q17" s="58">
        <f t="shared" si="8"/>
        <v>331</v>
      </c>
      <c r="R17" s="411">
        <f t="shared" si="8"/>
        <v>775</v>
      </c>
      <c r="S17" s="65">
        <f t="shared" si="8"/>
        <v>0</v>
      </c>
      <c r="T17" s="57">
        <f t="shared" si="8"/>
        <v>0</v>
      </c>
      <c r="U17" s="57">
        <f t="shared" si="8"/>
        <v>36</v>
      </c>
      <c r="V17" s="58">
        <f t="shared" si="8"/>
        <v>36</v>
      </c>
      <c r="W17" s="56">
        <f t="shared" si="8"/>
        <v>2</v>
      </c>
      <c r="X17" s="57">
        <f t="shared" si="8"/>
        <v>4</v>
      </c>
      <c r="Y17" s="57">
        <f t="shared" si="8"/>
        <v>92</v>
      </c>
      <c r="Z17" s="58">
        <f t="shared" si="8"/>
        <v>98</v>
      </c>
      <c r="AA17" s="142">
        <f t="shared" si="8"/>
        <v>17212</v>
      </c>
      <c r="AB17" s="143">
        <f t="shared" si="8"/>
        <v>615</v>
      </c>
      <c r="AC17" s="146">
        <f t="shared" si="8"/>
        <v>700690</v>
      </c>
      <c r="AD17" s="147">
        <f t="shared" si="8"/>
        <v>197900</v>
      </c>
      <c r="AE17" s="147">
        <f t="shared" si="8"/>
        <v>898590</v>
      </c>
      <c r="AF17" s="147">
        <f t="shared" si="8"/>
        <v>4185</v>
      </c>
      <c r="AG17" s="147">
        <f t="shared" si="8"/>
        <v>34654</v>
      </c>
      <c r="AH17" s="147">
        <f t="shared" si="8"/>
        <v>8540</v>
      </c>
      <c r="AI17" s="147">
        <f t="shared" si="8"/>
        <v>0</v>
      </c>
      <c r="AJ17" s="147">
        <f t="shared" si="8"/>
        <v>69297</v>
      </c>
      <c r="AK17" s="147">
        <f t="shared" si="8"/>
        <v>63601</v>
      </c>
      <c r="AL17" s="153">
        <f t="shared" si="8"/>
        <v>1078867</v>
      </c>
      <c r="AP17" s="72" t="s">
        <v>430</v>
      </c>
      <c r="AQ17" s="72" t="s">
        <v>334</v>
      </c>
      <c r="AR17" s="72" t="s">
        <v>37</v>
      </c>
    </row>
    <row r="18" spans="1:44" s="71" customFormat="1" ht="33.75" customHeight="1">
      <c r="A18" s="797" t="s">
        <v>551</v>
      </c>
      <c r="B18" s="466" t="s">
        <v>188</v>
      </c>
      <c r="C18" s="657">
        <v>32</v>
      </c>
      <c r="D18" s="658">
        <v>3</v>
      </c>
      <c r="E18" s="658">
        <v>6</v>
      </c>
      <c r="F18" s="658">
        <v>2</v>
      </c>
      <c r="G18" s="658">
        <v>0</v>
      </c>
      <c r="H18" s="658">
        <v>10</v>
      </c>
      <c r="I18" s="50">
        <f aca="true" t="shared" si="9" ref="I18:I29">SUM(C18:H18)</f>
        <v>53</v>
      </c>
      <c r="J18" s="659">
        <v>16</v>
      </c>
      <c r="K18" s="658">
        <v>5</v>
      </c>
      <c r="L18" s="658">
        <v>29</v>
      </c>
      <c r="M18" s="61">
        <f aca="true" t="shared" si="10" ref="M18:M29">SUM(J18:L18)</f>
        <v>50</v>
      </c>
      <c r="N18" s="657">
        <v>10</v>
      </c>
      <c r="O18" s="658">
        <v>3</v>
      </c>
      <c r="P18" s="658">
        <v>19</v>
      </c>
      <c r="Q18" s="50">
        <f aca="true" t="shared" si="11" ref="Q18:Q29">SUM(N18:P18)</f>
        <v>32</v>
      </c>
      <c r="R18" s="660">
        <v>65</v>
      </c>
      <c r="S18" s="659">
        <v>0</v>
      </c>
      <c r="T18" s="658">
        <v>0</v>
      </c>
      <c r="U18" s="658">
        <v>4</v>
      </c>
      <c r="V18" s="50">
        <f aca="true" t="shared" si="12" ref="V18:V29">SUM(S18:U18)</f>
        <v>4</v>
      </c>
      <c r="W18" s="657">
        <v>0</v>
      </c>
      <c r="X18" s="658">
        <v>0</v>
      </c>
      <c r="Y18" s="658">
        <v>7</v>
      </c>
      <c r="Z18" s="50">
        <f aca="true" t="shared" si="13" ref="Z18:Z29">SUM(W18:Y18)</f>
        <v>7</v>
      </c>
      <c r="AA18" s="659">
        <v>1748</v>
      </c>
      <c r="AB18" s="656">
        <v>39</v>
      </c>
      <c r="AC18" s="657">
        <v>74335</v>
      </c>
      <c r="AD18" s="658">
        <v>13073</v>
      </c>
      <c r="AE18" s="148">
        <f aca="true" t="shared" si="14" ref="AE18:AE29">SUM(AC18:AD18)</f>
        <v>87408</v>
      </c>
      <c r="AF18" s="658">
        <v>2</v>
      </c>
      <c r="AG18" s="658">
        <v>10625</v>
      </c>
      <c r="AH18" s="658">
        <v>7950</v>
      </c>
      <c r="AI18" s="658">
        <v>0</v>
      </c>
      <c r="AJ18" s="658">
        <v>8256</v>
      </c>
      <c r="AK18" s="656">
        <v>0</v>
      </c>
      <c r="AL18" s="154">
        <f>SUM(AE18:AK18)</f>
        <v>114241</v>
      </c>
      <c r="AO18" s="71" t="s">
        <v>188</v>
      </c>
      <c r="AP18" s="73">
        <v>8</v>
      </c>
      <c r="AQ18" s="72">
        <v>3</v>
      </c>
      <c r="AR18" s="72">
        <v>7</v>
      </c>
    </row>
    <row r="19" spans="1:44" s="71" customFormat="1" ht="33.75" customHeight="1">
      <c r="A19" s="798"/>
      <c r="B19" s="466" t="s">
        <v>189</v>
      </c>
      <c r="C19" s="657">
        <v>37</v>
      </c>
      <c r="D19" s="658">
        <v>1</v>
      </c>
      <c r="E19" s="658">
        <v>4</v>
      </c>
      <c r="F19" s="658">
        <v>0</v>
      </c>
      <c r="G19" s="658">
        <v>0</v>
      </c>
      <c r="H19" s="658">
        <v>14</v>
      </c>
      <c r="I19" s="50">
        <f t="shared" si="9"/>
        <v>56</v>
      </c>
      <c r="J19" s="659">
        <v>18</v>
      </c>
      <c r="K19" s="658">
        <v>2</v>
      </c>
      <c r="L19" s="658">
        <v>31</v>
      </c>
      <c r="M19" s="61">
        <f t="shared" si="10"/>
        <v>51</v>
      </c>
      <c r="N19" s="657">
        <v>17</v>
      </c>
      <c r="O19" s="658">
        <v>1</v>
      </c>
      <c r="P19" s="658">
        <v>18</v>
      </c>
      <c r="Q19" s="50">
        <f t="shared" si="11"/>
        <v>36</v>
      </c>
      <c r="R19" s="660">
        <v>89</v>
      </c>
      <c r="S19" s="659">
        <v>0</v>
      </c>
      <c r="T19" s="658">
        <v>0</v>
      </c>
      <c r="U19" s="658">
        <v>5</v>
      </c>
      <c r="V19" s="50">
        <f t="shared" si="12"/>
        <v>5</v>
      </c>
      <c r="W19" s="657">
        <v>0</v>
      </c>
      <c r="X19" s="658">
        <v>0</v>
      </c>
      <c r="Y19" s="658">
        <v>6</v>
      </c>
      <c r="Z19" s="50">
        <f t="shared" si="13"/>
        <v>6</v>
      </c>
      <c r="AA19" s="659">
        <v>2284</v>
      </c>
      <c r="AB19" s="656">
        <v>22</v>
      </c>
      <c r="AC19" s="657">
        <v>77062</v>
      </c>
      <c r="AD19" s="658">
        <v>21717</v>
      </c>
      <c r="AE19" s="148">
        <f t="shared" si="14"/>
        <v>98779</v>
      </c>
      <c r="AF19" s="658">
        <v>0</v>
      </c>
      <c r="AG19" s="658">
        <v>1438</v>
      </c>
      <c r="AH19" s="658">
        <v>0</v>
      </c>
      <c r="AI19" s="658">
        <v>0</v>
      </c>
      <c r="AJ19" s="658">
        <v>934</v>
      </c>
      <c r="AK19" s="656">
        <v>0</v>
      </c>
      <c r="AL19" s="154">
        <f aca="true" t="shared" si="15" ref="AL19:AL29">SUM(AE19:AK19)</f>
        <v>101151</v>
      </c>
      <c r="AO19" s="71" t="s">
        <v>335</v>
      </c>
      <c r="AP19" s="73">
        <v>17</v>
      </c>
      <c r="AQ19" s="72">
        <v>5</v>
      </c>
      <c r="AR19" s="72">
        <v>16</v>
      </c>
    </row>
    <row r="20" spans="1:44" s="71" customFormat="1" ht="33.75" customHeight="1">
      <c r="A20" s="798"/>
      <c r="B20" s="466" t="s">
        <v>190</v>
      </c>
      <c r="C20" s="657">
        <v>33</v>
      </c>
      <c r="D20" s="658">
        <v>3</v>
      </c>
      <c r="E20" s="658">
        <v>1</v>
      </c>
      <c r="F20" s="658">
        <v>0</v>
      </c>
      <c r="G20" s="658">
        <v>0</v>
      </c>
      <c r="H20" s="658">
        <v>17</v>
      </c>
      <c r="I20" s="50">
        <f t="shared" si="9"/>
        <v>54</v>
      </c>
      <c r="J20" s="659">
        <v>14</v>
      </c>
      <c r="K20" s="658">
        <v>5</v>
      </c>
      <c r="L20" s="658">
        <v>35</v>
      </c>
      <c r="M20" s="61">
        <f t="shared" si="10"/>
        <v>54</v>
      </c>
      <c r="N20" s="657">
        <v>20</v>
      </c>
      <c r="O20" s="658">
        <v>3</v>
      </c>
      <c r="P20" s="658">
        <v>23</v>
      </c>
      <c r="Q20" s="50">
        <f t="shared" si="11"/>
        <v>46</v>
      </c>
      <c r="R20" s="660">
        <v>99</v>
      </c>
      <c r="S20" s="659">
        <v>0</v>
      </c>
      <c r="T20" s="658">
        <v>0</v>
      </c>
      <c r="U20" s="658">
        <v>3</v>
      </c>
      <c r="V20" s="50">
        <f t="shared" si="12"/>
        <v>3</v>
      </c>
      <c r="W20" s="657">
        <v>1</v>
      </c>
      <c r="X20" s="658">
        <v>0</v>
      </c>
      <c r="Y20" s="658">
        <v>9</v>
      </c>
      <c r="Z20" s="50">
        <f t="shared" si="13"/>
        <v>10</v>
      </c>
      <c r="AA20" s="659">
        <v>2676</v>
      </c>
      <c r="AB20" s="656">
        <v>13</v>
      </c>
      <c r="AC20" s="657">
        <v>55836</v>
      </c>
      <c r="AD20" s="658">
        <v>14135</v>
      </c>
      <c r="AE20" s="148">
        <f t="shared" si="14"/>
        <v>69971</v>
      </c>
      <c r="AF20" s="658">
        <v>0</v>
      </c>
      <c r="AG20" s="658">
        <v>541</v>
      </c>
      <c r="AH20" s="658">
        <v>0</v>
      </c>
      <c r="AI20" s="658">
        <v>0</v>
      </c>
      <c r="AJ20" s="658">
        <v>7</v>
      </c>
      <c r="AK20" s="656">
        <v>0</v>
      </c>
      <c r="AL20" s="154">
        <f t="shared" si="15"/>
        <v>70519</v>
      </c>
      <c r="AO20" s="71" t="s">
        <v>336</v>
      </c>
      <c r="AP20" s="73">
        <v>10</v>
      </c>
      <c r="AQ20" s="72">
        <v>8</v>
      </c>
      <c r="AR20" s="72">
        <v>15</v>
      </c>
    </row>
    <row r="21" spans="1:44" s="71" customFormat="1" ht="33.75" customHeight="1">
      <c r="A21" s="798"/>
      <c r="B21" s="466" t="s">
        <v>191</v>
      </c>
      <c r="C21" s="657">
        <v>35</v>
      </c>
      <c r="D21" s="658">
        <v>15</v>
      </c>
      <c r="E21" s="658">
        <v>5</v>
      </c>
      <c r="F21" s="658">
        <v>0</v>
      </c>
      <c r="G21" s="658">
        <v>0</v>
      </c>
      <c r="H21" s="658">
        <v>17</v>
      </c>
      <c r="I21" s="50">
        <f t="shared" si="9"/>
        <v>72</v>
      </c>
      <c r="J21" s="659">
        <v>12</v>
      </c>
      <c r="K21" s="658">
        <v>3</v>
      </c>
      <c r="L21" s="658">
        <v>37</v>
      </c>
      <c r="M21" s="61">
        <f t="shared" si="10"/>
        <v>52</v>
      </c>
      <c r="N21" s="657">
        <v>6</v>
      </c>
      <c r="O21" s="658">
        <v>5</v>
      </c>
      <c r="P21" s="658">
        <v>17</v>
      </c>
      <c r="Q21" s="50">
        <f t="shared" si="11"/>
        <v>28</v>
      </c>
      <c r="R21" s="660">
        <v>61</v>
      </c>
      <c r="S21" s="659">
        <v>0</v>
      </c>
      <c r="T21" s="658">
        <v>0</v>
      </c>
      <c r="U21" s="658">
        <v>2</v>
      </c>
      <c r="V21" s="50">
        <f t="shared" si="12"/>
        <v>2</v>
      </c>
      <c r="W21" s="657">
        <v>0</v>
      </c>
      <c r="X21" s="658">
        <v>0</v>
      </c>
      <c r="Y21" s="658">
        <v>13</v>
      </c>
      <c r="Z21" s="50">
        <f t="shared" si="13"/>
        <v>13</v>
      </c>
      <c r="AA21" s="659">
        <v>1642</v>
      </c>
      <c r="AB21" s="656">
        <v>219</v>
      </c>
      <c r="AC21" s="657">
        <v>22480</v>
      </c>
      <c r="AD21" s="658">
        <v>33775</v>
      </c>
      <c r="AE21" s="148">
        <f t="shared" si="14"/>
        <v>56255</v>
      </c>
      <c r="AF21" s="658">
        <v>3074</v>
      </c>
      <c r="AG21" s="658">
        <v>702</v>
      </c>
      <c r="AH21" s="658">
        <v>0</v>
      </c>
      <c r="AI21" s="658">
        <v>0</v>
      </c>
      <c r="AJ21" s="658">
        <v>500</v>
      </c>
      <c r="AK21" s="656">
        <v>61460</v>
      </c>
      <c r="AL21" s="154">
        <f t="shared" si="15"/>
        <v>121991</v>
      </c>
      <c r="AO21" s="71" t="s">
        <v>191</v>
      </c>
      <c r="AP21" s="73">
        <v>10</v>
      </c>
      <c r="AQ21" s="72">
        <v>4</v>
      </c>
      <c r="AR21" s="72">
        <v>8</v>
      </c>
    </row>
    <row r="22" spans="1:44" s="71" customFormat="1" ht="33.75" customHeight="1">
      <c r="A22" s="798"/>
      <c r="B22" s="466" t="s">
        <v>192</v>
      </c>
      <c r="C22" s="657">
        <v>28</v>
      </c>
      <c r="D22" s="658">
        <v>7</v>
      </c>
      <c r="E22" s="658">
        <v>9</v>
      </c>
      <c r="F22" s="658">
        <v>0</v>
      </c>
      <c r="G22" s="658">
        <v>0</v>
      </c>
      <c r="H22" s="658">
        <v>24</v>
      </c>
      <c r="I22" s="50">
        <f t="shared" si="9"/>
        <v>68</v>
      </c>
      <c r="J22" s="659">
        <v>9</v>
      </c>
      <c r="K22" s="658">
        <v>2</v>
      </c>
      <c r="L22" s="658">
        <v>24</v>
      </c>
      <c r="M22" s="61">
        <f t="shared" si="10"/>
        <v>35</v>
      </c>
      <c r="N22" s="657">
        <v>8</v>
      </c>
      <c r="O22" s="658">
        <v>0</v>
      </c>
      <c r="P22" s="658">
        <v>13</v>
      </c>
      <c r="Q22" s="50">
        <f t="shared" si="11"/>
        <v>21</v>
      </c>
      <c r="R22" s="660">
        <v>53</v>
      </c>
      <c r="S22" s="659">
        <v>0</v>
      </c>
      <c r="T22" s="658">
        <v>0</v>
      </c>
      <c r="U22" s="658">
        <v>4</v>
      </c>
      <c r="V22" s="50">
        <f t="shared" si="12"/>
        <v>4</v>
      </c>
      <c r="W22" s="657">
        <v>0</v>
      </c>
      <c r="X22" s="658">
        <v>0</v>
      </c>
      <c r="Y22" s="658">
        <v>14</v>
      </c>
      <c r="Z22" s="50">
        <f t="shared" si="13"/>
        <v>14</v>
      </c>
      <c r="AA22" s="659">
        <v>1176</v>
      </c>
      <c r="AB22" s="656">
        <v>25</v>
      </c>
      <c r="AC22" s="657">
        <v>61699</v>
      </c>
      <c r="AD22" s="658">
        <v>17057</v>
      </c>
      <c r="AE22" s="148">
        <f t="shared" si="14"/>
        <v>78756</v>
      </c>
      <c r="AF22" s="658">
        <v>117</v>
      </c>
      <c r="AG22" s="658">
        <v>1454</v>
      </c>
      <c r="AH22" s="658">
        <v>0</v>
      </c>
      <c r="AI22" s="658">
        <v>0</v>
      </c>
      <c r="AJ22" s="658">
        <v>88</v>
      </c>
      <c r="AK22" s="656">
        <v>438</v>
      </c>
      <c r="AL22" s="154">
        <f t="shared" si="15"/>
        <v>80853</v>
      </c>
      <c r="AO22" s="71" t="s">
        <v>192</v>
      </c>
      <c r="AP22" s="73">
        <v>4</v>
      </c>
      <c r="AQ22" s="72">
        <v>4</v>
      </c>
      <c r="AR22" s="72">
        <v>6</v>
      </c>
    </row>
    <row r="23" spans="1:44" s="71" customFormat="1" ht="33.75" customHeight="1">
      <c r="A23" s="798"/>
      <c r="B23" s="466" t="s">
        <v>193</v>
      </c>
      <c r="C23" s="657">
        <v>30</v>
      </c>
      <c r="D23" s="658">
        <v>8</v>
      </c>
      <c r="E23" s="658">
        <v>7</v>
      </c>
      <c r="F23" s="658">
        <v>0</v>
      </c>
      <c r="G23" s="658">
        <v>0</v>
      </c>
      <c r="H23" s="658">
        <v>32</v>
      </c>
      <c r="I23" s="50">
        <f t="shared" si="9"/>
        <v>77</v>
      </c>
      <c r="J23" s="659">
        <v>10</v>
      </c>
      <c r="K23" s="658">
        <v>0</v>
      </c>
      <c r="L23" s="658">
        <v>33</v>
      </c>
      <c r="M23" s="61">
        <f t="shared" si="10"/>
        <v>43</v>
      </c>
      <c r="N23" s="657">
        <v>5</v>
      </c>
      <c r="O23" s="658">
        <v>0</v>
      </c>
      <c r="P23" s="658">
        <v>24</v>
      </c>
      <c r="Q23" s="50">
        <f t="shared" si="11"/>
        <v>29</v>
      </c>
      <c r="R23" s="660">
        <v>62</v>
      </c>
      <c r="S23" s="659">
        <v>0</v>
      </c>
      <c r="T23" s="658">
        <v>0</v>
      </c>
      <c r="U23" s="658">
        <v>5</v>
      </c>
      <c r="V23" s="50">
        <f t="shared" si="12"/>
        <v>5</v>
      </c>
      <c r="W23" s="657">
        <v>0</v>
      </c>
      <c r="X23" s="658">
        <v>1</v>
      </c>
      <c r="Y23" s="658">
        <v>3</v>
      </c>
      <c r="Z23" s="50">
        <f t="shared" si="13"/>
        <v>4</v>
      </c>
      <c r="AA23" s="659">
        <v>1249</v>
      </c>
      <c r="AB23" s="656">
        <v>106</v>
      </c>
      <c r="AC23" s="657">
        <v>44553</v>
      </c>
      <c r="AD23" s="658">
        <v>7778</v>
      </c>
      <c r="AE23" s="148">
        <f t="shared" si="14"/>
        <v>52331</v>
      </c>
      <c r="AF23" s="658">
        <v>474</v>
      </c>
      <c r="AG23" s="658">
        <v>1545</v>
      </c>
      <c r="AH23" s="658">
        <v>0</v>
      </c>
      <c r="AI23" s="658">
        <v>0</v>
      </c>
      <c r="AJ23" s="658">
        <v>6072</v>
      </c>
      <c r="AK23" s="656">
        <v>0</v>
      </c>
      <c r="AL23" s="154">
        <f t="shared" si="15"/>
        <v>60422</v>
      </c>
      <c r="AO23" s="71" t="s">
        <v>193</v>
      </c>
      <c r="AP23" s="73">
        <v>1</v>
      </c>
      <c r="AQ23" s="72">
        <v>3</v>
      </c>
      <c r="AR23" s="72">
        <v>8</v>
      </c>
    </row>
    <row r="24" spans="1:44" s="71" customFormat="1" ht="33.75" customHeight="1">
      <c r="A24" s="798"/>
      <c r="B24" s="466" t="s">
        <v>194</v>
      </c>
      <c r="C24" s="657">
        <v>18</v>
      </c>
      <c r="D24" s="658">
        <v>2</v>
      </c>
      <c r="E24" s="658">
        <v>7</v>
      </c>
      <c r="F24" s="658">
        <v>1</v>
      </c>
      <c r="G24" s="658">
        <v>0</v>
      </c>
      <c r="H24" s="658">
        <v>11</v>
      </c>
      <c r="I24" s="50">
        <f t="shared" si="9"/>
        <v>39</v>
      </c>
      <c r="J24" s="659">
        <v>4</v>
      </c>
      <c r="K24" s="658">
        <v>4</v>
      </c>
      <c r="L24" s="658">
        <v>13</v>
      </c>
      <c r="M24" s="61">
        <f t="shared" si="10"/>
        <v>21</v>
      </c>
      <c r="N24" s="657">
        <v>4</v>
      </c>
      <c r="O24" s="658">
        <v>2</v>
      </c>
      <c r="P24" s="658">
        <v>10</v>
      </c>
      <c r="Q24" s="50">
        <f t="shared" si="11"/>
        <v>16</v>
      </c>
      <c r="R24" s="660">
        <v>41</v>
      </c>
      <c r="S24" s="659">
        <v>0</v>
      </c>
      <c r="T24" s="658">
        <v>0</v>
      </c>
      <c r="U24" s="658">
        <v>1</v>
      </c>
      <c r="V24" s="50">
        <f t="shared" si="12"/>
        <v>1</v>
      </c>
      <c r="W24" s="657">
        <v>0</v>
      </c>
      <c r="X24" s="658">
        <v>0</v>
      </c>
      <c r="Y24" s="658">
        <v>3</v>
      </c>
      <c r="Z24" s="50">
        <f t="shared" si="13"/>
        <v>3</v>
      </c>
      <c r="AA24" s="659">
        <v>490</v>
      </c>
      <c r="AB24" s="656">
        <v>6</v>
      </c>
      <c r="AC24" s="657">
        <v>29585</v>
      </c>
      <c r="AD24" s="658">
        <v>5848</v>
      </c>
      <c r="AE24" s="148">
        <f t="shared" si="14"/>
        <v>35433</v>
      </c>
      <c r="AF24" s="658">
        <v>260</v>
      </c>
      <c r="AG24" s="658">
        <v>3255</v>
      </c>
      <c r="AH24" s="658">
        <v>590</v>
      </c>
      <c r="AI24" s="658">
        <v>0</v>
      </c>
      <c r="AJ24" s="658">
        <v>237</v>
      </c>
      <c r="AK24" s="656">
        <v>1593</v>
      </c>
      <c r="AL24" s="154">
        <f t="shared" si="15"/>
        <v>41368</v>
      </c>
      <c r="AO24" s="71" t="s">
        <v>194</v>
      </c>
      <c r="AP24" s="73">
        <v>4</v>
      </c>
      <c r="AQ24" s="72">
        <v>0</v>
      </c>
      <c r="AR24" s="72">
        <v>1</v>
      </c>
    </row>
    <row r="25" spans="1:44" s="71" customFormat="1" ht="33.75" customHeight="1">
      <c r="A25" s="798"/>
      <c r="B25" s="466" t="s">
        <v>195</v>
      </c>
      <c r="C25" s="657">
        <v>26</v>
      </c>
      <c r="D25" s="658">
        <v>3</v>
      </c>
      <c r="E25" s="658">
        <v>8</v>
      </c>
      <c r="F25" s="658">
        <v>0</v>
      </c>
      <c r="G25" s="658">
        <v>0</v>
      </c>
      <c r="H25" s="658">
        <v>34</v>
      </c>
      <c r="I25" s="50">
        <f t="shared" si="9"/>
        <v>71</v>
      </c>
      <c r="J25" s="659">
        <v>8</v>
      </c>
      <c r="K25" s="658">
        <v>1</v>
      </c>
      <c r="L25" s="658">
        <v>24</v>
      </c>
      <c r="M25" s="61">
        <f t="shared" si="10"/>
        <v>33</v>
      </c>
      <c r="N25" s="657">
        <v>4</v>
      </c>
      <c r="O25" s="658">
        <v>0</v>
      </c>
      <c r="P25" s="658">
        <v>15</v>
      </c>
      <c r="Q25" s="50">
        <f t="shared" si="11"/>
        <v>19</v>
      </c>
      <c r="R25" s="660">
        <v>54</v>
      </c>
      <c r="S25" s="659">
        <v>0</v>
      </c>
      <c r="T25" s="658">
        <v>0</v>
      </c>
      <c r="U25" s="658">
        <v>3</v>
      </c>
      <c r="V25" s="50">
        <f t="shared" si="12"/>
        <v>3</v>
      </c>
      <c r="W25" s="657">
        <v>0</v>
      </c>
      <c r="X25" s="658">
        <v>2</v>
      </c>
      <c r="Y25" s="658">
        <v>6</v>
      </c>
      <c r="Z25" s="50">
        <f t="shared" si="13"/>
        <v>8</v>
      </c>
      <c r="AA25" s="659">
        <v>999</v>
      </c>
      <c r="AB25" s="656">
        <v>146</v>
      </c>
      <c r="AC25" s="657">
        <v>59515</v>
      </c>
      <c r="AD25" s="658">
        <v>7883</v>
      </c>
      <c r="AE25" s="148">
        <f t="shared" si="14"/>
        <v>67398</v>
      </c>
      <c r="AF25" s="658">
        <v>212</v>
      </c>
      <c r="AG25" s="658">
        <v>2922</v>
      </c>
      <c r="AH25" s="658">
        <v>0</v>
      </c>
      <c r="AI25" s="658">
        <v>0</v>
      </c>
      <c r="AJ25" s="658">
        <v>1472</v>
      </c>
      <c r="AK25" s="656">
        <v>0</v>
      </c>
      <c r="AL25" s="154">
        <f t="shared" si="15"/>
        <v>72004</v>
      </c>
      <c r="AO25" s="71" t="s">
        <v>195</v>
      </c>
      <c r="AP25" s="73">
        <v>1</v>
      </c>
      <c r="AQ25" s="72">
        <v>1</v>
      </c>
      <c r="AR25" s="72">
        <v>8</v>
      </c>
    </row>
    <row r="26" spans="1:44" s="71" customFormat="1" ht="33.75" customHeight="1">
      <c r="A26" s="798"/>
      <c r="B26" s="466" t="s">
        <v>196</v>
      </c>
      <c r="C26" s="657">
        <v>24</v>
      </c>
      <c r="D26" s="658">
        <v>2</v>
      </c>
      <c r="E26" s="658">
        <v>6</v>
      </c>
      <c r="F26" s="658">
        <v>0</v>
      </c>
      <c r="G26" s="658">
        <v>0</v>
      </c>
      <c r="H26" s="658">
        <v>8</v>
      </c>
      <c r="I26" s="50">
        <f t="shared" si="9"/>
        <v>40</v>
      </c>
      <c r="J26" s="659">
        <v>5</v>
      </c>
      <c r="K26" s="658">
        <v>1</v>
      </c>
      <c r="L26" s="658">
        <v>25</v>
      </c>
      <c r="M26" s="61">
        <f t="shared" si="10"/>
        <v>31</v>
      </c>
      <c r="N26" s="657">
        <v>4</v>
      </c>
      <c r="O26" s="658">
        <v>0</v>
      </c>
      <c r="P26" s="658">
        <v>14</v>
      </c>
      <c r="Q26" s="50">
        <f t="shared" si="11"/>
        <v>18</v>
      </c>
      <c r="R26" s="660">
        <v>45</v>
      </c>
      <c r="S26" s="659">
        <v>0</v>
      </c>
      <c r="T26" s="658">
        <v>0</v>
      </c>
      <c r="U26" s="658">
        <v>0</v>
      </c>
      <c r="V26" s="50">
        <f t="shared" si="12"/>
        <v>0</v>
      </c>
      <c r="W26" s="657">
        <v>0</v>
      </c>
      <c r="X26" s="658">
        <v>1</v>
      </c>
      <c r="Y26" s="658">
        <v>7</v>
      </c>
      <c r="Z26" s="50">
        <f t="shared" si="13"/>
        <v>8</v>
      </c>
      <c r="AA26" s="659">
        <v>847</v>
      </c>
      <c r="AB26" s="656">
        <v>5</v>
      </c>
      <c r="AC26" s="657">
        <v>85809</v>
      </c>
      <c r="AD26" s="658">
        <v>6210</v>
      </c>
      <c r="AE26" s="148">
        <f t="shared" si="14"/>
        <v>92019</v>
      </c>
      <c r="AF26" s="658">
        <v>29</v>
      </c>
      <c r="AG26" s="658">
        <v>1694</v>
      </c>
      <c r="AH26" s="658">
        <v>0</v>
      </c>
      <c r="AI26" s="658">
        <v>0</v>
      </c>
      <c r="AJ26" s="658">
        <v>401</v>
      </c>
      <c r="AK26" s="656">
        <v>0</v>
      </c>
      <c r="AL26" s="154">
        <f t="shared" si="15"/>
        <v>94143</v>
      </c>
      <c r="AO26" s="71" t="s">
        <v>196</v>
      </c>
      <c r="AP26" s="73">
        <v>0</v>
      </c>
      <c r="AQ26" s="72">
        <v>1</v>
      </c>
      <c r="AR26" s="72">
        <v>13</v>
      </c>
    </row>
    <row r="27" spans="1:44" s="71" customFormat="1" ht="33.75" customHeight="1">
      <c r="A27" s="798"/>
      <c r="B27" s="466" t="s">
        <v>197</v>
      </c>
      <c r="C27" s="657">
        <v>10</v>
      </c>
      <c r="D27" s="658">
        <v>4</v>
      </c>
      <c r="E27" s="658">
        <v>9</v>
      </c>
      <c r="F27" s="658">
        <v>0</v>
      </c>
      <c r="G27" s="658">
        <v>0</v>
      </c>
      <c r="H27" s="658">
        <v>25</v>
      </c>
      <c r="I27" s="50">
        <f t="shared" si="9"/>
        <v>48</v>
      </c>
      <c r="J27" s="659">
        <v>2</v>
      </c>
      <c r="K27" s="658">
        <v>1</v>
      </c>
      <c r="L27" s="658">
        <v>9</v>
      </c>
      <c r="M27" s="61">
        <f t="shared" si="10"/>
        <v>12</v>
      </c>
      <c r="N27" s="657">
        <v>1</v>
      </c>
      <c r="O27" s="658">
        <v>1</v>
      </c>
      <c r="P27" s="658">
        <v>4</v>
      </c>
      <c r="Q27" s="50">
        <f t="shared" si="11"/>
        <v>6</v>
      </c>
      <c r="R27" s="660">
        <v>12</v>
      </c>
      <c r="S27" s="659">
        <v>0</v>
      </c>
      <c r="T27" s="658">
        <v>0</v>
      </c>
      <c r="U27" s="658">
        <v>0</v>
      </c>
      <c r="V27" s="50">
        <f t="shared" si="12"/>
        <v>0</v>
      </c>
      <c r="W27" s="657">
        <v>0</v>
      </c>
      <c r="X27" s="658">
        <v>0</v>
      </c>
      <c r="Y27" s="658">
        <v>2</v>
      </c>
      <c r="Z27" s="50">
        <f t="shared" si="13"/>
        <v>2</v>
      </c>
      <c r="AA27" s="659">
        <v>135</v>
      </c>
      <c r="AB27" s="656">
        <v>3</v>
      </c>
      <c r="AC27" s="657">
        <v>2688</v>
      </c>
      <c r="AD27" s="658">
        <v>307</v>
      </c>
      <c r="AE27" s="148">
        <f t="shared" si="14"/>
        <v>2995</v>
      </c>
      <c r="AF27" s="658">
        <v>0</v>
      </c>
      <c r="AG27" s="658">
        <v>2003</v>
      </c>
      <c r="AH27" s="658">
        <v>0</v>
      </c>
      <c r="AI27" s="658">
        <v>0</v>
      </c>
      <c r="AJ27" s="658">
        <v>47809</v>
      </c>
      <c r="AK27" s="656">
        <v>0</v>
      </c>
      <c r="AL27" s="154">
        <f t="shared" si="15"/>
        <v>52807</v>
      </c>
      <c r="AO27" s="71" t="s">
        <v>197</v>
      </c>
      <c r="AP27" s="73">
        <v>0</v>
      </c>
      <c r="AQ27" s="72">
        <v>4</v>
      </c>
      <c r="AR27" s="72">
        <v>3</v>
      </c>
    </row>
    <row r="28" spans="1:44" s="71" customFormat="1" ht="33.75" customHeight="1">
      <c r="A28" s="798"/>
      <c r="B28" s="466" t="s">
        <v>198</v>
      </c>
      <c r="C28" s="657">
        <v>32</v>
      </c>
      <c r="D28" s="658">
        <v>3</v>
      </c>
      <c r="E28" s="658">
        <v>6</v>
      </c>
      <c r="F28" s="658">
        <v>0</v>
      </c>
      <c r="G28" s="658">
        <v>0</v>
      </c>
      <c r="H28" s="658">
        <v>16</v>
      </c>
      <c r="I28" s="50">
        <f t="shared" si="9"/>
        <v>57</v>
      </c>
      <c r="J28" s="659">
        <v>11</v>
      </c>
      <c r="K28" s="658">
        <v>9</v>
      </c>
      <c r="L28" s="658">
        <v>31</v>
      </c>
      <c r="M28" s="61">
        <f t="shared" si="10"/>
        <v>51</v>
      </c>
      <c r="N28" s="657">
        <v>10</v>
      </c>
      <c r="O28" s="658">
        <v>5</v>
      </c>
      <c r="P28" s="658">
        <v>19</v>
      </c>
      <c r="Q28" s="50">
        <f t="shared" si="11"/>
        <v>34</v>
      </c>
      <c r="R28" s="660">
        <v>95</v>
      </c>
      <c r="S28" s="659">
        <v>0</v>
      </c>
      <c r="T28" s="659">
        <v>0</v>
      </c>
      <c r="U28" s="658">
        <v>3</v>
      </c>
      <c r="V28" s="50">
        <f t="shared" si="12"/>
        <v>3</v>
      </c>
      <c r="W28" s="657">
        <v>1</v>
      </c>
      <c r="X28" s="658">
        <v>0</v>
      </c>
      <c r="Y28" s="658">
        <v>14</v>
      </c>
      <c r="Z28" s="50">
        <f t="shared" si="13"/>
        <v>15</v>
      </c>
      <c r="AA28" s="659">
        <v>1634</v>
      </c>
      <c r="AB28" s="656">
        <v>7</v>
      </c>
      <c r="AC28" s="657">
        <v>90190</v>
      </c>
      <c r="AD28" s="658">
        <v>55578</v>
      </c>
      <c r="AE28" s="148">
        <f t="shared" si="14"/>
        <v>145768</v>
      </c>
      <c r="AF28" s="658">
        <v>17</v>
      </c>
      <c r="AG28" s="658">
        <v>2372</v>
      </c>
      <c r="AH28" s="658">
        <v>0</v>
      </c>
      <c r="AI28" s="658">
        <v>0</v>
      </c>
      <c r="AJ28" s="658">
        <v>2328</v>
      </c>
      <c r="AK28" s="656">
        <v>0</v>
      </c>
      <c r="AL28" s="154">
        <f t="shared" si="15"/>
        <v>150485</v>
      </c>
      <c r="AO28" s="71" t="s">
        <v>198</v>
      </c>
      <c r="AP28" s="73">
        <v>1</v>
      </c>
      <c r="AQ28" s="72">
        <v>1</v>
      </c>
      <c r="AR28" s="72">
        <v>18</v>
      </c>
    </row>
    <row r="29" spans="1:44" s="71" customFormat="1" ht="33.75" customHeight="1" thickBot="1">
      <c r="A29" s="799"/>
      <c r="B29" s="467" t="s">
        <v>199</v>
      </c>
      <c r="C29" s="661">
        <v>44</v>
      </c>
      <c r="D29" s="662">
        <v>8</v>
      </c>
      <c r="E29" s="662">
        <v>5</v>
      </c>
      <c r="F29" s="662">
        <v>0</v>
      </c>
      <c r="G29" s="662">
        <v>0</v>
      </c>
      <c r="H29" s="662">
        <v>15</v>
      </c>
      <c r="I29" s="59">
        <f t="shared" si="9"/>
        <v>72</v>
      </c>
      <c r="J29" s="663">
        <v>27</v>
      </c>
      <c r="K29" s="662">
        <v>3</v>
      </c>
      <c r="L29" s="662">
        <v>44</v>
      </c>
      <c r="M29" s="67">
        <f t="shared" si="10"/>
        <v>74</v>
      </c>
      <c r="N29" s="661">
        <v>15</v>
      </c>
      <c r="O29" s="662">
        <v>5</v>
      </c>
      <c r="P29" s="662">
        <v>26</v>
      </c>
      <c r="Q29" s="59">
        <f t="shared" si="11"/>
        <v>46</v>
      </c>
      <c r="R29" s="664">
        <v>99</v>
      </c>
      <c r="S29" s="663">
        <v>0</v>
      </c>
      <c r="T29" s="662">
        <v>0</v>
      </c>
      <c r="U29" s="662">
        <v>6</v>
      </c>
      <c r="V29" s="59">
        <f t="shared" si="12"/>
        <v>6</v>
      </c>
      <c r="W29" s="661">
        <v>0</v>
      </c>
      <c r="X29" s="662">
        <v>0</v>
      </c>
      <c r="Y29" s="662">
        <v>8</v>
      </c>
      <c r="Z29" s="59">
        <f t="shared" si="13"/>
        <v>8</v>
      </c>
      <c r="AA29" s="663">
        <v>2332</v>
      </c>
      <c r="AB29" s="665">
        <v>24</v>
      </c>
      <c r="AC29" s="661">
        <v>96938</v>
      </c>
      <c r="AD29" s="662">
        <v>14539</v>
      </c>
      <c r="AE29" s="149">
        <f t="shared" si="14"/>
        <v>111477</v>
      </c>
      <c r="AF29" s="662">
        <v>0</v>
      </c>
      <c r="AG29" s="662">
        <v>6103</v>
      </c>
      <c r="AH29" s="662">
        <v>0</v>
      </c>
      <c r="AI29" s="662">
        <v>0</v>
      </c>
      <c r="AJ29" s="662">
        <v>1193</v>
      </c>
      <c r="AK29" s="665">
        <v>110</v>
      </c>
      <c r="AL29" s="155">
        <f t="shared" si="15"/>
        <v>118883</v>
      </c>
      <c r="AO29" s="71" t="s">
        <v>199</v>
      </c>
      <c r="AP29" s="73">
        <v>6</v>
      </c>
      <c r="AQ29" s="72">
        <v>0</v>
      </c>
      <c r="AR29" s="72">
        <v>3</v>
      </c>
    </row>
    <row r="30" ht="11.25">
      <c r="AG30" s="156" t="s">
        <v>375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view="pageBreakPreview" zoomScale="60" workbookViewId="0" topLeftCell="A1">
      <selection activeCell="M14" sqref="M14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3" width="5.25390625" style="47" customWidth="1"/>
    <col min="4" max="53" width="4.00390625" style="47" customWidth="1"/>
    <col min="54" max="16384" width="9.00390625" style="47" customWidth="1"/>
  </cols>
  <sheetData>
    <row r="1" spans="26:27" ht="19.5" customHeight="1">
      <c r="Z1" s="78" t="s">
        <v>376</v>
      </c>
      <c r="AA1" s="79" t="s">
        <v>201</v>
      </c>
    </row>
    <row r="2" spans="47:53" ht="19.5" customHeight="1" thickBot="1">
      <c r="AU2" s="150"/>
      <c r="AV2" s="150"/>
      <c r="AW2" s="150"/>
      <c r="AX2" s="150"/>
      <c r="AY2" s="150"/>
      <c r="AZ2" s="150"/>
      <c r="BA2" s="150"/>
    </row>
    <row r="3" spans="1:53" ht="45" customHeight="1">
      <c r="A3" s="768"/>
      <c r="B3" s="769"/>
      <c r="C3" s="814" t="s">
        <v>131</v>
      </c>
      <c r="D3" s="812" t="s">
        <v>202</v>
      </c>
      <c r="E3" s="811"/>
      <c r="F3" s="811"/>
      <c r="G3" s="811"/>
      <c r="H3" s="811"/>
      <c r="I3" s="811"/>
      <c r="J3" s="811"/>
      <c r="K3" s="811"/>
      <c r="L3" s="811"/>
      <c r="M3" s="813"/>
      <c r="N3" s="811" t="s">
        <v>203</v>
      </c>
      <c r="O3" s="811"/>
      <c r="P3" s="811"/>
      <c r="Q3" s="811"/>
      <c r="R3" s="811"/>
      <c r="S3" s="811"/>
      <c r="T3" s="812" t="s">
        <v>204</v>
      </c>
      <c r="U3" s="811"/>
      <c r="V3" s="811"/>
      <c r="W3" s="811"/>
      <c r="X3" s="811"/>
      <c r="Y3" s="811"/>
      <c r="Z3" s="813"/>
      <c r="AA3" s="812" t="s">
        <v>205</v>
      </c>
      <c r="AB3" s="811"/>
      <c r="AC3" s="811"/>
      <c r="AD3" s="811"/>
      <c r="AE3" s="811"/>
      <c r="AF3" s="813"/>
      <c r="AG3" s="811" t="s">
        <v>206</v>
      </c>
      <c r="AH3" s="811"/>
      <c r="AI3" s="811"/>
      <c r="AJ3" s="811"/>
      <c r="AK3" s="811"/>
      <c r="AL3" s="812" t="s">
        <v>207</v>
      </c>
      <c r="AM3" s="811"/>
      <c r="AN3" s="811"/>
      <c r="AO3" s="811"/>
      <c r="AP3" s="811"/>
      <c r="AQ3" s="813"/>
      <c r="AR3" s="811" t="s">
        <v>208</v>
      </c>
      <c r="AS3" s="811"/>
      <c r="AT3" s="811"/>
      <c r="AU3" s="811"/>
      <c r="AV3" s="811"/>
      <c r="AW3" s="811"/>
      <c r="AX3" s="812" t="s">
        <v>209</v>
      </c>
      <c r="AY3" s="811"/>
      <c r="AZ3" s="813"/>
      <c r="BA3" s="111" t="s">
        <v>138</v>
      </c>
    </row>
    <row r="4" spans="1:53" ht="228.75" thickBot="1">
      <c r="A4" s="772"/>
      <c r="B4" s="773"/>
      <c r="C4" s="815"/>
      <c r="D4" s="80" t="s">
        <v>163</v>
      </c>
      <c r="E4" s="81" t="s">
        <v>210</v>
      </c>
      <c r="F4" s="81" t="s">
        <v>211</v>
      </c>
      <c r="G4" s="81" t="s">
        <v>212</v>
      </c>
      <c r="H4" s="81" t="s">
        <v>213</v>
      </c>
      <c r="I4" s="81" t="s">
        <v>214</v>
      </c>
      <c r="J4" s="81" t="s">
        <v>215</v>
      </c>
      <c r="K4" s="81" t="s">
        <v>216</v>
      </c>
      <c r="L4" s="81" t="s">
        <v>217</v>
      </c>
      <c r="M4" s="82" t="s">
        <v>138</v>
      </c>
      <c r="N4" s="83" t="s">
        <v>163</v>
      </c>
      <c r="O4" s="84" t="s">
        <v>218</v>
      </c>
      <c r="P4" s="84" t="s">
        <v>219</v>
      </c>
      <c r="Q4" s="84" t="s">
        <v>220</v>
      </c>
      <c r="R4" s="84" t="s">
        <v>221</v>
      </c>
      <c r="S4" s="85" t="s">
        <v>138</v>
      </c>
      <c r="T4" s="86" t="s">
        <v>163</v>
      </c>
      <c r="U4" s="84" t="s">
        <v>222</v>
      </c>
      <c r="V4" s="84" t="s">
        <v>223</v>
      </c>
      <c r="W4" s="84" t="s">
        <v>224</v>
      </c>
      <c r="X4" s="84" t="s">
        <v>225</v>
      </c>
      <c r="Y4" s="84" t="s">
        <v>226</v>
      </c>
      <c r="Z4" s="82" t="s">
        <v>138</v>
      </c>
      <c r="AA4" s="86" t="s">
        <v>163</v>
      </c>
      <c r="AB4" s="84" t="s">
        <v>227</v>
      </c>
      <c r="AC4" s="84" t="s">
        <v>228</v>
      </c>
      <c r="AD4" s="84" t="s">
        <v>229</v>
      </c>
      <c r="AE4" s="84" t="s">
        <v>230</v>
      </c>
      <c r="AF4" s="82" t="s">
        <v>138</v>
      </c>
      <c r="AG4" s="83" t="s">
        <v>163</v>
      </c>
      <c r="AH4" s="84" t="s">
        <v>231</v>
      </c>
      <c r="AI4" s="84" t="s">
        <v>232</v>
      </c>
      <c r="AJ4" s="84" t="s">
        <v>233</v>
      </c>
      <c r="AK4" s="85" t="s">
        <v>138</v>
      </c>
      <c r="AL4" s="86" t="s">
        <v>163</v>
      </c>
      <c r="AM4" s="84" t="s">
        <v>234</v>
      </c>
      <c r="AN4" s="84" t="s">
        <v>235</v>
      </c>
      <c r="AO4" s="84" t="s">
        <v>236</v>
      </c>
      <c r="AP4" s="84" t="s">
        <v>237</v>
      </c>
      <c r="AQ4" s="82" t="s">
        <v>138</v>
      </c>
      <c r="AR4" s="83" t="s">
        <v>163</v>
      </c>
      <c r="AS4" s="84" t="s">
        <v>238</v>
      </c>
      <c r="AT4" s="84" t="s">
        <v>239</v>
      </c>
      <c r="AU4" s="84" t="s">
        <v>240</v>
      </c>
      <c r="AV4" s="84" t="s">
        <v>241</v>
      </c>
      <c r="AW4" s="85" t="s">
        <v>138</v>
      </c>
      <c r="AX4" s="86" t="s">
        <v>163</v>
      </c>
      <c r="AY4" s="85" t="s">
        <v>242</v>
      </c>
      <c r="AZ4" s="82" t="s">
        <v>138</v>
      </c>
      <c r="BA4" s="87" t="s">
        <v>96</v>
      </c>
    </row>
    <row r="5" spans="1:53" ht="33" customHeight="1">
      <c r="A5" s="800" t="s">
        <v>179</v>
      </c>
      <c r="B5" s="801"/>
      <c r="C5" s="88">
        <f aca="true" t="shared" si="0" ref="C5:C13">D5+N5+T5+AA5+AG5+AL5+AR5+AX5+BA5</f>
        <v>869</v>
      </c>
      <c r="D5" s="89">
        <f aca="true" t="shared" si="1" ref="D5:D13">SUM(E5:M5)</f>
        <v>63</v>
      </c>
      <c r="E5" s="90">
        <v>14</v>
      </c>
      <c r="F5" s="90">
        <v>3</v>
      </c>
      <c r="G5" s="90">
        <v>14</v>
      </c>
      <c r="H5" s="90">
        <v>6</v>
      </c>
      <c r="I5" s="90">
        <v>15</v>
      </c>
      <c r="J5" s="90">
        <v>9</v>
      </c>
      <c r="K5" s="90">
        <v>0</v>
      </c>
      <c r="L5" s="90">
        <v>2</v>
      </c>
      <c r="M5" s="91">
        <v>0</v>
      </c>
      <c r="N5" s="92">
        <f aca="true" t="shared" si="2" ref="N5:N13">SUM(O5:S5)</f>
        <v>149</v>
      </c>
      <c r="O5" s="90">
        <v>84</v>
      </c>
      <c r="P5" s="90">
        <v>5</v>
      </c>
      <c r="Q5" s="90">
        <v>39</v>
      </c>
      <c r="R5" s="90">
        <v>9</v>
      </c>
      <c r="S5" s="93">
        <v>12</v>
      </c>
      <c r="T5" s="89">
        <f aca="true" t="shared" si="3" ref="T5:T13">SUM(U5:Z5)</f>
        <v>28</v>
      </c>
      <c r="U5" s="90">
        <v>6</v>
      </c>
      <c r="V5" s="90">
        <v>19</v>
      </c>
      <c r="W5" s="90">
        <v>0</v>
      </c>
      <c r="X5" s="90">
        <v>2</v>
      </c>
      <c r="Y5" s="90">
        <v>1</v>
      </c>
      <c r="Z5" s="91">
        <v>0</v>
      </c>
      <c r="AA5" s="89">
        <f aca="true" t="shared" si="4" ref="AA5:AA13">SUM(AB5:AF5)</f>
        <v>427</v>
      </c>
      <c r="AB5" s="90">
        <v>206</v>
      </c>
      <c r="AC5" s="90">
        <v>172</v>
      </c>
      <c r="AD5" s="90">
        <v>37</v>
      </c>
      <c r="AE5" s="90">
        <v>12</v>
      </c>
      <c r="AF5" s="91">
        <v>0</v>
      </c>
      <c r="AG5" s="92">
        <f aca="true" t="shared" si="5" ref="AG5:AG13">SUM(AH5:AK5)</f>
        <v>23</v>
      </c>
      <c r="AH5" s="90">
        <v>15</v>
      </c>
      <c r="AI5" s="90">
        <v>5</v>
      </c>
      <c r="AJ5" s="90">
        <v>3</v>
      </c>
      <c r="AK5" s="93">
        <v>0</v>
      </c>
      <c r="AL5" s="89">
        <f aca="true" t="shared" si="6" ref="AL5:AL13">SUM(AM5:AQ5)</f>
        <v>22</v>
      </c>
      <c r="AM5" s="90">
        <v>0</v>
      </c>
      <c r="AN5" s="90">
        <v>4</v>
      </c>
      <c r="AO5" s="90">
        <v>1</v>
      </c>
      <c r="AP5" s="90">
        <v>17</v>
      </c>
      <c r="AQ5" s="91">
        <v>0</v>
      </c>
      <c r="AR5" s="92">
        <f aca="true" t="shared" si="7" ref="AR5:AR13">SUM(AS5:AW5)</f>
        <v>7</v>
      </c>
      <c r="AS5" s="90">
        <v>7</v>
      </c>
      <c r="AT5" s="90">
        <v>0</v>
      </c>
      <c r="AU5" s="90">
        <v>0</v>
      </c>
      <c r="AV5" s="90">
        <v>0</v>
      </c>
      <c r="AW5" s="93">
        <v>0</v>
      </c>
      <c r="AX5" s="89">
        <f aca="true" t="shared" si="8" ref="AX5:AX13">SUM(AY5:AZ5)</f>
        <v>2</v>
      </c>
      <c r="AY5" s="93">
        <v>2</v>
      </c>
      <c r="AZ5" s="91">
        <v>0</v>
      </c>
      <c r="BA5" s="94">
        <v>148</v>
      </c>
    </row>
    <row r="6" spans="1:53" ht="33" customHeight="1">
      <c r="A6" s="800" t="s">
        <v>180</v>
      </c>
      <c r="B6" s="801"/>
      <c r="C6" s="88">
        <f t="shared" si="0"/>
        <v>799</v>
      </c>
      <c r="D6" s="89">
        <f t="shared" si="1"/>
        <v>71</v>
      </c>
      <c r="E6" s="90">
        <v>19</v>
      </c>
      <c r="F6" s="90">
        <v>0</v>
      </c>
      <c r="G6" s="90">
        <v>8</v>
      </c>
      <c r="H6" s="90">
        <v>4</v>
      </c>
      <c r="I6" s="90">
        <v>30</v>
      </c>
      <c r="J6" s="90">
        <v>8</v>
      </c>
      <c r="K6" s="90">
        <v>1</v>
      </c>
      <c r="L6" s="90">
        <v>1</v>
      </c>
      <c r="M6" s="91">
        <v>0</v>
      </c>
      <c r="N6" s="92">
        <f t="shared" si="2"/>
        <v>143</v>
      </c>
      <c r="O6" s="90">
        <v>79</v>
      </c>
      <c r="P6" s="90">
        <v>11</v>
      </c>
      <c r="Q6" s="90">
        <v>41</v>
      </c>
      <c r="R6" s="90">
        <v>8</v>
      </c>
      <c r="S6" s="93">
        <v>4</v>
      </c>
      <c r="T6" s="89">
        <f t="shared" si="3"/>
        <v>14</v>
      </c>
      <c r="U6" s="90">
        <v>2</v>
      </c>
      <c r="V6" s="90">
        <v>10</v>
      </c>
      <c r="W6" s="90">
        <v>0</v>
      </c>
      <c r="X6" s="90">
        <v>1</v>
      </c>
      <c r="Y6" s="90">
        <v>1</v>
      </c>
      <c r="Z6" s="91">
        <v>0</v>
      </c>
      <c r="AA6" s="89">
        <f t="shared" si="4"/>
        <v>384</v>
      </c>
      <c r="AB6" s="90">
        <v>175</v>
      </c>
      <c r="AC6" s="90">
        <v>153</v>
      </c>
      <c r="AD6" s="90">
        <v>40</v>
      </c>
      <c r="AE6" s="90">
        <v>16</v>
      </c>
      <c r="AF6" s="91">
        <v>0</v>
      </c>
      <c r="AG6" s="92">
        <f t="shared" si="5"/>
        <v>22</v>
      </c>
      <c r="AH6" s="90">
        <v>11</v>
      </c>
      <c r="AI6" s="90">
        <v>6</v>
      </c>
      <c r="AJ6" s="90">
        <v>5</v>
      </c>
      <c r="AK6" s="93">
        <v>0</v>
      </c>
      <c r="AL6" s="89">
        <f t="shared" si="6"/>
        <v>19</v>
      </c>
      <c r="AM6" s="90">
        <v>2</v>
      </c>
      <c r="AN6" s="90">
        <v>1</v>
      </c>
      <c r="AO6" s="90">
        <v>0</v>
      </c>
      <c r="AP6" s="90">
        <v>16</v>
      </c>
      <c r="AQ6" s="91">
        <v>0</v>
      </c>
      <c r="AR6" s="92">
        <f t="shared" si="7"/>
        <v>2</v>
      </c>
      <c r="AS6" s="90">
        <v>1</v>
      </c>
      <c r="AT6" s="90">
        <v>0</v>
      </c>
      <c r="AU6" s="90">
        <v>0</v>
      </c>
      <c r="AV6" s="90">
        <v>0</v>
      </c>
      <c r="AW6" s="93">
        <v>1</v>
      </c>
      <c r="AX6" s="89">
        <f t="shared" si="8"/>
        <v>0</v>
      </c>
      <c r="AY6" s="93">
        <v>0</v>
      </c>
      <c r="AZ6" s="91">
        <v>0</v>
      </c>
      <c r="BA6" s="94">
        <v>144</v>
      </c>
    </row>
    <row r="7" spans="1:53" ht="33" customHeight="1">
      <c r="A7" s="800" t="s">
        <v>181</v>
      </c>
      <c r="B7" s="801"/>
      <c r="C7" s="88">
        <f t="shared" si="0"/>
        <v>783</v>
      </c>
      <c r="D7" s="89">
        <f t="shared" si="1"/>
        <v>46</v>
      </c>
      <c r="E7" s="90">
        <v>9</v>
      </c>
      <c r="F7" s="90">
        <v>1</v>
      </c>
      <c r="G7" s="90">
        <v>10</v>
      </c>
      <c r="H7" s="90">
        <v>1</v>
      </c>
      <c r="I7" s="90">
        <v>21</v>
      </c>
      <c r="J7" s="90">
        <v>4</v>
      </c>
      <c r="K7" s="90">
        <v>0</v>
      </c>
      <c r="L7" s="90">
        <v>0</v>
      </c>
      <c r="M7" s="91">
        <v>0</v>
      </c>
      <c r="N7" s="92">
        <f t="shared" si="2"/>
        <v>128</v>
      </c>
      <c r="O7" s="90">
        <v>74</v>
      </c>
      <c r="P7" s="90">
        <v>4</v>
      </c>
      <c r="Q7" s="90">
        <v>34</v>
      </c>
      <c r="R7" s="90">
        <v>9</v>
      </c>
      <c r="S7" s="93">
        <v>7</v>
      </c>
      <c r="T7" s="89">
        <f t="shared" si="3"/>
        <v>19</v>
      </c>
      <c r="U7" s="90">
        <v>3</v>
      </c>
      <c r="V7" s="90">
        <v>16</v>
      </c>
      <c r="W7" s="90">
        <v>0</v>
      </c>
      <c r="X7" s="90">
        <v>0</v>
      </c>
      <c r="Y7" s="90">
        <v>0</v>
      </c>
      <c r="Z7" s="91">
        <v>0</v>
      </c>
      <c r="AA7" s="89">
        <f t="shared" si="4"/>
        <v>393</v>
      </c>
      <c r="AB7" s="90">
        <v>154</v>
      </c>
      <c r="AC7" s="90">
        <v>198</v>
      </c>
      <c r="AD7" s="90">
        <v>31</v>
      </c>
      <c r="AE7" s="90">
        <v>10</v>
      </c>
      <c r="AF7" s="91">
        <v>0</v>
      </c>
      <c r="AG7" s="92">
        <f t="shared" si="5"/>
        <v>29</v>
      </c>
      <c r="AH7" s="90">
        <v>20</v>
      </c>
      <c r="AI7" s="90">
        <v>7</v>
      </c>
      <c r="AJ7" s="90">
        <v>2</v>
      </c>
      <c r="AK7" s="93">
        <v>0</v>
      </c>
      <c r="AL7" s="89">
        <f t="shared" si="6"/>
        <v>21</v>
      </c>
      <c r="AM7" s="90">
        <v>0</v>
      </c>
      <c r="AN7" s="90">
        <v>1</v>
      </c>
      <c r="AO7" s="90">
        <v>0</v>
      </c>
      <c r="AP7" s="90">
        <v>17</v>
      </c>
      <c r="AQ7" s="91">
        <v>3</v>
      </c>
      <c r="AR7" s="92">
        <f t="shared" si="7"/>
        <v>4</v>
      </c>
      <c r="AS7" s="90">
        <v>3</v>
      </c>
      <c r="AT7" s="90">
        <v>0</v>
      </c>
      <c r="AU7" s="90">
        <v>1</v>
      </c>
      <c r="AV7" s="90">
        <v>0</v>
      </c>
      <c r="AW7" s="93">
        <v>0</v>
      </c>
      <c r="AX7" s="89">
        <f t="shared" si="8"/>
        <v>2</v>
      </c>
      <c r="AY7" s="93">
        <v>2</v>
      </c>
      <c r="AZ7" s="91">
        <v>0</v>
      </c>
      <c r="BA7" s="94">
        <v>141</v>
      </c>
    </row>
    <row r="8" spans="1:53" ht="33" customHeight="1">
      <c r="A8" s="800" t="s">
        <v>182</v>
      </c>
      <c r="B8" s="801"/>
      <c r="C8" s="88">
        <f t="shared" si="0"/>
        <v>694</v>
      </c>
      <c r="D8" s="89">
        <f t="shared" si="1"/>
        <v>55</v>
      </c>
      <c r="E8" s="90">
        <v>12</v>
      </c>
      <c r="F8" s="90">
        <v>3</v>
      </c>
      <c r="G8" s="90">
        <v>9</v>
      </c>
      <c r="H8" s="90">
        <v>5</v>
      </c>
      <c r="I8" s="90">
        <v>20</v>
      </c>
      <c r="J8" s="90">
        <v>2</v>
      </c>
      <c r="K8" s="90">
        <v>4</v>
      </c>
      <c r="L8" s="90">
        <v>0</v>
      </c>
      <c r="M8" s="91">
        <v>0</v>
      </c>
      <c r="N8" s="92">
        <f t="shared" si="2"/>
        <v>129</v>
      </c>
      <c r="O8" s="90">
        <v>82</v>
      </c>
      <c r="P8" s="90">
        <v>7</v>
      </c>
      <c r="Q8" s="90">
        <v>29</v>
      </c>
      <c r="R8" s="90">
        <v>5</v>
      </c>
      <c r="S8" s="93">
        <v>6</v>
      </c>
      <c r="T8" s="89">
        <f t="shared" si="3"/>
        <v>10</v>
      </c>
      <c r="U8" s="90">
        <v>1</v>
      </c>
      <c r="V8" s="90">
        <v>9</v>
      </c>
      <c r="W8" s="90">
        <v>0</v>
      </c>
      <c r="X8" s="90">
        <v>0</v>
      </c>
      <c r="Y8" s="90">
        <v>0</v>
      </c>
      <c r="Z8" s="91">
        <v>0</v>
      </c>
      <c r="AA8" s="89">
        <f t="shared" si="4"/>
        <v>307</v>
      </c>
      <c r="AB8" s="90">
        <v>93</v>
      </c>
      <c r="AC8" s="90">
        <v>190</v>
      </c>
      <c r="AD8" s="90">
        <v>17</v>
      </c>
      <c r="AE8" s="90">
        <v>7</v>
      </c>
      <c r="AF8" s="91">
        <v>0</v>
      </c>
      <c r="AG8" s="92">
        <f t="shared" si="5"/>
        <v>35</v>
      </c>
      <c r="AH8" s="90">
        <v>25</v>
      </c>
      <c r="AI8" s="90">
        <v>8</v>
      </c>
      <c r="AJ8" s="90">
        <v>2</v>
      </c>
      <c r="AK8" s="93">
        <v>0</v>
      </c>
      <c r="AL8" s="89">
        <f t="shared" si="6"/>
        <v>12</v>
      </c>
      <c r="AM8" s="90">
        <v>0</v>
      </c>
      <c r="AN8" s="90">
        <v>1</v>
      </c>
      <c r="AO8" s="90">
        <v>0</v>
      </c>
      <c r="AP8" s="90">
        <v>10</v>
      </c>
      <c r="AQ8" s="91">
        <v>1</v>
      </c>
      <c r="AR8" s="92">
        <f t="shared" si="7"/>
        <v>2</v>
      </c>
      <c r="AS8" s="90">
        <v>2</v>
      </c>
      <c r="AT8" s="90">
        <v>0</v>
      </c>
      <c r="AU8" s="90">
        <v>0</v>
      </c>
      <c r="AV8" s="90">
        <v>0</v>
      </c>
      <c r="AW8" s="93">
        <v>0</v>
      </c>
      <c r="AX8" s="89">
        <f t="shared" si="8"/>
        <v>3</v>
      </c>
      <c r="AY8" s="93">
        <v>3</v>
      </c>
      <c r="AZ8" s="91">
        <v>0</v>
      </c>
      <c r="BA8" s="94">
        <v>141</v>
      </c>
    </row>
    <row r="9" spans="1:53" ht="33" customHeight="1">
      <c r="A9" s="800" t="s">
        <v>183</v>
      </c>
      <c r="B9" s="801"/>
      <c r="C9" s="88">
        <f t="shared" si="0"/>
        <v>737</v>
      </c>
      <c r="D9" s="89">
        <f t="shared" si="1"/>
        <v>75</v>
      </c>
      <c r="E9" s="90">
        <v>19</v>
      </c>
      <c r="F9" s="90">
        <v>4</v>
      </c>
      <c r="G9" s="90">
        <v>13</v>
      </c>
      <c r="H9" s="90">
        <v>1</v>
      </c>
      <c r="I9" s="90">
        <v>28</v>
      </c>
      <c r="J9" s="90">
        <v>9</v>
      </c>
      <c r="K9" s="90">
        <v>0</v>
      </c>
      <c r="L9" s="90">
        <v>1</v>
      </c>
      <c r="M9" s="91">
        <v>0</v>
      </c>
      <c r="N9" s="92">
        <f t="shared" si="2"/>
        <v>130</v>
      </c>
      <c r="O9" s="90">
        <v>79</v>
      </c>
      <c r="P9" s="90">
        <v>6</v>
      </c>
      <c r="Q9" s="90">
        <v>35</v>
      </c>
      <c r="R9" s="90">
        <v>7</v>
      </c>
      <c r="S9" s="93">
        <v>3</v>
      </c>
      <c r="T9" s="89">
        <f t="shared" si="3"/>
        <v>20</v>
      </c>
      <c r="U9" s="90">
        <v>3</v>
      </c>
      <c r="V9" s="90">
        <v>17</v>
      </c>
      <c r="W9" s="90">
        <v>0</v>
      </c>
      <c r="X9" s="90">
        <v>0</v>
      </c>
      <c r="Y9" s="90">
        <v>0</v>
      </c>
      <c r="Z9" s="91">
        <v>0</v>
      </c>
      <c r="AA9" s="89">
        <f t="shared" si="4"/>
        <v>331</v>
      </c>
      <c r="AB9" s="90">
        <v>119</v>
      </c>
      <c r="AC9" s="90">
        <v>172</v>
      </c>
      <c r="AD9" s="90">
        <v>25</v>
      </c>
      <c r="AE9" s="90">
        <v>15</v>
      </c>
      <c r="AF9" s="91">
        <v>0</v>
      </c>
      <c r="AG9" s="92">
        <f t="shared" si="5"/>
        <v>34</v>
      </c>
      <c r="AH9" s="90">
        <v>19</v>
      </c>
      <c r="AI9" s="90">
        <v>6</v>
      </c>
      <c r="AJ9" s="90">
        <v>8</v>
      </c>
      <c r="AK9" s="93">
        <v>1</v>
      </c>
      <c r="AL9" s="89">
        <f t="shared" si="6"/>
        <v>12</v>
      </c>
      <c r="AM9" s="90">
        <v>0</v>
      </c>
      <c r="AN9" s="90">
        <v>0</v>
      </c>
      <c r="AO9" s="90">
        <v>0</v>
      </c>
      <c r="AP9" s="90">
        <v>12</v>
      </c>
      <c r="AQ9" s="91">
        <v>0</v>
      </c>
      <c r="AR9" s="92">
        <f t="shared" si="7"/>
        <v>3</v>
      </c>
      <c r="AS9" s="90">
        <v>3</v>
      </c>
      <c r="AT9" s="90">
        <v>0</v>
      </c>
      <c r="AU9" s="90">
        <v>0</v>
      </c>
      <c r="AV9" s="90">
        <v>0</v>
      </c>
      <c r="AW9" s="93">
        <v>0</v>
      </c>
      <c r="AX9" s="89">
        <f t="shared" si="8"/>
        <v>2</v>
      </c>
      <c r="AY9" s="93">
        <v>2</v>
      </c>
      <c r="AZ9" s="91">
        <v>0</v>
      </c>
      <c r="BA9" s="94">
        <v>130</v>
      </c>
    </row>
    <row r="10" spans="1:53" ht="33" customHeight="1">
      <c r="A10" s="800" t="s">
        <v>184</v>
      </c>
      <c r="B10" s="801"/>
      <c r="C10" s="88">
        <f t="shared" si="0"/>
        <v>772</v>
      </c>
      <c r="D10" s="89">
        <f t="shared" si="1"/>
        <v>60</v>
      </c>
      <c r="E10" s="90">
        <v>14</v>
      </c>
      <c r="F10" s="90">
        <v>3</v>
      </c>
      <c r="G10" s="90">
        <v>4</v>
      </c>
      <c r="H10" s="90">
        <v>6</v>
      </c>
      <c r="I10" s="90">
        <v>6</v>
      </c>
      <c r="J10" s="90">
        <v>26</v>
      </c>
      <c r="K10" s="90">
        <v>0</v>
      </c>
      <c r="L10" s="90">
        <v>1</v>
      </c>
      <c r="M10" s="91">
        <v>0</v>
      </c>
      <c r="N10" s="92">
        <f t="shared" si="2"/>
        <v>135</v>
      </c>
      <c r="O10" s="90">
        <v>64</v>
      </c>
      <c r="P10" s="90">
        <v>16</v>
      </c>
      <c r="Q10" s="90">
        <v>38</v>
      </c>
      <c r="R10" s="90">
        <v>13</v>
      </c>
      <c r="S10" s="93">
        <v>4</v>
      </c>
      <c r="T10" s="89">
        <f t="shared" si="3"/>
        <v>25</v>
      </c>
      <c r="U10" s="90">
        <v>4</v>
      </c>
      <c r="V10" s="90">
        <v>21</v>
      </c>
      <c r="W10" s="90">
        <v>0</v>
      </c>
      <c r="X10" s="90">
        <v>0</v>
      </c>
      <c r="Y10" s="90">
        <v>0</v>
      </c>
      <c r="Z10" s="91">
        <v>0</v>
      </c>
      <c r="AA10" s="89">
        <f t="shared" si="4"/>
        <v>312</v>
      </c>
      <c r="AB10" s="90">
        <v>130</v>
      </c>
      <c r="AC10" s="90">
        <v>125</v>
      </c>
      <c r="AD10" s="90">
        <v>39</v>
      </c>
      <c r="AE10" s="90">
        <v>18</v>
      </c>
      <c r="AF10" s="91">
        <v>0</v>
      </c>
      <c r="AG10" s="92">
        <f t="shared" si="5"/>
        <v>48</v>
      </c>
      <c r="AH10" s="90">
        <v>29</v>
      </c>
      <c r="AI10" s="90">
        <v>11</v>
      </c>
      <c r="AJ10" s="90">
        <v>7</v>
      </c>
      <c r="AK10" s="93">
        <v>1</v>
      </c>
      <c r="AL10" s="89">
        <f t="shared" si="6"/>
        <v>7</v>
      </c>
      <c r="AM10" s="90">
        <v>2</v>
      </c>
      <c r="AN10" s="90">
        <v>0</v>
      </c>
      <c r="AO10" s="90">
        <v>0</v>
      </c>
      <c r="AP10" s="90">
        <v>4</v>
      </c>
      <c r="AQ10" s="91">
        <v>1</v>
      </c>
      <c r="AR10" s="92">
        <f t="shared" si="7"/>
        <v>8</v>
      </c>
      <c r="AS10" s="90">
        <v>8</v>
      </c>
      <c r="AT10" s="90">
        <v>0</v>
      </c>
      <c r="AU10" s="90">
        <v>0</v>
      </c>
      <c r="AV10" s="90">
        <v>0</v>
      </c>
      <c r="AW10" s="93">
        <v>0</v>
      </c>
      <c r="AX10" s="89">
        <f t="shared" si="8"/>
        <v>1</v>
      </c>
      <c r="AY10" s="93">
        <v>1</v>
      </c>
      <c r="AZ10" s="91">
        <v>0</v>
      </c>
      <c r="BA10" s="94">
        <v>176</v>
      </c>
    </row>
    <row r="11" spans="1:53" ht="33" customHeight="1">
      <c r="A11" s="800" t="s">
        <v>185</v>
      </c>
      <c r="B11" s="801"/>
      <c r="C11" s="88">
        <f t="shared" si="0"/>
        <v>737</v>
      </c>
      <c r="D11" s="89">
        <f t="shared" si="1"/>
        <v>61</v>
      </c>
      <c r="E11" s="90">
        <v>15</v>
      </c>
      <c r="F11" s="90">
        <v>1</v>
      </c>
      <c r="G11" s="90">
        <v>9</v>
      </c>
      <c r="H11" s="90">
        <v>5</v>
      </c>
      <c r="I11" s="90">
        <v>24</v>
      </c>
      <c r="J11" s="90">
        <v>6</v>
      </c>
      <c r="K11" s="90">
        <v>0</v>
      </c>
      <c r="L11" s="90">
        <v>1</v>
      </c>
      <c r="M11" s="91">
        <v>0</v>
      </c>
      <c r="N11" s="92">
        <f t="shared" si="2"/>
        <v>120</v>
      </c>
      <c r="O11" s="90">
        <v>63</v>
      </c>
      <c r="P11" s="90">
        <v>8</v>
      </c>
      <c r="Q11" s="90">
        <v>34</v>
      </c>
      <c r="R11" s="90">
        <v>11</v>
      </c>
      <c r="S11" s="93">
        <v>4</v>
      </c>
      <c r="T11" s="89">
        <f t="shared" si="3"/>
        <v>9</v>
      </c>
      <c r="U11" s="90">
        <v>2</v>
      </c>
      <c r="V11" s="90">
        <v>6</v>
      </c>
      <c r="W11" s="90">
        <v>0</v>
      </c>
      <c r="X11" s="90">
        <v>0</v>
      </c>
      <c r="Y11" s="90">
        <v>0</v>
      </c>
      <c r="Z11" s="91">
        <v>1</v>
      </c>
      <c r="AA11" s="89">
        <f t="shared" si="4"/>
        <v>342</v>
      </c>
      <c r="AB11" s="90">
        <v>144</v>
      </c>
      <c r="AC11" s="90">
        <v>155</v>
      </c>
      <c r="AD11" s="90">
        <v>30</v>
      </c>
      <c r="AE11" s="90">
        <v>13</v>
      </c>
      <c r="AF11" s="91">
        <v>0</v>
      </c>
      <c r="AG11" s="92">
        <f t="shared" si="5"/>
        <v>30</v>
      </c>
      <c r="AH11" s="90">
        <v>16</v>
      </c>
      <c r="AI11" s="90">
        <v>10</v>
      </c>
      <c r="AJ11" s="90">
        <v>4</v>
      </c>
      <c r="AK11" s="93">
        <v>0</v>
      </c>
      <c r="AL11" s="89">
        <f t="shared" si="6"/>
        <v>11</v>
      </c>
      <c r="AM11" s="90">
        <v>0</v>
      </c>
      <c r="AN11" s="90">
        <v>0</v>
      </c>
      <c r="AO11" s="90">
        <v>0</v>
      </c>
      <c r="AP11" s="90">
        <v>11</v>
      </c>
      <c r="AQ11" s="91">
        <v>0</v>
      </c>
      <c r="AR11" s="92">
        <f t="shared" si="7"/>
        <v>4</v>
      </c>
      <c r="AS11" s="90">
        <v>4</v>
      </c>
      <c r="AT11" s="90">
        <v>0</v>
      </c>
      <c r="AU11" s="90">
        <v>0</v>
      </c>
      <c r="AV11" s="90">
        <v>0</v>
      </c>
      <c r="AW11" s="93">
        <v>0</v>
      </c>
      <c r="AX11" s="89">
        <f t="shared" si="8"/>
        <v>5</v>
      </c>
      <c r="AY11" s="93">
        <v>5</v>
      </c>
      <c r="AZ11" s="91">
        <v>0</v>
      </c>
      <c r="BA11" s="94">
        <v>155</v>
      </c>
    </row>
    <row r="12" spans="1:53" ht="33" customHeight="1">
      <c r="A12" s="821" t="s">
        <v>187</v>
      </c>
      <c r="B12" s="822"/>
      <c r="C12" s="88">
        <f t="shared" si="0"/>
        <v>917</v>
      </c>
      <c r="D12" s="89">
        <f t="shared" si="1"/>
        <v>71</v>
      </c>
      <c r="E12" s="90">
        <v>11</v>
      </c>
      <c r="F12" s="90">
        <v>0</v>
      </c>
      <c r="G12" s="90">
        <v>19</v>
      </c>
      <c r="H12" s="90">
        <v>2</v>
      </c>
      <c r="I12" s="90">
        <v>24</v>
      </c>
      <c r="J12" s="90">
        <v>14</v>
      </c>
      <c r="K12" s="90">
        <v>0</v>
      </c>
      <c r="L12" s="90">
        <v>0</v>
      </c>
      <c r="M12" s="91">
        <v>1</v>
      </c>
      <c r="N12" s="92">
        <f t="shared" si="2"/>
        <v>128</v>
      </c>
      <c r="O12" s="90">
        <v>80</v>
      </c>
      <c r="P12" s="90">
        <v>5</v>
      </c>
      <c r="Q12" s="90">
        <v>23</v>
      </c>
      <c r="R12" s="90">
        <v>9</v>
      </c>
      <c r="S12" s="93">
        <v>11</v>
      </c>
      <c r="T12" s="89">
        <f t="shared" si="3"/>
        <v>20</v>
      </c>
      <c r="U12" s="90">
        <v>1</v>
      </c>
      <c r="V12" s="90">
        <v>19</v>
      </c>
      <c r="W12" s="90">
        <v>0</v>
      </c>
      <c r="X12" s="90">
        <v>0</v>
      </c>
      <c r="Y12" s="90">
        <v>0</v>
      </c>
      <c r="Z12" s="91">
        <v>0</v>
      </c>
      <c r="AA12" s="89">
        <f t="shared" si="4"/>
        <v>477</v>
      </c>
      <c r="AB12" s="90">
        <v>245</v>
      </c>
      <c r="AC12" s="90">
        <v>182</v>
      </c>
      <c r="AD12" s="90">
        <v>36</v>
      </c>
      <c r="AE12" s="90">
        <v>14</v>
      </c>
      <c r="AF12" s="91">
        <v>0</v>
      </c>
      <c r="AG12" s="92">
        <f t="shared" si="5"/>
        <v>44</v>
      </c>
      <c r="AH12" s="90">
        <v>22</v>
      </c>
      <c r="AI12" s="90">
        <v>11</v>
      </c>
      <c r="AJ12" s="90">
        <v>11</v>
      </c>
      <c r="AK12" s="93">
        <v>0</v>
      </c>
      <c r="AL12" s="89">
        <f t="shared" si="6"/>
        <v>10</v>
      </c>
      <c r="AM12" s="90">
        <v>0</v>
      </c>
      <c r="AN12" s="90">
        <v>0</v>
      </c>
      <c r="AO12" s="90">
        <v>0</v>
      </c>
      <c r="AP12" s="90">
        <v>8</v>
      </c>
      <c r="AQ12" s="91">
        <v>2</v>
      </c>
      <c r="AR12" s="92">
        <f t="shared" si="7"/>
        <v>5</v>
      </c>
      <c r="AS12" s="90">
        <v>4</v>
      </c>
      <c r="AT12" s="90">
        <v>0</v>
      </c>
      <c r="AU12" s="90">
        <v>0</v>
      </c>
      <c r="AV12" s="90">
        <v>0</v>
      </c>
      <c r="AW12" s="93">
        <v>1</v>
      </c>
      <c r="AX12" s="89">
        <f t="shared" si="8"/>
        <v>6</v>
      </c>
      <c r="AY12" s="93">
        <v>6</v>
      </c>
      <c r="AZ12" s="91">
        <v>0</v>
      </c>
      <c r="BA12" s="94">
        <v>156</v>
      </c>
    </row>
    <row r="13" spans="1:53" ht="33" customHeight="1">
      <c r="A13" s="823" t="s">
        <v>428</v>
      </c>
      <c r="B13" s="824"/>
      <c r="C13" s="95">
        <f t="shared" si="0"/>
        <v>654</v>
      </c>
      <c r="D13" s="96">
        <f t="shared" si="1"/>
        <v>75</v>
      </c>
      <c r="E13" s="97">
        <v>15</v>
      </c>
      <c r="F13" s="97">
        <v>3</v>
      </c>
      <c r="G13" s="97">
        <v>15</v>
      </c>
      <c r="H13" s="97">
        <v>5</v>
      </c>
      <c r="I13" s="97">
        <v>27</v>
      </c>
      <c r="J13" s="97">
        <v>8</v>
      </c>
      <c r="K13" s="97">
        <v>0</v>
      </c>
      <c r="L13" s="97">
        <v>2</v>
      </c>
      <c r="M13" s="98">
        <v>0</v>
      </c>
      <c r="N13" s="99">
        <f t="shared" si="2"/>
        <v>105</v>
      </c>
      <c r="O13" s="97">
        <v>64</v>
      </c>
      <c r="P13" s="97">
        <v>1</v>
      </c>
      <c r="Q13" s="97">
        <v>23</v>
      </c>
      <c r="R13" s="97">
        <v>8</v>
      </c>
      <c r="S13" s="100">
        <v>9</v>
      </c>
      <c r="T13" s="96">
        <f t="shared" si="3"/>
        <v>17</v>
      </c>
      <c r="U13" s="97">
        <v>5</v>
      </c>
      <c r="V13" s="97">
        <v>12</v>
      </c>
      <c r="W13" s="97">
        <v>0</v>
      </c>
      <c r="X13" s="97">
        <v>0</v>
      </c>
      <c r="Y13" s="97">
        <v>0</v>
      </c>
      <c r="Z13" s="98">
        <v>0</v>
      </c>
      <c r="AA13" s="96">
        <f t="shared" si="4"/>
        <v>288</v>
      </c>
      <c r="AB13" s="97">
        <v>106</v>
      </c>
      <c r="AC13" s="97">
        <v>150</v>
      </c>
      <c r="AD13" s="97">
        <v>17</v>
      </c>
      <c r="AE13" s="97">
        <v>13</v>
      </c>
      <c r="AF13" s="98">
        <v>2</v>
      </c>
      <c r="AG13" s="99">
        <f t="shared" si="5"/>
        <v>27</v>
      </c>
      <c r="AH13" s="97">
        <v>16</v>
      </c>
      <c r="AI13" s="97">
        <v>9</v>
      </c>
      <c r="AJ13" s="97">
        <v>2</v>
      </c>
      <c r="AK13" s="100">
        <v>0</v>
      </c>
      <c r="AL13" s="96">
        <f t="shared" si="6"/>
        <v>12</v>
      </c>
      <c r="AM13" s="101">
        <v>0</v>
      </c>
      <c r="AN13" s="101">
        <v>1</v>
      </c>
      <c r="AO13" s="101">
        <v>1</v>
      </c>
      <c r="AP13" s="101">
        <v>10</v>
      </c>
      <c r="AQ13" s="102">
        <v>0</v>
      </c>
      <c r="AR13" s="99">
        <f t="shared" si="7"/>
        <v>2</v>
      </c>
      <c r="AS13" s="97">
        <v>1</v>
      </c>
      <c r="AT13" s="97">
        <v>1</v>
      </c>
      <c r="AU13" s="97">
        <v>0</v>
      </c>
      <c r="AV13" s="97">
        <v>0</v>
      </c>
      <c r="AW13" s="100">
        <v>0</v>
      </c>
      <c r="AX13" s="96">
        <f t="shared" si="8"/>
        <v>3</v>
      </c>
      <c r="AY13" s="100">
        <v>3</v>
      </c>
      <c r="AZ13" s="98">
        <v>0</v>
      </c>
      <c r="BA13" s="103">
        <v>125</v>
      </c>
    </row>
    <row r="14" spans="1:53" ht="33" customHeight="1" thickBot="1">
      <c r="A14" s="816" t="s">
        <v>429</v>
      </c>
      <c r="B14" s="817"/>
      <c r="C14" s="104">
        <f>D14+N14+T14+AA14+AG14+AL14+AR14+AX14+BA14</f>
        <v>697</v>
      </c>
      <c r="D14" s="105">
        <v>78</v>
      </c>
      <c r="E14" s="106">
        <v>14</v>
      </c>
      <c r="F14" s="106">
        <v>2</v>
      </c>
      <c r="G14" s="106">
        <v>9</v>
      </c>
      <c r="H14" s="106">
        <v>9</v>
      </c>
      <c r="I14" s="106">
        <v>20</v>
      </c>
      <c r="J14" s="106">
        <v>21</v>
      </c>
      <c r="K14" s="106">
        <v>1</v>
      </c>
      <c r="L14" s="106">
        <v>2</v>
      </c>
      <c r="M14" s="107">
        <v>0</v>
      </c>
      <c r="N14" s="108">
        <f>SUM(O14:S14)</f>
        <v>133</v>
      </c>
      <c r="O14" s="106">
        <v>75</v>
      </c>
      <c r="P14" s="106">
        <v>7</v>
      </c>
      <c r="Q14" s="106">
        <v>23</v>
      </c>
      <c r="R14" s="106">
        <v>13</v>
      </c>
      <c r="S14" s="109">
        <v>15</v>
      </c>
      <c r="T14" s="105">
        <f>SUM(U14:Z14)</f>
        <v>11</v>
      </c>
      <c r="U14" s="106">
        <v>1</v>
      </c>
      <c r="V14" s="106">
        <v>10</v>
      </c>
      <c r="W14" s="106">
        <v>0</v>
      </c>
      <c r="X14" s="106">
        <v>0</v>
      </c>
      <c r="Y14" s="106">
        <v>0</v>
      </c>
      <c r="Z14" s="107">
        <v>0</v>
      </c>
      <c r="AA14" s="105">
        <f>SUM(AB14:AF14)</f>
        <v>310</v>
      </c>
      <c r="AB14" s="106">
        <v>131</v>
      </c>
      <c r="AC14" s="106">
        <v>131</v>
      </c>
      <c r="AD14" s="106">
        <v>34</v>
      </c>
      <c r="AE14" s="106">
        <v>14</v>
      </c>
      <c r="AF14" s="107">
        <v>0</v>
      </c>
      <c r="AG14" s="108">
        <f>SUM(AH14:AK14)</f>
        <v>27</v>
      </c>
      <c r="AH14" s="106">
        <v>15</v>
      </c>
      <c r="AI14" s="106">
        <v>5</v>
      </c>
      <c r="AJ14" s="106">
        <v>6</v>
      </c>
      <c r="AK14" s="109">
        <v>1</v>
      </c>
      <c r="AL14" s="105">
        <f>SUM(AM14:AQ14)</f>
        <v>14</v>
      </c>
      <c r="AM14" s="106">
        <v>0</v>
      </c>
      <c r="AN14" s="106">
        <v>1</v>
      </c>
      <c r="AO14" s="106">
        <v>4</v>
      </c>
      <c r="AP14" s="106">
        <v>7</v>
      </c>
      <c r="AQ14" s="107">
        <v>2</v>
      </c>
      <c r="AR14" s="108">
        <f>SUM(AS14:AW14)</f>
        <v>5</v>
      </c>
      <c r="AS14" s="106">
        <v>5</v>
      </c>
      <c r="AT14" s="106">
        <v>0</v>
      </c>
      <c r="AU14" s="106">
        <v>0</v>
      </c>
      <c r="AV14" s="106">
        <v>0</v>
      </c>
      <c r="AW14" s="109">
        <v>0</v>
      </c>
      <c r="AX14" s="105">
        <f>SUM(AY14:AZ14)</f>
        <v>2</v>
      </c>
      <c r="AY14" s="109">
        <v>2</v>
      </c>
      <c r="AZ14" s="107">
        <v>0</v>
      </c>
      <c r="BA14" s="110">
        <v>117</v>
      </c>
    </row>
    <row r="15" spans="1:53" ht="33" customHeight="1" thickBot="1" thickTop="1">
      <c r="A15" s="805" t="s">
        <v>186</v>
      </c>
      <c r="B15" s="806"/>
      <c r="C15" s="113">
        <f>SUM(C5:C14)/10</f>
        <v>765.9</v>
      </c>
      <c r="D15" s="114">
        <f>SUM(D5:D14)/10</f>
        <v>65.5</v>
      </c>
      <c r="E15" s="115">
        <f>SUM(E5:E14)/10</f>
        <v>14.2</v>
      </c>
      <c r="F15" s="115">
        <f aca="true" t="shared" si="9" ref="F15:L15">SUM(F5:F14)/10</f>
        <v>2</v>
      </c>
      <c r="G15" s="115">
        <f t="shared" si="9"/>
        <v>11</v>
      </c>
      <c r="H15" s="115">
        <f t="shared" si="9"/>
        <v>4.4</v>
      </c>
      <c r="I15" s="115">
        <f t="shared" si="9"/>
        <v>21.5</v>
      </c>
      <c r="J15" s="115">
        <f t="shared" si="9"/>
        <v>10.7</v>
      </c>
      <c r="K15" s="115">
        <f t="shared" si="9"/>
        <v>0.6</v>
      </c>
      <c r="L15" s="115">
        <f t="shared" si="9"/>
        <v>1</v>
      </c>
      <c r="M15" s="116">
        <f aca="true" t="shared" si="10" ref="M15:BA15">SUM(M5:M14)/10</f>
        <v>0.1</v>
      </c>
      <c r="N15" s="117">
        <f t="shared" si="10"/>
        <v>130</v>
      </c>
      <c r="O15" s="115">
        <f t="shared" si="10"/>
        <v>74.4</v>
      </c>
      <c r="P15" s="115">
        <f t="shared" si="10"/>
        <v>7</v>
      </c>
      <c r="Q15" s="115">
        <f t="shared" si="10"/>
        <v>31.9</v>
      </c>
      <c r="R15" s="115">
        <f t="shared" si="10"/>
        <v>9.2</v>
      </c>
      <c r="S15" s="118">
        <f t="shared" si="10"/>
        <v>7.5</v>
      </c>
      <c r="T15" s="114">
        <f t="shared" si="10"/>
        <v>17.3</v>
      </c>
      <c r="U15" s="115">
        <f t="shared" si="10"/>
        <v>2.8</v>
      </c>
      <c r="V15" s="115">
        <f t="shared" si="10"/>
        <v>13.9</v>
      </c>
      <c r="W15" s="115">
        <f t="shared" si="10"/>
        <v>0</v>
      </c>
      <c r="X15" s="115">
        <f t="shared" si="10"/>
        <v>0.3</v>
      </c>
      <c r="Y15" s="115">
        <f t="shared" si="10"/>
        <v>0.2</v>
      </c>
      <c r="Z15" s="116">
        <f t="shared" si="10"/>
        <v>0.1</v>
      </c>
      <c r="AA15" s="114">
        <f t="shared" si="10"/>
        <v>357.1</v>
      </c>
      <c r="AB15" s="115">
        <f t="shared" si="10"/>
        <v>150.3</v>
      </c>
      <c r="AC15" s="115">
        <f t="shared" si="10"/>
        <v>162.8</v>
      </c>
      <c r="AD15" s="115">
        <f t="shared" si="10"/>
        <v>30.6</v>
      </c>
      <c r="AE15" s="115">
        <f t="shared" si="10"/>
        <v>13.2</v>
      </c>
      <c r="AF15" s="116">
        <f t="shared" si="10"/>
        <v>0.2</v>
      </c>
      <c r="AG15" s="117">
        <f t="shared" si="10"/>
        <v>31.9</v>
      </c>
      <c r="AH15" s="115">
        <f t="shared" si="10"/>
        <v>18.8</v>
      </c>
      <c r="AI15" s="115">
        <f t="shared" si="10"/>
        <v>7.8</v>
      </c>
      <c r="AJ15" s="115">
        <f t="shared" si="10"/>
        <v>5</v>
      </c>
      <c r="AK15" s="118">
        <f t="shared" si="10"/>
        <v>0.3</v>
      </c>
      <c r="AL15" s="114">
        <f t="shared" si="10"/>
        <v>14</v>
      </c>
      <c r="AM15" s="115">
        <f t="shared" si="10"/>
        <v>0.4</v>
      </c>
      <c r="AN15" s="115">
        <f t="shared" si="10"/>
        <v>0.9</v>
      </c>
      <c r="AO15" s="115">
        <f t="shared" si="10"/>
        <v>0.6</v>
      </c>
      <c r="AP15" s="115">
        <f t="shared" si="10"/>
        <v>11.2</v>
      </c>
      <c r="AQ15" s="116">
        <f t="shared" si="10"/>
        <v>0.9</v>
      </c>
      <c r="AR15" s="117">
        <f t="shared" si="10"/>
        <v>4.2</v>
      </c>
      <c r="AS15" s="115">
        <f t="shared" si="10"/>
        <v>3.8</v>
      </c>
      <c r="AT15" s="115">
        <f t="shared" si="10"/>
        <v>0.1</v>
      </c>
      <c r="AU15" s="115">
        <f t="shared" si="10"/>
        <v>0.1</v>
      </c>
      <c r="AV15" s="115">
        <f t="shared" si="10"/>
        <v>0</v>
      </c>
      <c r="AW15" s="118">
        <f t="shared" si="10"/>
        <v>0.2</v>
      </c>
      <c r="AX15" s="114">
        <f t="shared" si="10"/>
        <v>2.6</v>
      </c>
      <c r="AY15" s="118">
        <f t="shared" si="10"/>
        <v>2.6</v>
      </c>
      <c r="AZ15" s="116">
        <f t="shared" si="10"/>
        <v>0</v>
      </c>
      <c r="BA15" s="119">
        <f t="shared" si="10"/>
        <v>143.3</v>
      </c>
    </row>
    <row r="16" spans="1:53" ht="33" customHeight="1">
      <c r="A16" s="802" t="s">
        <v>550</v>
      </c>
      <c r="B16" s="803"/>
      <c r="C16" s="120">
        <f aca="true" t="shared" si="11" ref="C16:AH16">(SUM(C17:C22))</f>
        <v>707</v>
      </c>
      <c r="D16" s="121">
        <f>(SUM(D17:D22))</f>
        <v>66</v>
      </c>
      <c r="E16" s="122">
        <f t="shared" si="11"/>
        <v>20</v>
      </c>
      <c r="F16" s="122">
        <f t="shared" si="11"/>
        <v>2</v>
      </c>
      <c r="G16" s="122">
        <f t="shared" si="11"/>
        <v>9</v>
      </c>
      <c r="H16" s="122">
        <f t="shared" si="11"/>
        <v>5</v>
      </c>
      <c r="I16" s="122">
        <f t="shared" si="11"/>
        <v>12</v>
      </c>
      <c r="J16" s="122">
        <f t="shared" si="11"/>
        <v>13</v>
      </c>
      <c r="K16" s="122">
        <f t="shared" si="11"/>
        <v>1</v>
      </c>
      <c r="L16" s="122">
        <f t="shared" si="11"/>
        <v>4</v>
      </c>
      <c r="M16" s="123">
        <f t="shared" si="11"/>
        <v>0</v>
      </c>
      <c r="N16" s="124">
        <f t="shared" si="11"/>
        <v>118</v>
      </c>
      <c r="O16" s="125">
        <f t="shared" si="11"/>
        <v>67</v>
      </c>
      <c r="P16" s="125">
        <f t="shared" si="11"/>
        <v>2</v>
      </c>
      <c r="Q16" s="125">
        <f t="shared" si="11"/>
        <v>31</v>
      </c>
      <c r="R16" s="125">
        <f t="shared" si="11"/>
        <v>9</v>
      </c>
      <c r="S16" s="126">
        <f t="shared" si="11"/>
        <v>9</v>
      </c>
      <c r="T16" s="121">
        <f t="shared" si="11"/>
        <v>19</v>
      </c>
      <c r="U16" s="122">
        <f t="shared" si="11"/>
        <v>0</v>
      </c>
      <c r="V16" s="122">
        <f t="shared" si="11"/>
        <v>19</v>
      </c>
      <c r="W16" s="122">
        <f t="shared" si="11"/>
        <v>0</v>
      </c>
      <c r="X16" s="122">
        <f t="shared" si="11"/>
        <v>0</v>
      </c>
      <c r="Y16" s="122">
        <f t="shared" si="11"/>
        <v>0</v>
      </c>
      <c r="Z16" s="123">
        <f t="shared" si="11"/>
        <v>0</v>
      </c>
      <c r="AA16" s="127">
        <f t="shared" si="11"/>
        <v>335</v>
      </c>
      <c r="AB16" s="125">
        <f t="shared" si="11"/>
        <v>147</v>
      </c>
      <c r="AC16" s="125">
        <f t="shared" si="11"/>
        <v>146</v>
      </c>
      <c r="AD16" s="125">
        <f t="shared" si="11"/>
        <v>23</v>
      </c>
      <c r="AE16" s="125">
        <f t="shared" si="11"/>
        <v>19</v>
      </c>
      <c r="AF16" s="128">
        <f t="shared" si="11"/>
        <v>0</v>
      </c>
      <c r="AG16" s="124">
        <f t="shared" si="11"/>
        <v>34</v>
      </c>
      <c r="AH16" s="125">
        <f t="shared" si="11"/>
        <v>22</v>
      </c>
      <c r="AI16" s="125">
        <f aca="true" t="shared" si="12" ref="AI16:BA16">(SUM(AI17:AI22))</f>
        <v>8</v>
      </c>
      <c r="AJ16" s="125">
        <f t="shared" si="12"/>
        <v>4</v>
      </c>
      <c r="AK16" s="126">
        <f t="shared" si="12"/>
        <v>0</v>
      </c>
      <c r="AL16" s="127">
        <f t="shared" si="12"/>
        <v>13</v>
      </c>
      <c r="AM16" s="125">
        <f t="shared" si="12"/>
        <v>0</v>
      </c>
      <c r="AN16" s="125">
        <f t="shared" si="12"/>
        <v>1</v>
      </c>
      <c r="AO16" s="125">
        <f t="shared" si="12"/>
        <v>2</v>
      </c>
      <c r="AP16" s="125">
        <f t="shared" si="12"/>
        <v>9</v>
      </c>
      <c r="AQ16" s="128">
        <f t="shared" si="12"/>
        <v>1</v>
      </c>
      <c r="AR16" s="124">
        <f t="shared" si="12"/>
        <v>14</v>
      </c>
      <c r="AS16" s="125">
        <f t="shared" si="12"/>
        <v>9</v>
      </c>
      <c r="AT16" s="125">
        <f t="shared" si="12"/>
        <v>0</v>
      </c>
      <c r="AU16" s="125">
        <f t="shared" si="12"/>
        <v>0</v>
      </c>
      <c r="AV16" s="125">
        <f t="shared" si="12"/>
        <v>0</v>
      </c>
      <c r="AW16" s="126">
        <f t="shared" si="12"/>
        <v>5</v>
      </c>
      <c r="AX16" s="127">
        <f t="shared" si="12"/>
        <v>3</v>
      </c>
      <c r="AY16" s="126">
        <f t="shared" si="12"/>
        <v>3</v>
      </c>
      <c r="AZ16" s="128">
        <f t="shared" si="12"/>
        <v>0</v>
      </c>
      <c r="BA16" s="129">
        <f t="shared" si="12"/>
        <v>105</v>
      </c>
    </row>
    <row r="17" spans="1:53" ht="33" customHeight="1">
      <c r="A17" s="818" t="s">
        <v>552</v>
      </c>
      <c r="B17" s="130" t="s">
        <v>133</v>
      </c>
      <c r="C17" s="88">
        <f aca="true" t="shared" si="13" ref="C17:C22">D17+N17+T17+AA17+AG17+AL17+AR17+AX17+BA17</f>
        <v>349</v>
      </c>
      <c r="D17" s="96">
        <f aca="true" t="shared" si="14" ref="D17:D22">SUM(E17:M17)</f>
        <v>52</v>
      </c>
      <c r="E17" s="90">
        <v>19</v>
      </c>
      <c r="F17" s="90">
        <v>2</v>
      </c>
      <c r="G17" s="90">
        <v>9</v>
      </c>
      <c r="H17" s="90">
        <v>3</v>
      </c>
      <c r="I17" s="90">
        <v>6</v>
      </c>
      <c r="J17" s="90">
        <v>10</v>
      </c>
      <c r="K17" s="90">
        <v>1</v>
      </c>
      <c r="L17" s="90">
        <v>2</v>
      </c>
      <c r="M17" s="91">
        <v>0</v>
      </c>
      <c r="N17" s="92">
        <f aca="true" t="shared" si="15" ref="N17:N22">SUM(O17:S17)</f>
        <v>104</v>
      </c>
      <c r="O17" s="90">
        <v>60</v>
      </c>
      <c r="P17" s="90">
        <v>2</v>
      </c>
      <c r="Q17" s="90">
        <v>27</v>
      </c>
      <c r="R17" s="90">
        <v>6</v>
      </c>
      <c r="S17" s="93">
        <v>9</v>
      </c>
      <c r="T17" s="89">
        <f aca="true" t="shared" si="16" ref="T17:T22">SUM(U17:Z17)</f>
        <v>9</v>
      </c>
      <c r="U17" s="90">
        <v>0</v>
      </c>
      <c r="V17" s="90">
        <v>9</v>
      </c>
      <c r="W17" s="90">
        <v>0</v>
      </c>
      <c r="X17" s="90">
        <v>0</v>
      </c>
      <c r="Y17" s="90">
        <v>0</v>
      </c>
      <c r="Z17" s="91">
        <v>0</v>
      </c>
      <c r="AA17" s="89">
        <f aca="true" t="shared" si="17" ref="AA17:AA22">SUM(AB17:AF17)</f>
        <v>94</v>
      </c>
      <c r="AB17" s="90">
        <v>18</v>
      </c>
      <c r="AC17" s="90">
        <v>66</v>
      </c>
      <c r="AD17" s="90">
        <v>6</v>
      </c>
      <c r="AE17" s="90">
        <v>4</v>
      </c>
      <c r="AF17" s="91">
        <v>0</v>
      </c>
      <c r="AG17" s="92">
        <f aca="true" t="shared" si="18" ref="AG17:AG22">SUM(AH17:AK17)</f>
        <v>10</v>
      </c>
      <c r="AH17" s="90">
        <v>6</v>
      </c>
      <c r="AI17" s="90">
        <v>2</v>
      </c>
      <c r="AJ17" s="90">
        <v>2</v>
      </c>
      <c r="AK17" s="93">
        <v>0</v>
      </c>
      <c r="AL17" s="89">
        <f aca="true" t="shared" si="19" ref="AL17:AL22">SUM(AM17:AQ17)</f>
        <v>9</v>
      </c>
      <c r="AM17" s="90">
        <v>0</v>
      </c>
      <c r="AN17" s="90">
        <v>0</v>
      </c>
      <c r="AO17" s="90">
        <v>2</v>
      </c>
      <c r="AP17" s="90">
        <v>7</v>
      </c>
      <c r="AQ17" s="91">
        <v>0</v>
      </c>
      <c r="AR17" s="92">
        <f aca="true" t="shared" si="20" ref="AR17:AR22">SUM(AS17:AW17)</f>
        <v>7</v>
      </c>
      <c r="AS17" s="90">
        <v>2</v>
      </c>
      <c r="AT17" s="90">
        <v>0</v>
      </c>
      <c r="AU17" s="90">
        <v>0</v>
      </c>
      <c r="AV17" s="90">
        <v>0</v>
      </c>
      <c r="AW17" s="93">
        <v>5</v>
      </c>
      <c r="AX17" s="89">
        <f aca="true" t="shared" si="21" ref="AX17:AX22">SUM(AY17:AZ17)</f>
        <v>0</v>
      </c>
      <c r="AY17" s="93">
        <v>0</v>
      </c>
      <c r="AZ17" s="91">
        <v>0</v>
      </c>
      <c r="BA17" s="94">
        <v>64</v>
      </c>
    </row>
    <row r="18" spans="1:53" ht="33" customHeight="1">
      <c r="A18" s="819"/>
      <c r="B18" s="130" t="s">
        <v>134</v>
      </c>
      <c r="C18" s="88">
        <f t="shared" si="13"/>
        <v>59</v>
      </c>
      <c r="D18" s="96">
        <f t="shared" si="14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1">
        <v>0</v>
      </c>
      <c r="N18" s="92">
        <f t="shared" si="15"/>
        <v>1</v>
      </c>
      <c r="O18" s="90">
        <v>0</v>
      </c>
      <c r="P18" s="90">
        <v>0</v>
      </c>
      <c r="Q18" s="90">
        <v>1</v>
      </c>
      <c r="R18" s="90">
        <v>0</v>
      </c>
      <c r="S18" s="93">
        <v>0</v>
      </c>
      <c r="T18" s="89">
        <f t="shared" si="16"/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1">
        <v>0</v>
      </c>
      <c r="AA18" s="89">
        <f t="shared" si="17"/>
        <v>47</v>
      </c>
      <c r="AB18" s="90">
        <v>32</v>
      </c>
      <c r="AC18" s="90">
        <v>10</v>
      </c>
      <c r="AD18" s="90">
        <v>5</v>
      </c>
      <c r="AE18" s="90">
        <v>0</v>
      </c>
      <c r="AF18" s="91">
        <v>0</v>
      </c>
      <c r="AG18" s="92">
        <f t="shared" si="18"/>
        <v>0</v>
      </c>
      <c r="AH18" s="90">
        <v>0</v>
      </c>
      <c r="AI18" s="90">
        <v>0</v>
      </c>
      <c r="AJ18" s="90">
        <v>0</v>
      </c>
      <c r="AK18" s="93">
        <v>0</v>
      </c>
      <c r="AL18" s="89">
        <f t="shared" si="19"/>
        <v>0</v>
      </c>
      <c r="AM18" s="90">
        <v>0</v>
      </c>
      <c r="AN18" s="90">
        <v>0</v>
      </c>
      <c r="AO18" s="90">
        <v>0</v>
      </c>
      <c r="AP18" s="90">
        <v>0</v>
      </c>
      <c r="AQ18" s="91">
        <v>0</v>
      </c>
      <c r="AR18" s="92">
        <f t="shared" si="20"/>
        <v>0</v>
      </c>
      <c r="AS18" s="90">
        <v>0</v>
      </c>
      <c r="AT18" s="90">
        <v>0</v>
      </c>
      <c r="AU18" s="90">
        <v>0</v>
      </c>
      <c r="AV18" s="90">
        <v>0</v>
      </c>
      <c r="AW18" s="93">
        <v>0</v>
      </c>
      <c r="AX18" s="89">
        <f t="shared" si="21"/>
        <v>3</v>
      </c>
      <c r="AY18" s="93">
        <v>3</v>
      </c>
      <c r="AZ18" s="91">
        <v>0</v>
      </c>
      <c r="BA18" s="94">
        <v>8</v>
      </c>
    </row>
    <row r="19" spans="1:53" ht="33" customHeight="1">
      <c r="A19" s="819"/>
      <c r="B19" s="130" t="s">
        <v>135</v>
      </c>
      <c r="C19" s="88">
        <f>D19+N19+T19+AA19+AG19+AL19+AR19+AX19+BA19</f>
        <v>73</v>
      </c>
      <c r="D19" s="96">
        <f t="shared" si="14"/>
        <v>9</v>
      </c>
      <c r="E19" s="90">
        <v>0</v>
      </c>
      <c r="F19" s="90">
        <v>0</v>
      </c>
      <c r="G19" s="90">
        <v>0</v>
      </c>
      <c r="H19" s="90">
        <v>0</v>
      </c>
      <c r="I19" s="90">
        <v>5</v>
      </c>
      <c r="J19" s="90">
        <v>3</v>
      </c>
      <c r="K19" s="90">
        <v>0</v>
      </c>
      <c r="L19" s="90">
        <v>1</v>
      </c>
      <c r="M19" s="91">
        <v>0</v>
      </c>
      <c r="N19" s="92">
        <f t="shared" si="15"/>
        <v>5</v>
      </c>
      <c r="O19" s="90">
        <v>1</v>
      </c>
      <c r="P19" s="90">
        <v>0</v>
      </c>
      <c r="Q19" s="90">
        <v>3</v>
      </c>
      <c r="R19" s="90">
        <v>1</v>
      </c>
      <c r="S19" s="93">
        <v>0</v>
      </c>
      <c r="T19" s="89">
        <f t="shared" si="16"/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1">
        <v>0</v>
      </c>
      <c r="AA19" s="89">
        <f t="shared" si="17"/>
        <v>26</v>
      </c>
      <c r="AB19" s="90">
        <v>2</v>
      </c>
      <c r="AC19" s="90">
        <v>9</v>
      </c>
      <c r="AD19" s="90">
        <v>2</v>
      </c>
      <c r="AE19" s="90">
        <v>13</v>
      </c>
      <c r="AF19" s="91">
        <v>0</v>
      </c>
      <c r="AG19" s="92">
        <f t="shared" si="18"/>
        <v>22</v>
      </c>
      <c r="AH19" s="90">
        <v>16</v>
      </c>
      <c r="AI19" s="90">
        <v>6</v>
      </c>
      <c r="AJ19" s="90">
        <v>0</v>
      </c>
      <c r="AK19" s="93">
        <v>0</v>
      </c>
      <c r="AL19" s="89">
        <f t="shared" si="19"/>
        <v>1</v>
      </c>
      <c r="AM19" s="90">
        <v>0</v>
      </c>
      <c r="AN19" s="90">
        <v>0</v>
      </c>
      <c r="AO19" s="90">
        <v>0</v>
      </c>
      <c r="AP19" s="90">
        <v>1</v>
      </c>
      <c r="AQ19" s="91">
        <v>0</v>
      </c>
      <c r="AR19" s="92">
        <f t="shared" si="20"/>
        <v>0</v>
      </c>
      <c r="AS19" s="90">
        <v>0</v>
      </c>
      <c r="AT19" s="90">
        <v>0</v>
      </c>
      <c r="AU19" s="90">
        <v>0</v>
      </c>
      <c r="AV19" s="90">
        <v>0</v>
      </c>
      <c r="AW19" s="93">
        <v>0</v>
      </c>
      <c r="AX19" s="89">
        <f t="shared" si="21"/>
        <v>0</v>
      </c>
      <c r="AY19" s="93">
        <v>0</v>
      </c>
      <c r="AZ19" s="91">
        <v>0</v>
      </c>
      <c r="BA19" s="94">
        <v>10</v>
      </c>
    </row>
    <row r="20" spans="1:53" ht="33" customHeight="1">
      <c r="A20" s="819"/>
      <c r="B20" s="130" t="s">
        <v>136</v>
      </c>
      <c r="C20" s="88">
        <f t="shared" si="13"/>
        <v>3</v>
      </c>
      <c r="D20" s="96">
        <f t="shared" si="14"/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  <c r="N20" s="92">
        <f t="shared" si="15"/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89">
        <f t="shared" si="16"/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1">
        <v>0</v>
      </c>
      <c r="AA20" s="89">
        <f t="shared" si="17"/>
        <v>0</v>
      </c>
      <c r="AB20" s="90">
        <v>0</v>
      </c>
      <c r="AC20" s="90">
        <v>0</v>
      </c>
      <c r="AD20" s="90">
        <v>0</v>
      </c>
      <c r="AE20" s="90">
        <v>0</v>
      </c>
      <c r="AF20" s="91">
        <v>0</v>
      </c>
      <c r="AG20" s="92">
        <f t="shared" si="18"/>
        <v>1</v>
      </c>
      <c r="AH20" s="90">
        <v>0</v>
      </c>
      <c r="AI20" s="90">
        <v>0</v>
      </c>
      <c r="AJ20" s="90">
        <v>1</v>
      </c>
      <c r="AK20" s="93">
        <v>0</v>
      </c>
      <c r="AL20" s="89">
        <f t="shared" si="19"/>
        <v>1</v>
      </c>
      <c r="AM20" s="90">
        <v>0</v>
      </c>
      <c r="AN20" s="90">
        <v>0</v>
      </c>
      <c r="AO20" s="90">
        <v>0</v>
      </c>
      <c r="AP20" s="90">
        <v>1</v>
      </c>
      <c r="AQ20" s="91">
        <v>0</v>
      </c>
      <c r="AR20" s="92">
        <f>SUM(AS20:AW20)</f>
        <v>0</v>
      </c>
      <c r="AS20" s="90">
        <v>0</v>
      </c>
      <c r="AT20" s="90">
        <v>0</v>
      </c>
      <c r="AU20" s="90">
        <v>0</v>
      </c>
      <c r="AV20" s="90">
        <v>0</v>
      </c>
      <c r="AW20" s="93">
        <v>0</v>
      </c>
      <c r="AX20" s="89">
        <f>SUM(AY20:AZ20)</f>
        <v>0</v>
      </c>
      <c r="AY20" s="93">
        <v>0</v>
      </c>
      <c r="AZ20" s="91">
        <v>0</v>
      </c>
      <c r="BA20" s="94">
        <v>1</v>
      </c>
    </row>
    <row r="21" spans="1:53" ht="33" customHeight="1">
      <c r="A21" s="819"/>
      <c r="B21" s="130" t="s">
        <v>137</v>
      </c>
      <c r="C21" s="88">
        <f t="shared" si="13"/>
        <v>0</v>
      </c>
      <c r="D21" s="96">
        <f t="shared" si="14"/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1">
        <v>0</v>
      </c>
      <c r="N21" s="92">
        <f t="shared" si="15"/>
        <v>0</v>
      </c>
      <c r="O21" s="90">
        <v>0</v>
      </c>
      <c r="P21" s="90">
        <v>0</v>
      </c>
      <c r="Q21" s="90">
        <v>0</v>
      </c>
      <c r="R21" s="90">
        <v>0</v>
      </c>
      <c r="S21" s="93">
        <v>0</v>
      </c>
      <c r="T21" s="89">
        <f t="shared" si="16"/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1">
        <v>0</v>
      </c>
      <c r="AA21" s="89">
        <f t="shared" si="17"/>
        <v>0</v>
      </c>
      <c r="AB21" s="90">
        <v>0</v>
      </c>
      <c r="AC21" s="90">
        <v>0</v>
      </c>
      <c r="AD21" s="90">
        <v>0</v>
      </c>
      <c r="AE21" s="90">
        <v>0</v>
      </c>
      <c r="AF21" s="91">
        <v>0</v>
      </c>
      <c r="AG21" s="92">
        <f t="shared" si="18"/>
        <v>0</v>
      </c>
      <c r="AH21" s="90">
        <v>0</v>
      </c>
      <c r="AI21" s="90">
        <v>0</v>
      </c>
      <c r="AJ21" s="90">
        <v>0</v>
      </c>
      <c r="AK21" s="93">
        <v>0</v>
      </c>
      <c r="AL21" s="89">
        <f t="shared" si="19"/>
        <v>0</v>
      </c>
      <c r="AM21" s="90">
        <v>0</v>
      </c>
      <c r="AN21" s="90">
        <v>0</v>
      </c>
      <c r="AO21" s="90">
        <v>0</v>
      </c>
      <c r="AP21" s="90">
        <v>0</v>
      </c>
      <c r="AQ21" s="91">
        <v>0</v>
      </c>
      <c r="AR21" s="92">
        <f t="shared" si="20"/>
        <v>0</v>
      </c>
      <c r="AS21" s="90">
        <v>0</v>
      </c>
      <c r="AT21" s="90">
        <v>0</v>
      </c>
      <c r="AU21" s="90">
        <v>0</v>
      </c>
      <c r="AV21" s="90">
        <v>0</v>
      </c>
      <c r="AW21" s="93">
        <v>0</v>
      </c>
      <c r="AX21" s="89">
        <f t="shared" si="21"/>
        <v>0</v>
      </c>
      <c r="AY21" s="93">
        <v>0</v>
      </c>
      <c r="AZ21" s="91">
        <v>0</v>
      </c>
      <c r="BA21" s="94">
        <v>0</v>
      </c>
    </row>
    <row r="22" spans="1:53" ht="33" customHeight="1" thickBot="1">
      <c r="A22" s="820"/>
      <c r="B22" s="131" t="s">
        <v>138</v>
      </c>
      <c r="C22" s="132">
        <f t="shared" si="13"/>
        <v>223</v>
      </c>
      <c r="D22" s="133">
        <f t="shared" si="14"/>
        <v>5</v>
      </c>
      <c r="E22" s="468">
        <v>1</v>
      </c>
      <c r="F22" s="468">
        <v>0</v>
      </c>
      <c r="G22" s="468">
        <v>0</v>
      </c>
      <c r="H22" s="468">
        <v>2</v>
      </c>
      <c r="I22" s="468">
        <v>1</v>
      </c>
      <c r="J22" s="468">
        <v>0</v>
      </c>
      <c r="K22" s="468">
        <v>0</v>
      </c>
      <c r="L22" s="468">
        <v>1</v>
      </c>
      <c r="M22" s="469">
        <v>0</v>
      </c>
      <c r="N22" s="134">
        <f t="shared" si="15"/>
        <v>8</v>
      </c>
      <c r="O22" s="468">
        <v>6</v>
      </c>
      <c r="P22" s="468">
        <v>0</v>
      </c>
      <c r="Q22" s="468">
        <v>0</v>
      </c>
      <c r="R22" s="468">
        <v>2</v>
      </c>
      <c r="S22" s="470">
        <v>0</v>
      </c>
      <c r="T22" s="133">
        <f t="shared" si="16"/>
        <v>10</v>
      </c>
      <c r="U22" s="468">
        <v>0</v>
      </c>
      <c r="V22" s="468">
        <v>10</v>
      </c>
      <c r="W22" s="468">
        <v>0</v>
      </c>
      <c r="X22" s="468">
        <v>0</v>
      </c>
      <c r="Y22" s="468">
        <v>0</v>
      </c>
      <c r="Z22" s="469">
        <v>0</v>
      </c>
      <c r="AA22" s="133">
        <f t="shared" si="17"/>
        <v>168</v>
      </c>
      <c r="AB22" s="468">
        <v>95</v>
      </c>
      <c r="AC22" s="468">
        <v>61</v>
      </c>
      <c r="AD22" s="468">
        <v>10</v>
      </c>
      <c r="AE22" s="468">
        <v>2</v>
      </c>
      <c r="AF22" s="469">
        <v>0</v>
      </c>
      <c r="AG22" s="134">
        <f t="shared" si="18"/>
        <v>1</v>
      </c>
      <c r="AH22" s="468">
        <v>0</v>
      </c>
      <c r="AI22" s="468">
        <v>0</v>
      </c>
      <c r="AJ22" s="468">
        <v>1</v>
      </c>
      <c r="AK22" s="470">
        <v>0</v>
      </c>
      <c r="AL22" s="133">
        <f t="shared" si="19"/>
        <v>2</v>
      </c>
      <c r="AM22" s="468">
        <v>0</v>
      </c>
      <c r="AN22" s="468">
        <v>1</v>
      </c>
      <c r="AO22" s="468">
        <v>0</v>
      </c>
      <c r="AP22" s="468">
        <v>0</v>
      </c>
      <c r="AQ22" s="469">
        <v>1</v>
      </c>
      <c r="AR22" s="134">
        <f t="shared" si="20"/>
        <v>7</v>
      </c>
      <c r="AS22" s="468">
        <v>7</v>
      </c>
      <c r="AT22" s="468">
        <v>0</v>
      </c>
      <c r="AU22" s="468">
        <v>0</v>
      </c>
      <c r="AV22" s="468">
        <v>0</v>
      </c>
      <c r="AW22" s="470">
        <v>0</v>
      </c>
      <c r="AX22" s="133">
        <f t="shared" si="21"/>
        <v>0</v>
      </c>
      <c r="AY22" s="470">
        <v>0</v>
      </c>
      <c r="AZ22" s="469">
        <v>0</v>
      </c>
      <c r="BA22" s="471">
        <v>22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6" width="6.875" style="47" customWidth="1"/>
    <col min="17" max="16384" width="9.00390625" style="47" customWidth="1"/>
  </cols>
  <sheetData>
    <row r="1" spans="1:16" ht="19.5" customHeight="1">
      <c r="A1" s="825" t="s">
        <v>378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</row>
    <row r="2" ht="19.5" customHeight="1" thickBot="1">
      <c r="P2" s="177"/>
    </row>
    <row r="3" spans="1:16" ht="96" customHeight="1" thickBot="1">
      <c r="A3" s="826"/>
      <c r="B3" s="697"/>
      <c r="C3" s="472" t="s">
        <v>131</v>
      </c>
      <c r="D3" s="473" t="s">
        <v>243</v>
      </c>
      <c r="E3" s="474" t="s">
        <v>244</v>
      </c>
      <c r="F3" s="474" t="s">
        <v>245</v>
      </c>
      <c r="G3" s="474" t="s">
        <v>547</v>
      </c>
      <c r="H3" s="474" t="s">
        <v>246</v>
      </c>
      <c r="I3" s="474" t="s">
        <v>247</v>
      </c>
      <c r="J3" s="474" t="s">
        <v>248</v>
      </c>
      <c r="K3" s="474" t="s">
        <v>249</v>
      </c>
      <c r="L3" s="474" t="s">
        <v>250</v>
      </c>
      <c r="M3" s="474" t="s">
        <v>251</v>
      </c>
      <c r="N3" s="474" t="s">
        <v>252</v>
      </c>
      <c r="O3" s="474" t="s">
        <v>138</v>
      </c>
      <c r="P3" s="475" t="s">
        <v>253</v>
      </c>
    </row>
    <row r="4" spans="1:16" ht="30" customHeight="1">
      <c r="A4" s="800" t="s">
        <v>179</v>
      </c>
      <c r="B4" s="801"/>
      <c r="C4" s="171">
        <f aca="true" t="shared" si="0" ref="C4:C12">SUM(D4:P4)</f>
        <v>876</v>
      </c>
      <c r="D4" s="175">
        <v>96</v>
      </c>
      <c r="E4" s="169">
        <v>184</v>
      </c>
      <c r="F4" s="169">
        <v>50</v>
      </c>
      <c r="G4" s="169">
        <v>82</v>
      </c>
      <c r="H4" s="169">
        <v>24</v>
      </c>
      <c r="I4" s="169">
        <v>25</v>
      </c>
      <c r="J4" s="169">
        <v>21</v>
      </c>
      <c r="K4" s="169">
        <v>33</v>
      </c>
      <c r="L4" s="169">
        <v>14</v>
      </c>
      <c r="M4" s="476">
        <v>9</v>
      </c>
      <c r="N4" s="476">
        <v>8</v>
      </c>
      <c r="O4" s="476">
        <v>205</v>
      </c>
      <c r="P4" s="170">
        <v>125</v>
      </c>
    </row>
    <row r="5" spans="1:16" ht="30" customHeight="1">
      <c r="A5" s="800" t="s">
        <v>180</v>
      </c>
      <c r="B5" s="801"/>
      <c r="C5" s="171">
        <f t="shared" si="0"/>
        <v>810</v>
      </c>
      <c r="D5" s="477">
        <v>75</v>
      </c>
      <c r="E5" s="478">
        <v>143</v>
      </c>
      <c r="F5" s="478">
        <v>35</v>
      </c>
      <c r="G5" s="478">
        <v>75</v>
      </c>
      <c r="H5" s="478">
        <v>36</v>
      </c>
      <c r="I5" s="478">
        <v>32</v>
      </c>
      <c r="J5" s="478">
        <v>15</v>
      </c>
      <c r="K5" s="478">
        <v>32</v>
      </c>
      <c r="L5" s="478">
        <v>13</v>
      </c>
      <c r="M5" s="479">
        <v>9</v>
      </c>
      <c r="N5" s="479">
        <v>11</v>
      </c>
      <c r="O5" s="479">
        <v>219</v>
      </c>
      <c r="P5" s="480">
        <v>115</v>
      </c>
    </row>
    <row r="6" spans="1:16" ht="30" customHeight="1">
      <c r="A6" s="800" t="s">
        <v>181</v>
      </c>
      <c r="B6" s="801"/>
      <c r="C6" s="171">
        <f t="shared" si="0"/>
        <v>789</v>
      </c>
      <c r="D6" s="477">
        <v>90</v>
      </c>
      <c r="E6" s="478">
        <v>134</v>
      </c>
      <c r="F6" s="478">
        <v>62</v>
      </c>
      <c r="G6" s="478">
        <v>80</v>
      </c>
      <c r="H6" s="478">
        <v>37</v>
      </c>
      <c r="I6" s="478">
        <v>39</v>
      </c>
      <c r="J6" s="478">
        <v>13</v>
      </c>
      <c r="K6" s="478">
        <v>24</v>
      </c>
      <c r="L6" s="478">
        <v>18</v>
      </c>
      <c r="M6" s="479">
        <v>10</v>
      </c>
      <c r="N6" s="479">
        <v>9</v>
      </c>
      <c r="O6" s="479">
        <v>167</v>
      </c>
      <c r="P6" s="480">
        <v>106</v>
      </c>
    </row>
    <row r="7" spans="1:16" ht="30" customHeight="1">
      <c r="A7" s="800" t="s">
        <v>182</v>
      </c>
      <c r="B7" s="801"/>
      <c r="C7" s="171">
        <f t="shared" si="0"/>
        <v>701</v>
      </c>
      <c r="D7" s="477">
        <v>78</v>
      </c>
      <c r="E7" s="478">
        <v>81</v>
      </c>
      <c r="F7" s="478">
        <v>35</v>
      </c>
      <c r="G7" s="478">
        <v>72</v>
      </c>
      <c r="H7" s="478">
        <v>55</v>
      </c>
      <c r="I7" s="478">
        <v>36</v>
      </c>
      <c r="J7" s="478">
        <v>11</v>
      </c>
      <c r="K7" s="478">
        <v>23</v>
      </c>
      <c r="L7" s="478">
        <v>18</v>
      </c>
      <c r="M7" s="479">
        <v>6</v>
      </c>
      <c r="N7" s="479">
        <v>7</v>
      </c>
      <c r="O7" s="479">
        <v>163</v>
      </c>
      <c r="P7" s="480">
        <v>116</v>
      </c>
    </row>
    <row r="8" spans="1:16" ht="30" customHeight="1">
      <c r="A8" s="800" t="s">
        <v>183</v>
      </c>
      <c r="B8" s="801"/>
      <c r="C8" s="171">
        <f t="shared" si="0"/>
        <v>742</v>
      </c>
      <c r="D8" s="477">
        <v>84</v>
      </c>
      <c r="E8" s="478">
        <v>80</v>
      </c>
      <c r="F8" s="478">
        <v>38</v>
      </c>
      <c r="G8" s="478">
        <v>73</v>
      </c>
      <c r="H8" s="478">
        <v>39</v>
      </c>
      <c r="I8" s="478">
        <v>35</v>
      </c>
      <c r="J8" s="478">
        <v>13</v>
      </c>
      <c r="K8" s="478">
        <v>36</v>
      </c>
      <c r="L8" s="478">
        <v>11</v>
      </c>
      <c r="M8" s="479">
        <v>8</v>
      </c>
      <c r="N8" s="479">
        <v>13</v>
      </c>
      <c r="O8" s="479">
        <v>220</v>
      </c>
      <c r="P8" s="480">
        <v>92</v>
      </c>
    </row>
    <row r="9" spans="1:16" ht="30" customHeight="1">
      <c r="A9" s="800" t="s">
        <v>184</v>
      </c>
      <c r="B9" s="801"/>
      <c r="C9" s="171">
        <f t="shared" si="0"/>
        <v>775</v>
      </c>
      <c r="D9" s="477">
        <v>59</v>
      </c>
      <c r="E9" s="478">
        <v>101</v>
      </c>
      <c r="F9" s="478">
        <v>29</v>
      </c>
      <c r="G9" s="478">
        <v>75</v>
      </c>
      <c r="H9" s="478">
        <v>33</v>
      </c>
      <c r="I9" s="478">
        <v>45</v>
      </c>
      <c r="J9" s="478">
        <v>14</v>
      </c>
      <c r="K9" s="478">
        <v>32</v>
      </c>
      <c r="L9" s="478">
        <v>10</v>
      </c>
      <c r="M9" s="479">
        <v>15</v>
      </c>
      <c r="N9" s="479">
        <v>9</v>
      </c>
      <c r="O9" s="479">
        <v>218</v>
      </c>
      <c r="P9" s="480">
        <v>135</v>
      </c>
    </row>
    <row r="10" spans="1:16" ht="30" customHeight="1">
      <c r="A10" s="800" t="s">
        <v>185</v>
      </c>
      <c r="B10" s="801"/>
      <c r="C10" s="171">
        <f t="shared" si="0"/>
        <v>744</v>
      </c>
      <c r="D10" s="477">
        <v>74</v>
      </c>
      <c r="E10" s="478">
        <v>122</v>
      </c>
      <c r="F10" s="478">
        <v>35</v>
      </c>
      <c r="G10" s="478">
        <v>69</v>
      </c>
      <c r="H10" s="478">
        <v>48</v>
      </c>
      <c r="I10" s="478">
        <v>42</v>
      </c>
      <c r="J10" s="478">
        <v>11</v>
      </c>
      <c r="K10" s="478">
        <v>32</v>
      </c>
      <c r="L10" s="478">
        <v>13</v>
      </c>
      <c r="M10" s="479">
        <v>7</v>
      </c>
      <c r="N10" s="479">
        <v>14</v>
      </c>
      <c r="O10" s="479">
        <v>173</v>
      </c>
      <c r="P10" s="480">
        <v>104</v>
      </c>
    </row>
    <row r="11" spans="1:16" ht="30" customHeight="1">
      <c r="A11" s="821" t="s">
        <v>187</v>
      </c>
      <c r="B11" s="822"/>
      <c r="C11" s="171">
        <f t="shared" si="0"/>
        <v>917</v>
      </c>
      <c r="D11" s="477">
        <v>87</v>
      </c>
      <c r="E11" s="478">
        <v>188</v>
      </c>
      <c r="F11" s="478">
        <v>31</v>
      </c>
      <c r="G11" s="478">
        <v>69</v>
      </c>
      <c r="H11" s="478">
        <v>53</v>
      </c>
      <c r="I11" s="478">
        <v>47</v>
      </c>
      <c r="J11" s="478">
        <v>10</v>
      </c>
      <c r="K11" s="478">
        <v>25</v>
      </c>
      <c r="L11" s="478">
        <v>20</v>
      </c>
      <c r="M11" s="479">
        <v>9</v>
      </c>
      <c r="N11" s="479">
        <v>12</v>
      </c>
      <c r="O11" s="479">
        <v>262</v>
      </c>
      <c r="P11" s="480">
        <v>104</v>
      </c>
    </row>
    <row r="12" spans="1:16" ht="30" customHeight="1">
      <c r="A12" s="823" t="s">
        <v>428</v>
      </c>
      <c r="B12" s="824"/>
      <c r="C12" s="481">
        <f t="shared" si="0"/>
        <v>654</v>
      </c>
      <c r="D12" s="482">
        <v>47</v>
      </c>
      <c r="E12" s="483">
        <v>77</v>
      </c>
      <c r="F12" s="483">
        <v>30</v>
      </c>
      <c r="G12" s="483">
        <v>59</v>
      </c>
      <c r="H12" s="483">
        <v>66</v>
      </c>
      <c r="I12" s="483">
        <v>35</v>
      </c>
      <c r="J12" s="483">
        <v>6</v>
      </c>
      <c r="K12" s="483">
        <v>24</v>
      </c>
      <c r="L12" s="483">
        <v>18</v>
      </c>
      <c r="M12" s="484">
        <v>3</v>
      </c>
      <c r="N12" s="484">
        <v>13</v>
      </c>
      <c r="O12" s="484">
        <v>192</v>
      </c>
      <c r="P12" s="485">
        <v>84</v>
      </c>
    </row>
    <row r="13" spans="1:16" ht="30" customHeight="1" thickBot="1">
      <c r="A13" s="816" t="s">
        <v>429</v>
      </c>
      <c r="B13" s="817"/>
      <c r="C13" s="486">
        <f>SUM(D13:P13)</f>
        <v>697</v>
      </c>
      <c r="D13" s="487">
        <v>64</v>
      </c>
      <c r="E13" s="488">
        <v>100</v>
      </c>
      <c r="F13" s="488">
        <v>27</v>
      </c>
      <c r="G13" s="488">
        <v>70</v>
      </c>
      <c r="H13" s="488">
        <v>30</v>
      </c>
      <c r="I13" s="488">
        <v>41</v>
      </c>
      <c r="J13" s="488">
        <v>11</v>
      </c>
      <c r="K13" s="488">
        <v>20</v>
      </c>
      <c r="L13" s="488">
        <v>21</v>
      </c>
      <c r="M13" s="489">
        <v>3</v>
      </c>
      <c r="N13" s="489">
        <v>15</v>
      </c>
      <c r="O13" s="489">
        <v>220</v>
      </c>
      <c r="P13" s="490">
        <v>75</v>
      </c>
    </row>
    <row r="14" spans="1:16" ht="30" customHeight="1" thickBot="1" thickTop="1">
      <c r="A14" s="805" t="s">
        <v>186</v>
      </c>
      <c r="B14" s="806"/>
      <c r="C14" s="166">
        <f>SUM(C4:C13)/10</f>
        <v>770.5</v>
      </c>
      <c r="D14" s="173">
        <f>SUM(D4:D13)/10</f>
        <v>75.4</v>
      </c>
      <c r="E14" s="167">
        <f aca="true" t="shared" si="1" ref="E14:P14">SUM(E4:E13)/10</f>
        <v>121</v>
      </c>
      <c r="F14" s="167">
        <f t="shared" si="1"/>
        <v>37.2</v>
      </c>
      <c r="G14" s="167">
        <f t="shared" si="1"/>
        <v>72.4</v>
      </c>
      <c r="H14" s="167">
        <f t="shared" si="1"/>
        <v>42.1</v>
      </c>
      <c r="I14" s="167">
        <f t="shared" si="1"/>
        <v>37.7</v>
      </c>
      <c r="J14" s="167">
        <f t="shared" si="1"/>
        <v>12.5</v>
      </c>
      <c r="K14" s="167">
        <f t="shared" si="1"/>
        <v>28.1</v>
      </c>
      <c r="L14" s="167">
        <f t="shared" si="1"/>
        <v>15.6</v>
      </c>
      <c r="M14" s="167">
        <f t="shared" si="1"/>
        <v>7.9</v>
      </c>
      <c r="N14" s="167">
        <f t="shared" si="1"/>
        <v>11.1</v>
      </c>
      <c r="O14" s="167">
        <f t="shared" si="1"/>
        <v>203.9</v>
      </c>
      <c r="P14" s="174">
        <f t="shared" si="1"/>
        <v>105.6</v>
      </c>
    </row>
    <row r="15" spans="1:16" ht="30" customHeight="1">
      <c r="A15" s="802" t="s">
        <v>550</v>
      </c>
      <c r="B15" s="803"/>
      <c r="C15" s="168">
        <f>SUM(C16:C27)</f>
        <v>707</v>
      </c>
      <c r="D15" s="175">
        <f>(SUM(D16:D27))</f>
        <v>76</v>
      </c>
      <c r="E15" s="169">
        <f aca="true" t="shared" si="2" ref="E15:P15">(SUM(E16:E27))</f>
        <v>99</v>
      </c>
      <c r="F15" s="169">
        <f t="shared" si="2"/>
        <v>25</v>
      </c>
      <c r="G15" s="169">
        <f t="shared" si="2"/>
        <v>62</v>
      </c>
      <c r="H15" s="169">
        <f t="shared" si="2"/>
        <v>34</v>
      </c>
      <c r="I15" s="169">
        <f t="shared" si="2"/>
        <v>24</v>
      </c>
      <c r="J15" s="169">
        <f t="shared" si="2"/>
        <v>9</v>
      </c>
      <c r="K15" s="169">
        <f t="shared" si="2"/>
        <v>33</v>
      </c>
      <c r="L15" s="169">
        <f t="shared" si="2"/>
        <v>23</v>
      </c>
      <c r="M15" s="169">
        <f t="shared" si="2"/>
        <v>6</v>
      </c>
      <c r="N15" s="169">
        <f t="shared" si="2"/>
        <v>12</v>
      </c>
      <c r="O15" s="169">
        <f t="shared" si="2"/>
        <v>222</v>
      </c>
      <c r="P15" s="170">
        <f t="shared" si="2"/>
        <v>82</v>
      </c>
    </row>
    <row r="16" spans="1:16" ht="30" customHeight="1">
      <c r="A16" s="827" t="s">
        <v>551</v>
      </c>
      <c r="B16" s="130" t="s">
        <v>188</v>
      </c>
      <c r="C16" s="171">
        <f>SUM(D16:P16)</f>
        <v>53</v>
      </c>
      <c r="D16" s="491">
        <v>7</v>
      </c>
      <c r="E16" s="492">
        <v>2</v>
      </c>
      <c r="F16" s="492">
        <v>4</v>
      </c>
      <c r="G16" s="492">
        <v>4</v>
      </c>
      <c r="H16" s="492">
        <v>3</v>
      </c>
      <c r="I16" s="492">
        <v>0</v>
      </c>
      <c r="J16" s="492">
        <v>1</v>
      </c>
      <c r="K16" s="492">
        <v>4</v>
      </c>
      <c r="L16" s="492">
        <v>1</v>
      </c>
      <c r="M16" s="492">
        <v>2</v>
      </c>
      <c r="N16" s="492">
        <v>0</v>
      </c>
      <c r="O16" s="478">
        <v>12</v>
      </c>
      <c r="P16" s="493">
        <v>13</v>
      </c>
    </row>
    <row r="17" spans="1:16" ht="30" customHeight="1">
      <c r="A17" s="828"/>
      <c r="B17" s="130" t="s">
        <v>189</v>
      </c>
      <c r="C17" s="171">
        <f aca="true" t="shared" si="3" ref="C17:C27">SUM(D17:P17)</f>
        <v>56</v>
      </c>
      <c r="D17" s="491">
        <v>7</v>
      </c>
      <c r="E17" s="492">
        <v>3</v>
      </c>
      <c r="F17" s="492">
        <v>3</v>
      </c>
      <c r="G17" s="492">
        <v>12</v>
      </c>
      <c r="H17" s="492">
        <v>3</v>
      </c>
      <c r="I17" s="492">
        <v>2</v>
      </c>
      <c r="J17" s="492">
        <v>1</v>
      </c>
      <c r="K17" s="492">
        <v>6</v>
      </c>
      <c r="L17" s="492">
        <v>0</v>
      </c>
      <c r="M17" s="492">
        <v>0</v>
      </c>
      <c r="N17" s="492">
        <v>0</v>
      </c>
      <c r="O17" s="478">
        <v>13</v>
      </c>
      <c r="P17" s="493">
        <v>6</v>
      </c>
    </row>
    <row r="18" spans="1:16" ht="30" customHeight="1">
      <c r="A18" s="828"/>
      <c r="B18" s="130" t="s">
        <v>190</v>
      </c>
      <c r="C18" s="171">
        <f t="shared" si="3"/>
        <v>54</v>
      </c>
      <c r="D18" s="491">
        <v>5</v>
      </c>
      <c r="E18" s="492">
        <v>6</v>
      </c>
      <c r="F18" s="492">
        <v>3</v>
      </c>
      <c r="G18" s="492">
        <v>3</v>
      </c>
      <c r="H18" s="492">
        <v>3</v>
      </c>
      <c r="I18" s="492">
        <v>0</v>
      </c>
      <c r="J18" s="492">
        <v>2</v>
      </c>
      <c r="K18" s="492">
        <v>5</v>
      </c>
      <c r="L18" s="492">
        <v>3</v>
      </c>
      <c r="M18" s="492">
        <v>1</v>
      </c>
      <c r="N18" s="492">
        <v>0</v>
      </c>
      <c r="O18" s="478">
        <v>20</v>
      </c>
      <c r="P18" s="493">
        <v>3</v>
      </c>
    </row>
    <row r="19" spans="1:16" ht="30" customHeight="1">
      <c r="A19" s="828"/>
      <c r="B19" s="130" t="s">
        <v>191</v>
      </c>
      <c r="C19" s="171">
        <f t="shared" si="3"/>
        <v>72</v>
      </c>
      <c r="D19" s="491">
        <v>13</v>
      </c>
      <c r="E19" s="492">
        <v>15</v>
      </c>
      <c r="F19" s="492">
        <v>1</v>
      </c>
      <c r="G19" s="492">
        <v>6</v>
      </c>
      <c r="H19" s="492">
        <v>3</v>
      </c>
      <c r="I19" s="492">
        <v>1</v>
      </c>
      <c r="J19" s="492">
        <v>0</v>
      </c>
      <c r="K19" s="492">
        <v>1</v>
      </c>
      <c r="L19" s="492">
        <v>4</v>
      </c>
      <c r="M19" s="492">
        <v>0</v>
      </c>
      <c r="N19" s="492">
        <v>0</v>
      </c>
      <c r="O19" s="478">
        <v>22</v>
      </c>
      <c r="P19" s="493">
        <v>6</v>
      </c>
    </row>
    <row r="20" spans="1:16" ht="30" customHeight="1">
      <c r="A20" s="828"/>
      <c r="B20" s="130" t="s">
        <v>192</v>
      </c>
      <c r="C20" s="171">
        <f t="shared" si="3"/>
        <v>68</v>
      </c>
      <c r="D20" s="491">
        <v>10</v>
      </c>
      <c r="E20" s="492">
        <v>11</v>
      </c>
      <c r="F20" s="492">
        <v>1</v>
      </c>
      <c r="G20" s="492">
        <v>2</v>
      </c>
      <c r="H20" s="492">
        <v>7</v>
      </c>
      <c r="I20" s="492">
        <v>1</v>
      </c>
      <c r="J20" s="492">
        <v>0</v>
      </c>
      <c r="K20" s="492">
        <v>2</v>
      </c>
      <c r="L20" s="492">
        <v>3</v>
      </c>
      <c r="M20" s="492">
        <v>1</v>
      </c>
      <c r="N20" s="492">
        <v>6</v>
      </c>
      <c r="O20" s="478">
        <v>15</v>
      </c>
      <c r="P20" s="493">
        <v>9</v>
      </c>
    </row>
    <row r="21" spans="1:16" ht="30" customHeight="1">
      <c r="A21" s="828"/>
      <c r="B21" s="130" t="s">
        <v>193</v>
      </c>
      <c r="C21" s="171">
        <f t="shared" si="3"/>
        <v>77</v>
      </c>
      <c r="D21" s="491">
        <v>6</v>
      </c>
      <c r="E21" s="492">
        <v>15</v>
      </c>
      <c r="F21" s="492">
        <v>3</v>
      </c>
      <c r="G21" s="492">
        <v>7</v>
      </c>
      <c r="H21" s="492">
        <v>4</v>
      </c>
      <c r="I21" s="492">
        <v>2</v>
      </c>
      <c r="J21" s="492">
        <v>3</v>
      </c>
      <c r="K21" s="492">
        <v>0</v>
      </c>
      <c r="L21" s="492">
        <v>1</v>
      </c>
      <c r="M21" s="492">
        <v>0</v>
      </c>
      <c r="N21" s="492">
        <v>1</v>
      </c>
      <c r="O21" s="478">
        <v>29</v>
      </c>
      <c r="P21" s="493">
        <v>6</v>
      </c>
    </row>
    <row r="22" spans="1:16" ht="30" customHeight="1">
      <c r="A22" s="828"/>
      <c r="B22" s="130" t="s">
        <v>194</v>
      </c>
      <c r="C22" s="171">
        <f t="shared" si="3"/>
        <v>39</v>
      </c>
      <c r="D22" s="491">
        <v>2</v>
      </c>
      <c r="E22" s="492">
        <v>4</v>
      </c>
      <c r="F22" s="492">
        <v>0</v>
      </c>
      <c r="G22" s="492">
        <v>4</v>
      </c>
      <c r="H22" s="492">
        <v>0</v>
      </c>
      <c r="I22" s="492">
        <v>1</v>
      </c>
      <c r="J22" s="492">
        <v>1</v>
      </c>
      <c r="K22" s="492">
        <v>1</v>
      </c>
      <c r="L22" s="492">
        <v>1</v>
      </c>
      <c r="M22" s="492">
        <v>0</v>
      </c>
      <c r="N22" s="492">
        <v>1</v>
      </c>
      <c r="O22" s="478">
        <v>21</v>
      </c>
      <c r="P22" s="493">
        <v>3</v>
      </c>
    </row>
    <row r="23" spans="1:16" ht="30" customHeight="1">
      <c r="A23" s="828"/>
      <c r="B23" s="130" t="s">
        <v>195</v>
      </c>
      <c r="C23" s="171">
        <f t="shared" si="3"/>
        <v>69</v>
      </c>
      <c r="D23" s="491">
        <v>11</v>
      </c>
      <c r="E23" s="492">
        <v>15</v>
      </c>
      <c r="F23" s="492">
        <v>5</v>
      </c>
      <c r="G23" s="492">
        <v>6</v>
      </c>
      <c r="H23" s="492">
        <v>2</v>
      </c>
      <c r="I23" s="492">
        <v>3</v>
      </c>
      <c r="J23" s="492">
        <v>0</v>
      </c>
      <c r="K23" s="492">
        <v>0</v>
      </c>
      <c r="L23" s="492">
        <v>2</v>
      </c>
      <c r="M23" s="492">
        <v>0</v>
      </c>
      <c r="N23" s="492">
        <v>0</v>
      </c>
      <c r="O23" s="478">
        <v>17</v>
      </c>
      <c r="P23" s="493">
        <v>8</v>
      </c>
    </row>
    <row r="24" spans="1:16" ht="30" customHeight="1">
      <c r="A24" s="828"/>
      <c r="B24" s="130" t="s">
        <v>196</v>
      </c>
      <c r="C24" s="171">
        <f t="shared" si="3"/>
        <v>40</v>
      </c>
      <c r="D24" s="491">
        <v>2</v>
      </c>
      <c r="E24" s="492">
        <v>3</v>
      </c>
      <c r="F24" s="492">
        <v>0</v>
      </c>
      <c r="G24" s="492">
        <v>7</v>
      </c>
      <c r="H24" s="492">
        <v>1</v>
      </c>
      <c r="I24" s="492">
        <v>3</v>
      </c>
      <c r="J24" s="492">
        <v>0</v>
      </c>
      <c r="K24" s="492">
        <v>1</v>
      </c>
      <c r="L24" s="492">
        <v>1</v>
      </c>
      <c r="M24" s="492">
        <v>0</v>
      </c>
      <c r="N24" s="492">
        <v>2</v>
      </c>
      <c r="O24" s="478">
        <v>14</v>
      </c>
      <c r="P24" s="493">
        <v>6</v>
      </c>
    </row>
    <row r="25" spans="1:16" ht="30" customHeight="1">
      <c r="A25" s="828"/>
      <c r="B25" s="130" t="s">
        <v>197</v>
      </c>
      <c r="C25" s="171">
        <f t="shared" si="3"/>
        <v>48</v>
      </c>
      <c r="D25" s="491">
        <v>4</v>
      </c>
      <c r="E25" s="492">
        <v>9</v>
      </c>
      <c r="F25" s="492">
        <v>2</v>
      </c>
      <c r="G25" s="492">
        <v>2</v>
      </c>
      <c r="H25" s="492">
        <v>0</v>
      </c>
      <c r="I25" s="492">
        <v>5</v>
      </c>
      <c r="J25" s="492">
        <v>1</v>
      </c>
      <c r="K25" s="492">
        <v>2</v>
      </c>
      <c r="L25" s="492">
        <v>3</v>
      </c>
      <c r="M25" s="492">
        <v>0</v>
      </c>
      <c r="N25" s="492">
        <v>0</v>
      </c>
      <c r="O25" s="478">
        <v>17</v>
      </c>
      <c r="P25" s="493">
        <v>3</v>
      </c>
    </row>
    <row r="26" spans="1:16" ht="30" customHeight="1">
      <c r="A26" s="828"/>
      <c r="B26" s="130" t="s">
        <v>198</v>
      </c>
      <c r="C26" s="171">
        <f t="shared" si="3"/>
        <v>57</v>
      </c>
      <c r="D26" s="491">
        <v>4</v>
      </c>
      <c r="E26" s="492">
        <v>6</v>
      </c>
      <c r="F26" s="492">
        <v>3</v>
      </c>
      <c r="G26" s="492">
        <v>5</v>
      </c>
      <c r="H26" s="492">
        <v>3</v>
      </c>
      <c r="I26" s="492">
        <v>4</v>
      </c>
      <c r="J26" s="492">
        <v>0</v>
      </c>
      <c r="K26" s="492">
        <v>2</v>
      </c>
      <c r="L26" s="492">
        <v>3</v>
      </c>
      <c r="M26" s="492">
        <v>1</v>
      </c>
      <c r="N26" s="492">
        <v>0</v>
      </c>
      <c r="O26" s="478">
        <v>18</v>
      </c>
      <c r="P26" s="493">
        <v>8</v>
      </c>
    </row>
    <row r="27" spans="1:16" ht="30" customHeight="1" thickBot="1">
      <c r="A27" s="829"/>
      <c r="B27" s="131" t="s">
        <v>199</v>
      </c>
      <c r="C27" s="172">
        <f t="shared" si="3"/>
        <v>74</v>
      </c>
      <c r="D27" s="494">
        <v>5</v>
      </c>
      <c r="E27" s="495">
        <v>10</v>
      </c>
      <c r="F27" s="495">
        <v>0</v>
      </c>
      <c r="G27" s="495">
        <v>4</v>
      </c>
      <c r="H27" s="495">
        <v>5</v>
      </c>
      <c r="I27" s="495">
        <v>2</v>
      </c>
      <c r="J27" s="495">
        <v>0</v>
      </c>
      <c r="K27" s="495">
        <v>9</v>
      </c>
      <c r="L27" s="495">
        <v>1</v>
      </c>
      <c r="M27" s="495">
        <v>1</v>
      </c>
      <c r="N27" s="495">
        <v>2</v>
      </c>
      <c r="O27" s="496">
        <v>24</v>
      </c>
      <c r="P27" s="497">
        <v>11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6" sqref="J6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75390625" style="47" customWidth="1"/>
    <col min="14" max="16384" width="9.00390625" style="47" customWidth="1"/>
  </cols>
  <sheetData>
    <row r="1" spans="1:13" ht="19.5" customHeight="1">
      <c r="A1" s="825" t="s">
        <v>359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96" customHeight="1" thickBot="1">
      <c r="A3" s="826"/>
      <c r="B3" s="697"/>
      <c r="C3" s="178" t="s">
        <v>131</v>
      </c>
      <c r="D3" s="179" t="s">
        <v>254</v>
      </c>
      <c r="E3" s="180" t="s">
        <v>255</v>
      </c>
      <c r="F3" s="180" t="s">
        <v>256</v>
      </c>
      <c r="G3" s="180" t="s">
        <v>257</v>
      </c>
      <c r="H3" s="180" t="s">
        <v>258</v>
      </c>
      <c r="I3" s="180" t="s">
        <v>259</v>
      </c>
      <c r="J3" s="180" t="s">
        <v>260</v>
      </c>
      <c r="K3" s="180" t="s">
        <v>261</v>
      </c>
      <c r="L3" s="180" t="s">
        <v>262</v>
      </c>
      <c r="M3" s="181" t="s">
        <v>138</v>
      </c>
    </row>
    <row r="4" spans="1:13" ht="30" customHeight="1">
      <c r="A4" s="800" t="s">
        <v>179</v>
      </c>
      <c r="B4" s="801"/>
      <c r="C4" s="182">
        <f aca="true" t="shared" si="0" ref="C4:C12">SUM(D4:M4)</f>
        <v>443</v>
      </c>
      <c r="D4" s="183">
        <v>227</v>
      </c>
      <c r="E4" s="184">
        <v>44</v>
      </c>
      <c r="F4" s="184">
        <v>0</v>
      </c>
      <c r="G4" s="184">
        <v>0</v>
      </c>
      <c r="H4" s="184">
        <v>1</v>
      </c>
      <c r="I4" s="184">
        <v>4</v>
      </c>
      <c r="J4" s="184">
        <v>0</v>
      </c>
      <c r="K4" s="184">
        <v>2</v>
      </c>
      <c r="L4" s="184">
        <v>0</v>
      </c>
      <c r="M4" s="185">
        <v>165</v>
      </c>
    </row>
    <row r="5" spans="1:13" ht="30" customHeight="1">
      <c r="A5" s="800" t="s">
        <v>180</v>
      </c>
      <c r="B5" s="801"/>
      <c r="C5" s="182">
        <f t="shared" si="0"/>
        <v>427</v>
      </c>
      <c r="D5" s="183">
        <v>208</v>
      </c>
      <c r="E5" s="184">
        <v>40</v>
      </c>
      <c r="F5" s="184">
        <v>0</v>
      </c>
      <c r="G5" s="184">
        <v>0</v>
      </c>
      <c r="H5" s="184">
        <v>2</v>
      </c>
      <c r="I5" s="184">
        <v>2</v>
      </c>
      <c r="J5" s="184">
        <v>2</v>
      </c>
      <c r="K5" s="184">
        <v>4</v>
      </c>
      <c r="L5" s="184">
        <v>0</v>
      </c>
      <c r="M5" s="185">
        <v>169</v>
      </c>
    </row>
    <row r="6" spans="1:13" ht="30" customHeight="1">
      <c r="A6" s="800" t="s">
        <v>181</v>
      </c>
      <c r="B6" s="801"/>
      <c r="C6" s="182">
        <f t="shared" si="0"/>
        <v>410</v>
      </c>
      <c r="D6" s="183">
        <v>212</v>
      </c>
      <c r="E6" s="184">
        <v>38</v>
      </c>
      <c r="F6" s="184">
        <v>0</v>
      </c>
      <c r="G6" s="184">
        <v>0</v>
      </c>
      <c r="H6" s="184">
        <v>3</v>
      </c>
      <c r="I6" s="184">
        <v>0</v>
      </c>
      <c r="J6" s="184">
        <v>0</v>
      </c>
      <c r="K6" s="184">
        <v>5</v>
      </c>
      <c r="L6" s="184">
        <v>0</v>
      </c>
      <c r="M6" s="185">
        <v>152</v>
      </c>
    </row>
    <row r="7" spans="1:13" ht="30" customHeight="1">
      <c r="A7" s="800" t="s">
        <v>182</v>
      </c>
      <c r="B7" s="801"/>
      <c r="C7" s="182">
        <f t="shared" si="0"/>
        <v>414</v>
      </c>
      <c r="D7" s="183">
        <v>198</v>
      </c>
      <c r="E7" s="184">
        <v>28</v>
      </c>
      <c r="F7" s="184">
        <v>0</v>
      </c>
      <c r="G7" s="184">
        <v>5</v>
      </c>
      <c r="H7" s="184">
        <v>2</v>
      </c>
      <c r="I7" s="184">
        <v>2</v>
      </c>
      <c r="J7" s="184">
        <v>0</v>
      </c>
      <c r="K7" s="184">
        <v>10</v>
      </c>
      <c r="L7" s="184">
        <v>0</v>
      </c>
      <c r="M7" s="185">
        <v>169</v>
      </c>
    </row>
    <row r="8" spans="1:13" ht="30" customHeight="1">
      <c r="A8" s="800" t="s">
        <v>183</v>
      </c>
      <c r="B8" s="801"/>
      <c r="C8" s="182">
        <f t="shared" si="0"/>
        <v>404</v>
      </c>
      <c r="D8" s="183">
        <v>194</v>
      </c>
      <c r="E8" s="184">
        <v>33</v>
      </c>
      <c r="F8" s="184">
        <v>0</v>
      </c>
      <c r="G8" s="184">
        <v>9</v>
      </c>
      <c r="H8" s="184">
        <v>3</v>
      </c>
      <c r="I8" s="184">
        <v>2</v>
      </c>
      <c r="J8" s="184">
        <v>1</v>
      </c>
      <c r="K8" s="184">
        <v>5</v>
      </c>
      <c r="L8" s="184">
        <v>0</v>
      </c>
      <c r="M8" s="185">
        <v>157</v>
      </c>
    </row>
    <row r="9" spans="1:13" ht="30" customHeight="1">
      <c r="A9" s="800" t="s">
        <v>184</v>
      </c>
      <c r="B9" s="801"/>
      <c r="C9" s="182">
        <f t="shared" si="0"/>
        <v>416</v>
      </c>
      <c r="D9" s="183">
        <v>201</v>
      </c>
      <c r="E9" s="184">
        <v>24</v>
      </c>
      <c r="F9" s="184">
        <v>2</v>
      </c>
      <c r="G9" s="184">
        <v>3</v>
      </c>
      <c r="H9" s="184">
        <v>4</v>
      </c>
      <c r="I9" s="184">
        <v>0</v>
      </c>
      <c r="J9" s="184">
        <v>0</v>
      </c>
      <c r="K9" s="184">
        <v>4</v>
      </c>
      <c r="L9" s="184">
        <v>0</v>
      </c>
      <c r="M9" s="185">
        <v>178</v>
      </c>
    </row>
    <row r="10" spans="1:13" ht="30" customHeight="1">
      <c r="A10" s="800" t="s">
        <v>185</v>
      </c>
      <c r="B10" s="801"/>
      <c r="C10" s="182">
        <f t="shared" si="0"/>
        <v>391</v>
      </c>
      <c r="D10" s="183">
        <v>188</v>
      </c>
      <c r="E10" s="184">
        <v>40</v>
      </c>
      <c r="F10" s="184">
        <v>1</v>
      </c>
      <c r="G10" s="184">
        <v>6</v>
      </c>
      <c r="H10" s="184">
        <v>3</v>
      </c>
      <c r="I10" s="184">
        <v>2</v>
      </c>
      <c r="J10" s="184">
        <v>1</v>
      </c>
      <c r="K10" s="184">
        <v>7</v>
      </c>
      <c r="L10" s="184">
        <v>0</v>
      </c>
      <c r="M10" s="185">
        <v>143</v>
      </c>
    </row>
    <row r="11" spans="1:13" ht="30" customHeight="1">
      <c r="A11" s="821" t="s">
        <v>187</v>
      </c>
      <c r="B11" s="822"/>
      <c r="C11" s="182">
        <f t="shared" si="0"/>
        <v>406</v>
      </c>
      <c r="D11" s="183">
        <v>187</v>
      </c>
      <c r="E11" s="184">
        <v>29</v>
      </c>
      <c r="F11" s="184">
        <v>0</v>
      </c>
      <c r="G11" s="184">
        <v>5</v>
      </c>
      <c r="H11" s="184">
        <v>0</v>
      </c>
      <c r="I11" s="184">
        <v>7</v>
      </c>
      <c r="J11" s="184">
        <v>2</v>
      </c>
      <c r="K11" s="184">
        <v>2</v>
      </c>
      <c r="L11" s="184">
        <v>0</v>
      </c>
      <c r="M11" s="185">
        <v>174</v>
      </c>
    </row>
    <row r="12" spans="1:13" ht="30" customHeight="1">
      <c r="A12" s="823" t="s">
        <v>428</v>
      </c>
      <c r="B12" s="824"/>
      <c r="C12" s="186">
        <f t="shared" si="0"/>
        <v>365</v>
      </c>
      <c r="D12" s="187">
        <v>220</v>
      </c>
      <c r="E12" s="188">
        <v>33</v>
      </c>
      <c r="F12" s="188">
        <v>0</v>
      </c>
      <c r="G12" s="188">
        <v>5</v>
      </c>
      <c r="H12" s="188">
        <v>2</v>
      </c>
      <c r="I12" s="188">
        <v>1</v>
      </c>
      <c r="J12" s="188">
        <v>0</v>
      </c>
      <c r="K12" s="188">
        <v>2</v>
      </c>
      <c r="L12" s="188">
        <v>0</v>
      </c>
      <c r="M12" s="189">
        <v>102</v>
      </c>
    </row>
    <row r="13" spans="1:13" ht="30" customHeight="1" thickBot="1">
      <c r="A13" s="816" t="s">
        <v>429</v>
      </c>
      <c r="B13" s="817"/>
      <c r="C13" s="190">
        <f>SUM(D13:M13)</f>
        <v>382</v>
      </c>
      <c r="D13" s="191">
        <v>196</v>
      </c>
      <c r="E13" s="192">
        <v>35</v>
      </c>
      <c r="F13" s="192">
        <v>0</v>
      </c>
      <c r="G13" s="192">
        <v>4</v>
      </c>
      <c r="H13" s="192">
        <v>2</v>
      </c>
      <c r="I13" s="192">
        <v>1</v>
      </c>
      <c r="J13" s="192">
        <v>0</v>
      </c>
      <c r="K13" s="192">
        <v>2</v>
      </c>
      <c r="L13" s="192">
        <v>0</v>
      </c>
      <c r="M13" s="193">
        <v>142</v>
      </c>
    </row>
    <row r="14" spans="1:13" ht="30" customHeight="1" thickBot="1" thickTop="1">
      <c r="A14" s="805" t="s">
        <v>186</v>
      </c>
      <c r="B14" s="806"/>
      <c r="C14" s="194">
        <f>SUM(C4:C13)/10</f>
        <v>405.8</v>
      </c>
      <c r="D14" s="195">
        <f aca="true" t="shared" si="1" ref="D14:M14">SUM(D4:D13)/10</f>
        <v>203.1</v>
      </c>
      <c r="E14" s="196">
        <f t="shared" si="1"/>
        <v>34.4</v>
      </c>
      <c r="F14" s="196">
        <f t="shared" si="1"/>
        <v>0.3</v>
      </c>
      <c r="G14" s="196">
        <f t="shared" si="1"/>
        <v>3.7</v>
      </c>
      <c r="H14" s="196">
        <f t="shared" si="1"/>
        <v>2.2</v>
      </c>
      <c r="I14" s="196">
        <f t="shared" si="1"/>
        <v>2.1</v>
      </c>
      <c r="J14" s="196">
        <f t="shared" si="1"/>
        <v>0.6</v>
      </c>
      <c r="K14" s="196">
        <f t="shared" si="1"/>
        <v>4.3</v>
      </c>
      <c r="L14" s="196">
        <f t="shared" si="1"/>
        <v>0</v>
      </c>
      <c r="M14" s="197">
        <f t="shared" si="1"/>
        <v>155.1</v>
      </c>
    </row>
    <row r="15" spans="1:13" ht="30" customHeight="1">
      <c r="A15" s="802" t="s">
        <v>550</v>
      </c>
      <c r="B15" s="803"/>
      <c r="C15" s="198">
        <f>SUM(D15:M15)</f>
        <v>349</v>
      </c>
      <c r="D15" s="199">
        <v>172</v>
      </c>
      <c r="E15" s="200">
        <f aca="true" t="shared" si="2" ref="E15:L15">SUM(E16:E27)</f>
        <v>35</v>
      </c>
      <c r="F15" s="200">
        <f t="shared" si="2"/>
        <v>0</v>
      </c>
      <c r="G15" s="200">
        <f t="shared" si="2"/>
        <v>3</v>
      </c>
      <c r="H15" s="200">
        <f t="shared" si="2"/>
        <v>0</v>
      </c>
      <c r="I15" s="200">
        <f t="shared" si="2"/>
        <v>1</v>
      </c>
      <c r="J15" s="200">
        <f t="shared" si="2"/>
        <v>1</v>
      </c>
      <c r="K15" s="200">
        <f t="shared" si="2"/>
        <v>4</v>
      </c>
      <c r="L15" s="200">
        <f t="shared" si="2"/>
        <v>0</v>
      </c>
      <c r="M15" s="201">
        <v>133</v>
      </c>
    </row>
    <row r="16" spans="1:13" ht="30" customHeight="1">
      <c r="A16" s="827" t="s">
        <v>551</v>
      </c>
      <c r="B16" s="130" t="s">
        <v>188</v>
      </c>
      <c r="C16" s="182">
        <f aca="true" t="shared" si="3" ref="C16:C27">SUM(D16:M16)</f>
        <v>33</v>
      </c>
      <c r="D16" s="183">
        <v>20</v>
      </c>
      <c r="E16" s="184">
        <v>3</v>
      </c>
      <c r="F16" s="184">
        <v>0</v>
      </c>
      <c r="G16" s="184">
        <v>0</v>
      </c>
      <c r="H16" s="184">
        <v>0</v>
      </c>
      <c r="I16" s="184">
        <v>0</v>
      </c>
      <c r="J16" s="184">
        <v>1</v>
      </c>
      <c r="K16" s="184">
        <v>0</v>
      </c>
      <c r="L16" s="184">
        <v>0</v>
      </c>
      <c r="M16" s="185">
        <v>9</v>
      </c>
    </row>
    <row r="17" spans="1:13" ht="30" customHeight="1">
      <c r="A17" s="828"/>
      <c r="B17" s="130" t="s">
        <v>189</v>
      </c>
      <c r="C17" s="182">
        <f t="shared" si="3"/>
        <v>36</v>
      </c>
      <c r="D17" s="183">
        <v>20</v>
      </c>
      <c r="E17" s="184">
        <v>2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5">
        <v>14</v>
      </c>
    </row>
    <row r="18" spans="1:13" ht="30" customHeight="1">
      <c r="A18" s="828"/>
      <c r="B18" s="130" t="s">
        <v>190</v>
      </c>
      <c r="C18" s="182">
        <f t="shared" si="3"/>
        <v>34</v>
      </c>
      <c r="D18" s="183">
        <v>16</v>
      </c>
      <c r="E18" s="184">
        <v>5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1</v>
      </c>
      <c r="L18" s="184">
        <v>0</v>
      </c>
      <c r="M18" s="185">
        <v>12</v>
      </c>
    </row>
    <row r="19" spans="1:13" ht="30" customHeight="1">
      <c r="A19" s="828"/>
      <c r="B19" s="130" t="s">
        <v>191</v>
      </c>
      <c r="C19" s="182">
        <f t="shared" si="3"/>
        <v>35</v>
      </c>
      <c r="D19" s="183">
        <v>13</v>
      </c>
      <c r="E19" s="184">
        <v>3</v>
      </c>
      <c r="F19" s="184">
        <v>0</v>
      </c>
      <c r="G19" s="184">
        <v>0</v>
      </c>
      <c r="H19" s="184">
        <v>0</v>
      </c>
      <c r="I19" s="184">
        <v>1</v>
      </c>
      <c r="J19" s="184">
        <v>0</v>
      </c>
      <c r="K19" s="184">
        <v>1</v>
      </c>
      <c r="L19" s="184">
        <v>0</v>
      </c>
      <c r="M19" s="185">
        <v>17</v>
      </c>
    </row>
    <row r="20" spans="1:13" ht="30" customHeight="1">
      <c r="A20" s="828"/>
      <c r="B20" s="130" t="s">
        <v>192</v>
      </c>
      <c r="C20" s="182">
        <f t="shared" si="3"/>
        <v>28</v>
      </c>
      <c r="D20" s="183">
        <v>10</v>
      </c>
      <c r="E20" s="184">
        <v>4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5">
        <v>14</v>
      </c>
    </row>
    <row r="21" spans="1:13" ht="30" customHeight="1">
      <c r="A21" s="828"/>
      <c r="B21" s="130" t="s">
        <v>193</v>
      </c>
      <c r="C21" s="182">
        <f t="shared" si="3"/>
        <v>29</v>
      </c>
      <c r="D21" s="183">
        <v>13</v>
      </c>
      <c r="E21" s="184">
        <v>3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5">
        <v>13</v>
      </c>
    </row>
    <row r="22" spans="1:13" ht="30" customHeight="1">
      <c r="A22" s="828"/>
      <c r="B22" s="130" t="s">
        <v>194</v>
      </c>
      <c r="C22" s="182">
        <f t="shared" si="3"/>
        <v>19</v>
      </c>
      <c r="D22" s="183">
        <v>8</v>
      </c>
      <c r="E22" s="184">
        <v>1</v>
      </c>
      <c r="F22" s="184">
        <v>0</v>
      </c>
      <c r="G22" s="184">
        <v>1</v>
      </c>
      <c r="H22" s="184">
        <v>0</v>
      </c>
      <c r="I22" s="184">
        <v>0</v>
      </c>
      <c r="J22" s="184">
        <v>0</v>
      </c>
      <c r="K22" s="184">
        <v>1</v>
      </c>
      <c r="L22" s="184">
        <v>0</v>
      </c>
      <c r="M22" s="185">
        <v>8</v>
      </c>
    </row>
    <row r="23" spans="1:13" ht="30" customHeight="1">
      <c r="A23" s="828"/>
      <c r="B23" s="130" t="s">
        <v>195</v>
      </c>
      <c r="C23" s="182">
        <f t="shared" si="3"/>
        <v>25</v>
      </c>
      <c r="D23" s="183">
        <v>9</v>
      </c>
      <c r="E23" s="184">
        <v>1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5">
        <v>15</v>
      </c>
    </row>
    <row r="24" spans="1:13" ht="30" customHeight="1">
      <c r="A24" s="828"/>
      <c r="B24" s="130" t="s">
        <v>196</v>
      </c>
      <c r="C24" s="182">
        <f t="shared" si="3"/>
        <v>24</v>
      </c>
      <c r="D24" s="183">
        <v>11</v>
      </c>
      <c r="E24" s="184">
        <v>7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5">
        <v>6</v>
      </c>
    </row>
    <row r="25" spans="1:13" ht="30" customHeight="1">
      <c r="A25" s="828"/>
      <c r="B25" s="130" t="s">
        <v>197</v>
      </c>
      <c r="C25" s="182">
        <f t="shared" si="3"/>
        <v>10</v>
      </c>
      <c r="D25" s="183">
        <v>4</v>
      </c>
      <c r="E25" s="184">
        <v>2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5">
        <v>4</v>
      </c>
    </row>
    <row r="26" spans="1:13" ht="30" customHeight="1">
      <c r="A26" s="828"/>
      <c r="B26" s="130" t="s">
        <v>198</v>
      </c>
      <c r="C26" s="182">
        <f t="shared" si="3"/>
        <v>32</v>
      </c>
      <c r="D26" s="183">
        <v>14</v>
      </c>
      <c r="E26" s="184">
        <v>2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1</v>
      </c>
      <c r="L26" s="184">
        <v>0</v>
      </c>
      <c r="M26" s="185">
        <v>15</v>
      </c>
    </row>
    <row r="27" spans="1:13" ht="30" customHeight="1" thickBot="1">
      <c r="A27" s="829"/>
      <c r="B27" s="131" t="s">
        <v>199</v>
      </c>
      <c r="C27" s="202">
        <f t="shared" si="3"/>
        <v>44</v>
      </c>
      <c r="D27" s="498">
        <v>24</v>
      </c>
      <c r="E27" s="499">
        <v>2</v>
      </c>
      <c r="F27" s="499">
        <v>0</v>
      </c>
      <c r="G27" s="499">
        <v>2</v>
      </c>
      <c r="H27" s="499">
        <v>0</v>
      </c>
      <c r="I27" s="499">
        <v>0</v>
      </c>
      <c r="J27" s="499">
        <v>0</v>
      </c>
      <c r="K27" s="499">
        <v>0</v>
      </c>
      <c r="L27" s="499">
        <v>0</v>
      </c>
      <c r="M27" s="500">
        <v>16</v>
      </c>
    </row>
    <row r="29" spans="4:12" ht="11.25">
      <c r="D29" s="47">
        <v>196</v>
      </c>
      <c r="E29" s="47">
        <v>35</v>
      </c>
      <c r="F29" s="47">
        <v>0</v>
      </c>
      <c r="G29" s="47">
        <v>4</v>
      </c>
      <c r="H29" s="47">
        <v>2</v>
      </c>
      <c r="I29" s="47">
        <v>1</v>
      </c>
      <c r="J29" s="47">
        <v>0</v>
      </c>
      <c r="K29" s="47">
        <v>2</v>
      </c>
      <c r="L29" s="47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7" width="6.375" style="47" customWidth="1"/>
    <col min="18" max="16384" width="9.00390625" style="47" customWidth="1"/>
  </cols>
  <sheetData>
    <row r="1" spans="1:17" ht="19.5" customHeight="1">
      <c r="A1" s="825" t="s">
        <v>358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</row>
    <row r="2" ht="19.5" customHeight="1" thickBot="1">
      <c r="Q2" s="177"/>
    </row>
    <row r="3" spans="1:17" ht="35.25" customHeight="1">
      <c r="A3" s="830"/>
      <c r="B3" s="831"/>
      <c r="C3" s="836" t="s">
        <v>263</v>
      </c>
      <c r="D3" s="837"/>
      <c r="E3" s="837"/>
      <c r="F3" s="837"/>
      <c r="G3" s="837"/>
      <c r="H3" s="837"/>
      <c r="I3" s="837"/>
      <c r="J3" s="837"/>
      <c r="K3" s="836" t="s">
        <v>264</v>
      </c>
      <c r="L3" s="837"/>
      <c r="M3" s="837"/>
      <c r="N3" s="837"/>
      <c r="O3" s="837"/>
      <c r="P3" s="837"/>
      <c r="Q3" s="838"/>
    </row>
    <row r="4" spans="1:17" ht="35.25" customHeight="1">
      <c r="A4" s="832"/>
      <c r="B4" s="833"/>
      <c r="C4" s="839" t="s">
        <v>131</v>
      </c>
      <c r="D4" s="841" t="s">
        <v>133</v>
      </c>
      <c r="E4" s="842"/>
      <c r="F4" s="740" t="s">
        <v>134</v>
      </c>
      <c r="G4" s="740" t="s">
        <v>135</v>
      </c>
      <c r="H4" s="740" t="s">
        <v>136</v>
      </c>
      <c r="I4" s="740" t="s">
        <v>137</v>
      </c>
      <c r="J4" s="841" t="s">
        <v>138</v>
      </c>
      <c r="K4" s="839" t="s">
        <v>131</v>
      </c>
      <c r="L4" s="740" t="s">
        <v>133</v>
      </c>
      <c r="M4" s="740" t="s">
        <v>134</v>
      </c>
      <c r="N4" s="740" t="s">
        <v>135</v>
      </c>
      <c r="O4" s="740" t="s">
        <v>136</v>
      </c>
      <c r="P4" s="740" t="s">
        <v>137</v>
      </c>
      <c r="Q4" s="844" t="s">
        <v>138</v>
      </c>
    </row>
    <row r="5" spans="1:17" ht="35.25" customHeight="1" thickBot="1">
      <c r="A5" s="834"/>
      <c r="B5" s="835"/>
      <c r="C5" s="840"/>
      <c r="D5" s="203"/>
      <c r="E5" s="204" t="s">
        <v>265</v>
      </c>
      <c r="F5" s="843"/>
      <c r="G5" s="843"/>
      <c r="H5" s="843"/>
      <c r="I5" s="843"/>
      <c r="J5" s="846"/>
      <c r="K5" s="840"/>
      <c r="L5" s="843"/>
      <c r="M5" s="843"/>
      <c r="N5" s="843"/>
      <c r="O5" s="843"/>
      <c r="P5" s="843"/>
      <c r="Q5" s="845"/>
    </row>
    <row r="6" spans="1:17" ht="30" customHeight="1">
      <c r="A6" s="800" t="s">
        <v>179</v>
      </c>
      <c r="B6" s="801"/>
      <c r="C6" s="205">
        <f aca="true" t="shared" si="0" ref="C6:C14">SUM(F6:J6)+D6</f>
        <v>25</v>
      </c>
      <c r="D6" s="206">
        <v>20</v>
      </c>
      <c r="E6" s="207">
        <v>16</v>
      </c>
      <c r="F6" s="184">
        <v>0</v>
      </c>
      <c r="G6" s="184">
        <v>1</v>
      </c>
      <c r="H6" s="184">
        <v>0</v>
      </c>
      <c r="I6" s="184">
        <v>0</v>
      </c>
      <c r="J6" s="208">
        <v>4</v>
      </c>
      <c r="K6" s="205">
        <f aca="true" t="shared" si="1" ref="K6:K14">SUM(L6:Q6)</f>
        <v>104</v>
      </c>
      <c r="L6" s="184">
        <v>80</v>
      </c>
      <c r="M6" s="184">
        <v>11</v>
      </c>
      <c r="N6" s="184">
        <v>3</v>
      </c>
      <c r="O6" s="184">
        <v>0</v>
      </c>
      <c r="P6" s="184">
        <v>0</v>
      </c>
      <c r="Q6" s="185">
        <v>10</v>
      </c>
    </row>
    <row r="7" spans="1:17" ht="30" customHeight="1">
      <c r="A7" s="800" t="s">
        <v>180</v>
      </c>
      <c r="B7" s="801"/>
      <c r="C7" s="205">
        <f t="shared" si="0"/>
        <v>18</v>
      </c>
      <c r="D7" s="206">
        <v>12</v>
      </c>
      <c r="E7" s="207">
        <v>7</v>
      </c>
      <c r="F7" s="184">
        <v>0</v>
      </c>
      <c r="G7" s="184">
        <v>3</v>
      </c>
      <c r="H7" s="184">
        <v>0</v>
      </c>
      <c r="I7" s="184">
        <v>0</v>
      </c>
      <c r="J7" s="208">
        <v>3</v>
      </c>
      <c r="K7" s="205">
        <f t="shared" si="1"/>
        <v>96</v>
      </c>
      <c r="L7" s="184">
        <v>66</v>
      </c>
      <c r="M7" s="184">
        <v>4</v>
      </c>
      <c r="N7" s="184">
        <v>3</v>
      </c>
      <c r="O7" s="184">
        <v>1</v>
      </c>
      <c r="P7" s="184">
        <v>0</v>
      </c>
      <c r="Q7" s="185">
        <v>22</v>
      </c>
    </row>
    <row r="8" spans="1:17" ht="30" customHeight="1">
      <c r="A8" s="800" t="s">
        <v>181</v>
      </c>
      <c r="B8" s="801"/>
      <c r="C8" s="205">
        <f t="shared" si="0"/>
        <v>33</v>
      </c>
      <c r="D8" s="206">
        <v>21</v>
      </c>
      <c r="E8" s="207">
        <v>17</v>
      </c>
      <c r="F8" s="184">
        <v>1</v>
      </c>
      <c r="G8" s="184">
        <v>4</v>
      </c>
      <c r="H8" s="184">
        <v>0</v>
      </c>
      <c r="I8" s="184">
        <v>0</v>
      </c>
      <c r="J8" s="208">
        <v>7</v>
      </c>
      <c r="K8" s="205">
        <f t="shared" si="1"/>
        <v>91</v>
      </c>
      <c r="L8" s="184">
        <v>72</v>
      </c>
      <c r="M8" s="184">
        <v>7</v>
      </c>
      <c r="N8" s="184">
        <v>2</v>
      </c>
      <c r="O8" s="184">
        <v>0</v>
      </c>
      <c r="P8" s="184">
        <v>0</v>
      </c>
      <c r="Q8" s="185">
        <v>10</v>
      </c>
    </row>
    <row r="9" spans="1:17" ht="30" customHeight="1">
      <c r="A9" s="800" t="s">
        <v>182</v>
      </c>
      <c r="B9" s="801"/>
      <c r="C9" s="205">
        <f t="shared" si="0"/>
        <v>42</v>
      </c>
      <c r="D9" s="206">
        <v>28</v>
      </c>
      <c r="E9" s="207">
        <v>22</v>
      </c>
      <c r="F9" s="184">
        <v>1</v>
      </c>
      <c r="G9" s="184">
        <v>4</v>
      </c>
      <c r="H9" s="184">
        <v>0</v>
      </c>
      <c r="I9" s="184">
        <v>0</v>
      </c>
      <c r="J9" s="208">
        <v>9</v>
      </c>
      <c r="K9" s="205">
        <f t="shared" si="1"/>
        <v>80</v>
      </c>
      <c r="L9" s="184">
        <v>64</v>
      </c>
      <c r="M9" s="184">
        <v>3</v>
      </c>
      <c r="N9" s="184">
        <v>5</v>
      </c>
      <c r="O9" s="184">
        <v>1</v>
      </c>
      <c r="P9" s="184">
        <v>0</v>
      </c>
      <c r="Q9" s="185">
        <v>7</v>
      </c>
    </row>
    <row r="10" spans="1:17" ht="30" customHeight="1">
      <c r="A10" s="800" t="s">
        <v>183</v>
      </c>
      <c r="B10" s="801"/>
      <c r="C10" s="205">
        <f t="shared" si="0"/>
        <v>28</v>
      </c>
      <c r="D10" s="206">
        <v>18</v>
      </c>
      <c r="E10" s="207">
        <v>16</v>
      </c>
      <c r="F10" s="184">
        <v>0</v>
      </c>
      <c r="G10" s="184">
        <v>5</v>
      </c>
      <c r="H10" s="184">
        <v>0</v>
      </c>
      <c r="I10" s="184">
        <v>0</v>
      </c>
      <c r="J10" s="208">
        <v>5</v>
      </c>
      <c r="K10" s="205">
        <f t="shared" si="1"/>
        <v>95</v>
      </c>
      <c r="L10" s="184">
        <v>61</v>
      </c>
      <c r="M10" s="184">
        <v>4</v>
      </c>
      <c r="N10" s="184">
        <v>17</v>
      </c>
      <c r="O10" s="184">
        <v>0</v>
      </c>
      <c r="P10" s="184">
        <v>0</v>
      </c>
      <c r="Q10" s="185">
        <v>13</v>
      </c>
    </row>
    <row r="11" spans="1:17" ht="30" customHeight="1">
      <c r="A11" s="800" t="s">
        <v>184</v>
      </c>
      <c r="B11" s="801"/>
      <c r="C11" s="205">
        <f t="shared" si="0"/>
        <v>19</v>
      </c>
      <c r="D11" s="206">
        <v>9</v>
      </c>
      <c r="E11" s="207">
        <v>6</v>
      </c>
      <c r="F11" s="184">
        <v>0</v>
      </c>
      <c r="G11" s="184">
        <v>4</v>
      </c>
      <c r="H11" s="184">
        <v>0</v>
      </c>
      <c r="I11" s="184">
        <v>0</v>
      </c>
      <c r="J11" s="208">
        <v>6</v>
      </c>
      <c r="K11" s="205">
        <f t="shared" si="1"/>
        <v>105</v>
      </c>
      <c r="L11" s="184">
        <v>78</v>
      </c>
      <c r="M11" s="184">
        <v>8</v>
      </c>
      <c r="N11" s="184">
        <v>4</v>
      </c>
      <c r="O11" s="184">
        <v>0</v>
      </c>
      <c r="P11" s="184">
        <v>0</v>
      </c>
      <c r="Q11" s="185">
        <v>15</v>
      </c>
    </row>
    <row r="12" spans="1:17" ht="30" customHeight="1">
      <c r="A12" s="800" t="s">
        <v>185</v>
      </c>
      <c r="B12" s="801"/>
      <c r="C12" s="205">
        <f t="shared" si="0"/>
        <v>21</v>
      </c>
      <c r="D12" s="206">
        <v>11</v>
      </c>
      <c r="E12" s="207">
        <v>10</v>
      </c>
      <c r="F12" s="184">
        <v>0</v>
      </c>
      <c r="G12" s="184">
        <v>4</v>
      </c>
      <c r="H12" s="184">
        <v>0</v>
      </c>
      <c r="I12" s="184">
        <v>1</v>
      </c>
      <c r="J12" s="208">
        <v>5</v>
      </c>
      <c r="K12" s="205">
        <f t="shared" si="1"/>
        <v>99</v>
      </c>
      <c r="L12" s="184">
        <v>78</v>
      </c>
      <c r="M12" s="184">
        <v>3</v>
      </c>
      <c r="N12" s="184">
        <v>2</v>
      </c>
      <c r="O12" s="184">
        <v>0</v>
      </c>
      <c r="P12" s="184">
        <v>0</v>
      </c>
      <c r="Q12" s="185">
        <v>16</v>
      </c>
    </row>
    <row r="13" spans="1:17" ht="30" customHeight="1">
      <c r="A13" s="821" t="s">
        <v>187</v>
      </c>
      <c r="B13" s="822"/>
      <c r="C13" s="205">
        <f t="shared" si="0"/>
        <v>49</v>
      </c>
      <c r="D13" s="206">
        <v>31</v>
      </c>
      <c r="E13" s="207">
        <v>27</v>
      </c>
      <c r="F13" s="184">
        <v>0</v>
      </c>
      <c r="G13" s="184">
        <v>6</v>
      </c>
      <c r="H13" s="184">
        <v>0</v>
      </c>
      <c r="I13" s="184">
        <v>0</v>
      </c>
      <c r="J13" s="208">
        <v>12</v>
      </c>
      <c r="K13" s="205">
        <f t="shared" si="1"/>
        <v>109</v>
      </c>
      <c r="L13" s="184">
        <v>87</v>
      </c>
      <c r="M13" s="184">
        <v>4</v>
      </c>
      <c r="N13" s="184">
        <v>1</v>
      </c>
      <c r="O13" s="184">
        <v>0</v>
      </c>
      <c r="P13" s="184">
        <v>0</v>
      </c>
      <c r="Q13" s="185">
        <v>17</v>
      </c>
    </row>
    <row r="14" spans="1:17" ht="30" customHeight="1">
      <c r="A14" s="823" t="s">
        <v>428</v>
      </c>
      <c r="B14" s="824"/>
      <c r="C14" s="209">
        <f t="shared" si="0"/>
        <v>31</v>
      </c>
      <c r="D14" s="210">
        <v>17</v>
      </c>
      <c r="E14" s="211">
        <v>17</v>
      </c>
      <c r="F14" s="188">
        <v>0</v>
      </c>
      <c r="G14" s="188">
        <v>3</v>
      </c>
      <c r="H14" s="188">
        <v>0</v>
      </c>
      <c r="I14" s="188">
        <v>0</v>
      </c>
      <c r="J14" s="212">
        <v>11</v>
      </c>
      <c r="K14" s="209">
        <f t="shared" si="1"/>
        <v>102</v>
      </c>
      <c r="L14" s="188">
        <v>89</v>
      </c>
      <c r="M14" s="188">
        <v>1</v>
      </c>
      <c r="N14" s="188">
        <v>3</v>
      </c>
      <c r="O14" s="188">
        <v>0</v>
      </c>
      <c r="P14" s="188">
        <v>0</v>
      </c>
      <c r="Q14" s="189">
        <v>9</v>
      </c>
    </row>
    <row r="15" spans="1:17" ht="30" customHeight="1" thickBot="1">
      <c r="A15" s="816" t="s">
        <v>429</v>
      </c>
      <c r="B15" s="817"/>
      <c r="C15" s="213">
        <f>SUM(F15:J15)+D15</f>
        <v>31</v>
      </c>
      <c r="D15" s="214">
        <v>21</v>
      </c>
      <c r="E15" s="215">
        <v>19</v>
      </c>
      <c r="F15" s="192">
        <v>0</v>
      </c>
      <c r="G15" s="192">
        <v>4</v>
      </c>
      <c r="H15" s="192">
        <v>0</v>
      </c>
      <c r="I15" s="192">
        <v>0</v>
      </c>
      <c r="J15" s="216">
        <v>6</v>
      </c>
      <c r="K15" s="213">
        <f>SUM(L15:Q15)</f>
        <v>89</v>
      </c>
      <c r="L15" s="192">
        <v>70</v>
      </c>
      <c r="M15" s="192">
        <v>4</v>
      </c>
      <c r="N15" s="192">
        <v>3</v>
      </c>
      <c r="O15" s="192">
        <v>2</v>
      </c>
      <c r="P15" s="192">
        <v>0</v>
      </c>
      <c r="Q15" s="193">
        <v>10</v>
      </c>
    </row>
    <row r="16" spans="1:17" ht="30" customHeight="1" thickBot="1" thickTop="1">
      <c r="A16" s="805" t="s">
        <v>186</v>
      </c>
      <c r="B16" s="806"/>
      <c r="C16" s="217">
        <f aca="true" t="shared" si="2" ref="C16:Q16">SUM(C6:C14)/10</f>
        <v>26.6</v>
      </c>
      <c r="D16" s="218">
        <f t="shared" si="2"/>
        <v>16.7</v>
      </c>
      <c r="E16" s="219">
        <f t="shared" si="2"/>
        <v>13.8</v>
      </c>
      <c r="F16" s="196">
        <f t="shared" si="2"/>
        <v>0.2</v>
      </c>
      <c r="G16" s="196">
        <f t="shared" si="2"/>
        <v>3.4</v>
      </c>
      <c r="H16" s="196">
        <f t="shared" si="2"/>
        <v>0</v>
      </c>
      <c r="I16" s="196">
        <f t="shared" si="2"/>
        <v>0.1</v>
      </c>
      <c r="J16" s="220">
        <f t="shared" si="2"/>
        <v>6.2</v>
      </c>
      <c r="K16" s="217">
        <f t="shared" si="2"/>
        <v>88.1</v>
      </c>
      <c r="L16" s="196">
        <f t="shared" si="2"/>
        <v>67.5</v>
      </c>
      <c r="M16" s="196">
        <f t="shared" si="2"/>
        <v>4.5</v>
      </c>
      <c r="N16" s="196">
        <f t="shared" si="2"/>
        <v>4</v>
      </c>
      <c r="O16" s="196">
        <f t="shared" si="2"/>
        <v>0.2</v>
      </c>
      <c r="P16" s="196">
        <f t="shared" si="2"/>
        <v>0</v>
      </c>
      <c r="Q16" s="197">
        <f t="shared" si="2"/>
        <v>11.9</v>
      </c>
    </row>
    <row r="17" spans="1:17" ht="30" customHeight="1">
      <c r="A17" s="802" t="s">
        <v>550</v>
      </c>
      <c r="B17" s="803"/>
      <c r="C17" s="221">
        <f>(SUM(C18:C29))</f>
        <v>36</v>
      </c>
      <c r="D17" s="222">
        <f>(SUM(D18:D29))</f>
        <v>28</v>
      </c>
      <c r="E17" s="223">
        <f>(SUM(E18:E29))</f>
        <v>26</v>
      </c>
      <c r="F17" s="200">
        <f>(SUM(F18:F29))</f>
        <v>0</v>
      </c>
      <c r="G17" s="200">
        <f>(SUM(G18:G29))</f>
        <v>3</v>
      </c>
      <c r="H17" s="200">
        <f aca="true" t="shared" si="3" ref="H17:Q17">(SUM(H18:H29))</f>
        <v>0</v>
      </c>
      <c r="I17" s="200">
        <f t="shared" si="3"/>
        <v>0</v>
      </c>
      <c r="J17" s="224">
        <f t="shared" si="3"/>
        <v>5</v>
      </c>
      <c r="K17" s="225">
        <f t="shared" si="3"/>
        <v>98</v>
      </c>
      <c r="L17" s="200">
        <f t="shared" si="3"/>
        <v>52</v>
      </c>
      <c r="M17" s="200">
        <f t="shared" si="3"/>
        <v>6</v>
      </c>
      <c r="N17" s="200">
        <f t="shared" si="3"/>
        <v>8</v>
      </c>
      <c r="O17" s="200">
        <f t="shared" si="3"/>
        <v>1</v>
      </c>
      <c r="P17" s="200">
        <f t="shared" si="3"/>
        <v>0</v>
      </c>
      <c r="Q17" s="201">
        <f t="shared" si="3"/>
        <v>31</v>
      </c>
    </row>
    <row r="18" spans="1:17" ht="30" customHeight="1">
      <c r="A18" s="827" t="s">
        <v>555</v>
      </c>
      <c r="B18" s="130" t="s">
        <v>188</v>
      </c>
      <c r="C18" s="205">
        <f aca="true" t="shared" si="4" ref="C18:C29">SUM(F18:J18)+D18</f>
        <v>4</v>
      </c>
      <c r="D18" s="206">
        <v>3</v>
      </c>
      <c r="E18" s="207">
        <v>3</v>
      </c>
      <c r="F18" s="184">
        <v>0</v>
      </c>
      <c r="G18" s="184">
        <v>0</v>
      </c>
      <c r="H18" s="184">
        <v>0</v>
      </c>
      <c r="I18" s="184">
        <v>0</v>
      </c>
      <c r="J18" s="208">
        <v>1</v>
      </c>
      <c r="K18" s="205">
        <f aca="true" t="shared" si="5" ref="K18:K29">SUM(L18:Q18)</f>
        <v>9</v>
      </c>
      <c r="L18" s="184">
        <v>3</v>
      </c>
      <c r="M18" s="184">
        <v>0</v>
      </c>
      <c r="N18" s="184">
        <v>1</v>
      </c>
      <c r="O18" s="184">
        <v>1</v>
      </c>
      <c r="P18" s="184">
        <v>0</v>
      </c>
      <c r="Q18" s="185">
        <v>4</v>
      </c>
    </row>
    <row r="19" spans="1:17" ht="30" customHeight="1">
      <c r="A19" s="828"/>
      <c r="B19" s="130" t="s">
        <v>189</v>
      </c>
      <c r="C19" s="205">
        <f t="shared" si="4"/>
        <v>5</v>
      </c>
      <c r="D19" s="206">
        <v>4</v>
      </c>
      <c r="E19" s="207">
        <v>4</v>
      </c>
      <c r="F19" s="184">
        <v>0</v>
      </c>
      <c r="G19" s="184">
        <v>0</v>
      </c>
      <c r="H19" s="184">
        <v>0</v>
      </c>
      <c r="I19" s="184">
        <v>0</v>
      </c>
      <c r="J19" s="208">
        <v>1</v>
      </c>
      <c r="K19" s="205">
        <f t="shared" si="5"/>
        <v>8</v>
      </c>
      <c r="L19" s="184">
        <v>6</v>
      </c>
      <c r="M19" s="184">
        <v>0</v>
      </c>
      <c r="N19" s="184">
        <v>0</v>
      </c>
      <c r="O19" s="184">
        <v>0</v>
      </c>
      <c r="P19" s="184">
        <v>0</v>
      </c>
      <c r="Q19" s="185">
        <v>2</v>
      </c>
    </row>
    <row r="20" spans="1:17" ht="30" customHeight="1">
      <c r="A20" s="828"/>
      <c r="B20" s="130" t="s">
        <v>190</v>
      </c>
      <c r="C20" s="205">
        <f t="shared" si="4"/>
        <v>3</v>
      </c>
      <c r="D20" s="206">
        <v>3</v>
      </c>
      <c r="E20" s="207">
        <v>3</v>
      </c>
      <c r="F20" s="184">
        <v>0</v>
      </c>
      <c r="G20" s="184">
        <v>0</v>
      </c>
      <c r="H20" s="184">
        <v>0</v>
      </c>
      <c r="I20" s="184">
        <v>0</v>
      </c>
      <c r="J20" s="208">
        <v>0</v>
      </c>
      <c r="K20" s="205">
        <f t="shared" si="5"/>
        <v>5</v>
      </c>
      <c r="L20" s="184">
        <v>2</v>
      </c>
      <c r="M20" s="184">
        <v>0</v>
      </c>
      <c r="N20" s="184">
        <v>0</v>
      </c>
      <c r="O20" s="184">
        <v>0</v>
      </c>
      <c r="P20" s="184">
        <v>0</v>
      </c>
      <c r="Q20" s="185">
        <v>3</v>
      </c>
    </row>
    <row r="21" spans="1:17" ht="30" customHeight="1">
      <c r="A21" s="828"/>
      <c r="B21" s="130" t="s">
        <v>191</v>
      </c>
      <c r="C21" s="205">
        <f t="shared" si="4"/>
        <v>2</v>
      </c>
      <c r="D21" s="206">
        <v>2</v>
      </c>
      <c r="E21" s="207">
        <v>2</v>
      </c>
      <c r="F21" s="184">
        <v>0</v>
      </c>
      <c r="G21" s="184">
        <v>0</v>
      </c>
      <c r="H21" s="184">
        <v>0</v>
      </c>
      <c r="I21" s="184">
        <v>0</v>
      </c>
      <c r="J21" s="208">
        <v>0</v>
      </c>
      <c r="K21" s="205">
        <f t="shared" si="5"/>
        <v>20</v>
      </c>
      <c r="L21" s="184">
        <v>5</v>
      </c>
      <c r="M21" s="184">
        <v>3</v>
      </c>
      <c r="N21" s="184">
        <v>4</v>
      </c>
      <c r="O21" s="184">
        <v>0</v>
      </c>
      <c r="P21" s="184">
        <v>0</v>
      </c>
      <c r="Q21" s="185">
        <v>8</v>
      </c>
    </row>
    <row r="22" spans="1:17" ht="30" customHeight="1">
      <c r="A22" s="828"/>
      <c r="B22" s="130" t="s">
        <v>192</v>
      </c>
      <c r="C22" s="205">
        <f t="shared" si="4"/>
        <v>4</v>
      </c>
      <c r="D22" s="206">
        <v>3</v>
      </c>
      <c r="E22" s="207">
        <v>2</v>
      </c>
      <c r="F22" s="184">
        <v>0</v>
      </c>
      <c r="G22" s="184">
        <v>1</v>
      </c>
      <c r="H22" s="184">
        <v>0</v>
      </c>
      <c r="I22" s="184">
        <v>0</v>
      </c>
      <c r="J22" s="208">
        <v>0</v>
      </c>
      <c r="K22" s="205">
        <f t="shared" si="5"/>
        <v>6</v>
      </c>
      <c r="L22" s="184">
        <v>2</v>
      </c>
      <c r="M22" s="184">
        <v>1</v>
      </c>
      <c r="N22" s="184">
        <v>0</v>
      </c>
      <c r="O22" s="184">
        <v>0</v>
      </c>
      <c r="P22" s="184">
        <v>0</v>
      </c>
      <c r="Q22" s="185">
        <v>3</v>
      </c>
    </row>
    <row r="23" spans="1:17" ht="30" customHeight="1">
      <c r="A23" s="828"/>
      <c r="B23" s="130" t="s">
        <v>193</v>
      </c>
      <c r="C23" s="205">
        <f t="shared" si="4"/>
        <v>5</v>
      </c>
      <c r="D23" s="206">
        <v>2</v>
      </c>
      <c r="E23" s="207">
        <v>2</v>
      </c>
      <c r="F23" s="184">
        <v>0</v>
      </c>
      <c r="G23" s="184">
        <v>2</v>
      </c>
      <c r="H23" s="184">
        <v>0</v>
      </c>
      <c r="I23" s="184">
        <v>0</v>
      </c>
      <c r="J23" s="208">
        <v>1</v>
      </c>
      <c r="K23" s="205">
        <f t="shared" si="5"/>
        <v>5</v>
      </c>
      <c r="L23" s="184">
        <v>3</v>
      </c>
      <c r="M23" s="184">
        <v>1</v>
      </c>
      <c r="N23" s="184">
        <v>0</v>
      </c>
      <c r="O23" s="184">
        <v>0</v>
      </c>
      <c r="P23" s="184">
        <v>0</v>
      </c>
      <c r="Q23" s="185">
        <v>1</v>
      </c>
    </row>
    <row r="24" spans="1:17" ht="30" customHeight="1">
      <c r="A24" s="828"/>
      <c r="B24" s="130" t="s">
        <v>194</v>
      </c>
      <c r="C24" s="205">
        <f t="shared" si="4"/>
        <v>1</v>
      </c>
      <c r="D24" s="206">
        <v>1</v>
      </c>
      <c r="E24" s="207">
        <v>1</v>
      </c>
      <c r="F24" s="184">
        <v>0</v>
      </c>
      <c r="G24" s="184">
        <v>0</v>
      </c>
      <c r="H24" s="184">
        <v>0</v>
      </c>
      <c r="I24" s="184">
        <v>0</v>
      </c>
      <c r="J24" s="208">
        <v>0</v>
      </c>
      <c r="K24" s="205">
        <f t="shared" si="5"/>
        <v>3</v>
      </c>
      <c r="L24" s="184">
        <v>3</v>
      </c>
      <c r="M24" s="184">
        <v>0</v>
      </c>
      <c r="N24" s="184">
        <v>0</v>
      </c>
      <c r="O24" s="184">
        <v>0</v>
      </c>
      <c r="P24" s="184">
        <v>0</v>
      </c>
      <c r="Q24" s="185">
        <v>0</v>
      </c>
    </row>
    <row r="25" spans="1:17" ht="30" customHeight="1">
      <c r="A25" s="828"/>
      <c r="B25" s="130" t="s">
        <v>195</v>
      </c>
      <c r="C25" s="205">
        <f t="shared" si="4"/>
        <v>3</v>
      </c>
      <c r="D25" s="206">
        <v>2</v>
      </c>
      <c r="E25" s="207">
        <v>2</v>
      </c>
      <c r="F25" s="184">
        <v>0</v>
      </c>
      <c r="G25" s="184">
        <v>0</v>
      </c>
      <c r="H25" s="184">
        <v>0</v>
      </c>
      <c r="I25" s="184">
        <v>0</v>
      </c>
      <c r="J25" s="208">
        <v>1</v>
      </c>
      <c r="K25" s="205">
        <f t="shared" si="5"/>
        <v>11</v>
      </c>
      <c r="L25" s="184">
        <v>8</v>
      </c>
      <c r="M25" s="184">
        <v>0</v>
      </c>
      <c r="N25" s="184">
        <v>1</v>
      </c>
      <c r="O25" s="184">
        <v>0</v>
      </c>
      <c r="P25" s="184">
        <v>0</v>
      </c>
      <c r="Q25" s="185">
        <v>2</v>
      </c>
    </row>
    <row r="26" spans="1:17" ht="30" customHeight="1">
      <c r="A26" s="828"/>
      <c r="B26" s="130" t="s">
        <v>196</v>
      </c>
      <c r="C26" s="205">
        <f t="shared" si="4"/>
        <v>0</v>
      </c>
      <c r="D26" s="206">
        <v>0</v>
      </c>
      <c r="E26" s="207">
        <v>0</v>
      </c>
      <c r="F26" s="184">
        <v>0</v>
      </c>
      <c r="G26" s="184">
        <v>0</v>
      </c>
      <c r="H26" s="184">
        <v>0</v>
      </c>
      <c r="I26" s="184">
        <v>0</v>
      </c>
      <c r="J26" s="208">
        <v>0</v>
      </c>
      <c r="K26" s="205">
        <f t="shared" si="5"/>
        <v>2</v>
      </c>
      <c r="L26" s="184">
        <v>1</v>
      </c>
      <c r="M26" s="184">
        <v>0</v>
      </c>
      <c r="N26" s="184">
        <v>0</v>
      </c>
      <c r="O26" s="184">
        <v>0</v>
      </c>
      <c r="P26" s="184">
        <v>0</v>
      </c>
      <c r="Q26" s="185">
        <v>1</v>
      </c>
    </row>
    <row r="27" spans="1:17" ht="30" customHeight="1">
      <c r="A27" s="828"/>
      <c r="B27" s="130" t="s">
        <v>197</v>
      </c>
      <c r="C27" s="205">
        <f t="shared" si="4"/>
        <v>0</v>
      </c>
      <c r="D27" s="206">
        <v>0</v>
      </c>
      <c r="E27" s="207">
        <v>0</v>
      </c>
      <c r="F27" s="184">
        <v>0</v>
      </c>
      <c r="G27" s="184">
        <v>0</v>
      </c>
      <c r="H27" s="184">
        <v>0</v>
      </c>
      <c r="I27" s="184">
        <v>0</v>
      </c>
      <c r="J27" s="208">
        <v>0</v>
      </c>
      <c r="K27" s="205">
        <f t="shared" si="5"/>
        <v>6</v>
      </c>
      <c r="L27" s="184">
        <v>3</v>
      </c>
      <c r="M27" s="184">
        <v>1</v>
      </c>
      <c r="N27" s="184">
        <v>2</v>
      </c>
      <c r="O27" s="184">
        <v>0</v>
      </c>
      <c r="P27" s="184">
        <v>0</v>
      </c>
      <c r="Q27" s="185">
        <v>0</v>
      </c>
    </row>
    <row r="28" spans="1:17" ht="30" customHeight="1">
      <c r="A28" s="828"/>
      <c r="B28" s="130" t="s">
        <v>198</v>
      </c>
      <c r="C28" s="205">
        <f t="shared" si="4"/>
        <v>3</v>
      </c>
      <c r="D28" s="206">
        <v>2</v>
      </c>
      <c r="E28" s="207">
        <v>2</v>
      </c>
      <c r="F28" s="184">
        <v>0</v>
      </c>
      <c r="G28" s="184">
        <v>0</v>
      </c>
      <c r="H28" s="184">
        <v>0</v>
      </c>
      <c r="I28" s="184">
        <v>0</v>
      </c>
      <c r="J28" s="208">
        <v>1</v>
      </c>
      <c r="K28" s="205">
        <f t="shared" si="5"/>
        <v>15</v>
      </c>
      <c r="L28" s="184">
        <v>12</v>
      </c>
      <c r="M28" s="184">
        <v>0</v>
      </c>
      <c r="N28" s="184">
        <v>0</v>
      </c>
      <c r="O28" s="184">
        <v>0</v>
      </c>
      <c r="P28" s="184">
        <v>0</v>
      </c>
      <c r="Q28" s="185">
        <v>3</v>
      </c>
    </row>
    <row r="29" spans="1:17" ht="30" customHeight="1" thickBot="1">
      <c r="A29" s="829"/>
      <c r="B29" s="131" t="s">
        <v>199</v>
      </c>
      <c r="C29" s="226">
        <f t="shared" si="4"/>
        <v>6</v>
      </c>
      <c r="D29" s="574">
        <v>6</v>
      </c>
      <c r="E29" s="575">
        <v>5</v>
      </c>
      <c r="F29" s="499">
        <v>0</v>
      </c>
      <c r="G29" s="499">
        <v>0</v>
      </c>
      <c r="H29" s="499">
        <v>0</v>
      </c>
      <c r="I29" s="499">
        <v>0</v>
      </c>
      <c r="J29" s="576">
        <v>0</v>
      </c>
      <c r="K29" s="226">
        <f t="shared" si="5"/>
        <v>8</v>
      </c>
      <c r="L29" s="499">
        <v>4</v>
      </c>
      <c r="M29" s="499">
        <v>0</v>
      </c>
      <c r="N29" s="499">
        <v>0</v>
      </c>
      <c r="O29" s="499">
        <v>0</v>
      </c>
      <c r="P29" s="499">
        <v>0</v>
      </c>
      <c r="Q29" s="500">
        <v>4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Normal="85"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11.625" style="47" bestFit="1" customWidth="1"/>
    <col min="2" max="2" width="8.25390625" style="47" bestFit="1" customWidth="1"/>
    <col min="3" max="3" width="6.125" style="47" customWidth="1"/>
    <col min="4" max="4" width="9.125" style="47" bestFit="1" customWidth="1"/>
    <col min="5" max="5" width="17.875" style="47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47" customWidth="1"/>
    <col min="11" max="11" width="8.00390625" style="47" hidden="1" customWidth="1"/>
    <col min="12" max="13" width="4.75390625" style="230" bestFit="1" customWidth="1"/>
    <col min="14" max="14" width="5.50390625" style="230" customWidth="1"/>
    <col min="15" max="16384" width="9.00390625" style="230" customWidth="1"/>
  </cols>
  <sheetData>
    <row r="1" spans="1:14" s="227" customFormat="1" ht="20.25" customHeight="1">
      <c r="A1" s="825" t="s">
        <v>556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</row>
    <row r="2" spans="1:14" s="227" customFormat="1" ht="11.25" customHeight="1">
      <c r="A2" s="176"/>
      <c r="B2" s="176"/>
      <c r="C2" s="176"/>
      <c r="D2" s="176"/>
      <c r="E2" s="176"/>
      <c r="F2" s="228"/>
      <c r="G2" s="228"/>
      <c r="H2" s="176"/>
      <c r="I2" s="176"/>
      <c r="J2" s="176"/>
      <c r="K2" s="176"/>
      <c r="L2" s="176"/>
      <c r="M2" s="176"/>
      <c r="N2" s="176"/>
    </row>
    <row r="3" ht="14.25" thickBot="1">
      <c r="N3" s="231" t="s">
        <v>266</v>
      </c>
    </row>
    <row r="4" spans="1:14" s="47" customFormat="1" ht="28.5" customHeight="1" thickBot="1">
      <c r="A4" s="236" t="s">
        <v>267</v>
      </c>
      <c r="B4" s="237" t="s">
        <v>268</v>
      </c>
      <c r="C4" s="237" t="s">
        <v>269</v>
      </c>
      <c r="D4" s="238" t="s">
        <v>270</v>
      </c>
      <c r="E4" s="238" t="s">
        <v>271</v>
      </c>
      <c r="F4" s="239" t="s">
        <v>272</v>
      </c>
      <c r="G4" s="239" t="s">
        <v>273</v>
      </c>
      <c r="H4" s="238" t="s">
        <v>149</v>
      </c>
      <c r="I4" s="237" t="s">
        <v>274</v>
      </c>
      <c r="J4" s="238" t="s">
        <v>275</v>
      </c>
      <c r="K4" s="238"/>
      <c r="L4" s="237" t="s">
        <v>276</v>
      </c>
      <c r="M4" s="237" t="s">
        <v>277</v>
      </c>
      <c r="N4" s="240" t="s">
        <v>278</v>
      </c>
    </row>
    <row r="5" spans="1:14" s="241" customFormat="1" ht="28.5" customHeight="1">
      <c r="A5" s="577" t="s">
        <v>382</v>
      </c>
      <c r="B5" s="578" t="s">
        <v>621</v>
      </c>
      <c r="C5" s="579">
        <v>0.03125</v>
      </c>
      <c r="D5" s="580" t="s">
        <v>622</v>
      </c>
      <c r="E5" s="581" t="s">
        <v>623</v>
      </c>
      <c r="F5" s="582">
        <v>26616</v>
      </c>
      <c r="G5" s="582">
        <v>330</v>
      </c>
      <c r="H5" s="583">
        <v>0</v>
      </c>
      <c r="I5" s="583">
        <v>0</v>
      </c>
      <c r="J5" s="581" t="s">
        <v>96</v>
      </c>
      <c r="K5" s="584" t="s">
        <v>523</v>
      </c>
      <c r="L5" s="583">
        <v>1</v>
      </c>
      <c r="M5" s="583">
        <v>0</v>
      </c>
      <c r="N5" s="585">
        <v>0</v>
      </c>
    </row>
    <row r="6" spans="1:14" s="241" customFormat="1" ht="28.5" customHeight="1">
      <c r="A6" s="586" t="s">
        <v>382</v>
      </c>
      <c r="B6" s="587" t="s">
        <v>697</v>
      </c>
      <c r="C6" s="588">
        <v>0.9840277777777778</v>
      </c>
      <c r="D6" s="589" t="s">
        <v>624</v>
      </c>
      <c r="E6" s="590" t="s">
        <v>279</v>
      </c>
      <c r="F6" s="591">
        <v>12585</v>
      </c>
      <c r="G6" s="591">
        <v>160</v>
      </c>
      <c r="H6" s="592">
        <v>0</v>
      </c>
      <c r="I6" s="592">
        <v>0</v>
      </c>
      <c r="J6" s="590" t="s">
        <v>532</v>
      </c>
      <c r="K6" s="593" t="s">
        <v>511</v>
      </c>
      <c r="L6" s="592">
        <v>0</v>
      </c>
      <c r="M6" s="592">
        <v>1</v>
      </c>
      <c r="N6" s="594">
        <v>2</v>
      </c>
    </row>
    <row r="7" spans="1:14" s="241" customFormat="1" ht="28.5" customHeight="1">
      <c r="A7" s="586" t="s">
        <v>382</v>
      </c>
      <c r="B7" s="587" t="s">
        <v>625</v>
      </c>
      <c r="C7" s="588">
        <v>0.018055555555555557</v>
      </c>
      <c r="D7" s="589" t="s">
        <v>702</v>
      </c>
      <c r="E7" s="590" t="s">
        <v>626</v>
      </c>
      <c r="F7" s="591">
        <v>14444</v>
      </c>
      <c r="G7" s="591">
        <v>52</v>
      </c>
      <c r="H7" s="592">
        <v>0</v>
      </c>
      <c r="I7" s="592">
        <v>0</v>
      </c>
      <c r="J7" s="595" t="s">
        <v>627</v>
      </c>
      <c r="K7" s="593" t="s">
        <v>510</v>
      </c>
      <c r="L7" s="592">
        <v>3</v>
      </c>
      <c r="M7" s="592">
        <v>1</v>
      </c>
      <c r="N7" s="594">
        <v>9</v>
      </c>
    </row>
    <row r="8" spans="1:14" s="241" customFormat="1" ht="28.5" customHeight="1">
      <c r="A8" s="586" t="s">
        <v>382</v>
      </c>
      <c r="B8" s="587" t="s">
        <v>628</v>
      </c>
      <c r="C8" s="588">
        <v>0.6979166666666666</v>
      </c>
      <c r="D8" s="589" t="s">
        <v>629</v>
      </c>
      <c r="E8" s="590" t="s">
        <v>279</v>
      </c>
      <c r="F8" s="591">
        <v>15689</v>
      </c>
      <c r="G8" s="591">
        <v>80</v>
      </c>
      <c r="H8" s="592">
        <v>0</v>
      </c>
      <c r="I8" s="592">
        <v>0</v>
      </c>
      <c r="J8" s="590" t="s">
        <v>630</v>
      </c>
      <c r="K8" s="593" t="s">
        <v>524</v>
      </c>
      <c r="L8" s="592">
        <v>3</v>
      </c>
      <c r="M8" s="592">
        <v>6</v>
      </c>
      <c r="N8" s="594">
        <v>13</v>
      </c>
    </row>
    <row r="9" spans="1:14" s="241" customFormat="1" ht="28.5" customHeight="1" thickBot="1">
      <c r="A9" s="596" t="s">
        <v>382</v>
      </c>
      <c r="B9" s="597" t="s">
        <v>631</v>
      </c>
      <c r="C9" s="598">
        <v>0.5</v>
      </c>
      <c r="D9" s="599" t="s">
        <v>479</v>
      </c>
      <c r="E9" s="600" t="s">
        <v>254</v>
      </c>
      <c r="F9" s="601">
        <v>14634</v>
      </c>
      <c r="G9" s="601">
        <v>259</v>
      </c>
      <c r="H9" s="602">
        <v>0</v>
      </c>
      <c r="I9" s="602">
        <v>1</v>
      </c>
      <c r="J9" s="600" t="s">
        <v>632</v>
      </c>
      <c r="K9" s="603" t="s">
        <v>509</v>
      </c>
      <c r="L9" s="602">
        <v>0</v>
      </c>
      <c r="M9" s="602">
        <v>1</v>
      </c>
      <c r="N9" s="604">
        <v>1</v>
      </c>
    </row>
    <row r="10" spans="1:14" s="241" customFormat="1" ht="28.5" customHeight="1">
      <c r="A10" s="605" t="s">
        <v>382</v>
      </c>
      <c r="B10" s="606" t="s">
        <v>633</v>
      </c>
      <c r="C10" s="607">
        <v>0.20486111111111113</v>
      </c>
      <c r="D10" s="608" t="s">
        <v>684</v>
      </c>
      <c r="E10" s="595" t="s">
        <v>634</v>
      </c>
      <c r="F10" s="609">
        <v>75987</v>
      </c>
      <c r="G10" s="609">
        <v>488</v>
      </c>
      <c r="H10" s="610">
        <v>0</v>
      </c>
      <c r="I10" s="610">
        <v>0</v>
      </c>
      <c r="J10" s="595" t="s">
        <v>96</v>
      </c>
      <c r="K10" s="611" t="s">
        <v>523</v>
      </c>
      <c r="L10" s="610">
        <v>1</v>
      </c>
      <c r="M10" s="610">
        <v>0</v>
      </c>
      <c r="N10" s="612">
        <v>0</v>
      </c>
    </row>
    <row r="11" spans="1:14" s="241" customFormat="1" ht="28.5" customHeight="1">
      <c r="A11" s="586" t="s">
        <v>382</v>
      </c>
      <c r="B11" s="587" t="s">
        <v>635</v>
      </c>
      <c r="C11" s="588">
        <v>0.11319444444444444</v>
      </c>
      <c r="D11" s="589" t="s">
        <v>383</v>
      </c>
      <c r="E11" s="590" t="s">
        <v>700</v>
      </c>
      <c r="F11" s="591">
        <v>10692</v>
      </c>
      <c r="G11" s="591">
        <v>100</v>
      </c>
      <c r="H11" s="592">
        <v>0</v>
      </c>
      <c r="I11" s="592">
        <v>0</v>
      </c>
      <c r="J11" s="590" t="s">
        <v>636</v>
      </c>
      <c r="K11" s="593" t="s">
        <v>525</v>
      </c>
      <c r="L11" s="592">
        <v>1</v>
      </c>
      <c r="M11" s="592">
        <v>1</v>
      </c>
      <c r="N11" s="594">
        <v>1</v>
      </c>
    </row>
    <row r="12" spans="1:14" s="241" customFormat="1" ht="28.5" customHeight="1">
      <c r="A12" s="586" t="s">
        <v>382</v>
      </c>
      <c r="B12" s="587" t="s">
        <v>637</v>
      </c>
      <c r="C12" s="588">
        <v>0.17361111111111113</v>
      </c>
      <c r="D12" s="589" t="s">
        <v>629</v>
      </c>
      <c r="E12" s="590" t="s">
        <v>279</v>
      </c>
      <c r="F12" s="591">
        <v>11876</v>
      </c>
      <c r="G12" s="591">
        <v>100</v>
      </c>
      <c r="H12" s="592">
        <v>0</v>
      </c>
      <c r="I12" s="592">
        <v>5</v>
      </c>
      <c r="J12" s="590" t="s">
        <v>530</v>
      </c>
      <c r="K12" s="593" t="s">
        <v>523</v>
      </c>
      <c r="L12" s="592">
        <v>1</v>
      </c>
      <c r="M12" s="592">
        <v>1</v>
      </c>
      <c r="N12" s="594">
        <v>5</v>
      </c>
    </row>
    <row r="13" spans="1:14" s="241" customFormat="1" ht="28.5" customHeight="1">
      <c r="A13" s="586" t="s">
        <v>382</v>
      </c>
      <c r="B13" s="587" t="s">
        <v>638</v>
      </c>
      <c r="C13" s="588">
        <v>0.40625</v>
      </c>
      <c r="D13" s="608" t="s">
        <v>684</v>
      </c>
      <c r="E13" s="590" t="s">
        <v>279</v>
      </c>
      <c r="F13" s="591">
        <v>20575</v>
      </c>
      <c r="G13" s="591">
        <v>163</v>
      </c>
      <c r="H13" s="592">
        <v>0</v>
      </c>
      <c r="I13" s="592">
        <v>0</v>
      </c>
      <c r="J13" s="590" t="s">
        <v>96</v>
      </c>
      <c r="K13" s="593" t="s">
        <v>523</v>
      </c>
      <c r="L13" s="592">
        <v>0</v>
      </c>
      <c r="M13" s="592">
        <v>1</v>
      </c>
      <c r="N13" s="594">
        <v>6</v>
      </c>
    </row>
    <row r="14" spans="1:14" s="241" customFormat="1" ht="28.5" customHeight="1" thickBot="1">
      <c r="A14" s="613" t="s">
        <v>382</v>
      </c>
      <c r="B14" s="614" t="s">
        <v>639</v>
      </c>
      <c r="C14" s="615">
        <v>0.9166666666666666</v>
      </c>
      <c r="D14" s="589" t="s">
        <v>629</v>
      </c>
      <c r="E14" s="600" t="s">
        <v>279</v>
      </c>
      <c r="F14" s="616">
        <v>15044</v>
      </c>
      <c r="G14" s="616">
        <v>108</v>
      </c>
      <c r="H14" s="617">
        <v>1</v>
      </c>
      <c r="I14" s="617">
        <v>0</v>
      </c>
      <c r="J14" s="600" t="s">
        <v>640</v>
      </c>
      <c r="K14" s="618" t="s">
        <v>526</v>
      </c>
      <c r="L14" s="617">
        <v>2</v>
      </c>
      <c r="M14" s="617">
        <v>2</v>
      </c>
      <c r="N14" s="619">
        <v>3</v>
      </c>
    </row>
    <row r="15" spans="1:14" s="241" customFormat="1" ht="28.5" customHeight="1">
      <c r="A15" s="577" t="s">
        <v>382</v>
      </c>
      <c r="B15" s="578" t="s">
        <v>641</v>
      </c>
      <c r="C15" s="579">
        <v>0.0625</v>
      </c>
      <c r="D15" s="580" t="s">
        <v>642</v>
      </c>
      <c r="E15" s="595" t="s">
        <v>279</v>
      </c>
      <c r="F15" s="582">
        <v>11851</v>
      </c>
      <c r="G15" s="582">
        <v>252</v>
      </c>
      <c r="H15" s="583">
        <v>0</v>
      </c>
      <c r="I15" s="583">
        <v>0</v>
      </c>
      <c r="J15" s="595" t="s">
        <v>96</v>
      </c>
      <c r="K15" s="584" t="s">
        <v>527</v>
      </c>
      <c r="L15" s="583">
        <v>1</v>
      </c>
      <c r="M15" s="583">
        <v>1</v>
      </c>
      <c r="N15" s="585">
        <v>3</v>
      </c>
    </row>
    <row r="16" spans="1:14" s="241" customFormat="1" ht="28.5" customHeight="1">
      <c r="A16" s="586" t="s">
        <v>382</v>
      </c>
      <c r="B16" s="587" t="s">
        <v>643</v>
      </c>
      <c r="C16" s="588">
        <v>0.513888888888889</v>
      </c>
      <c r="D16" s="589" t="s">
        <v>384</v>
      </c>
      <c r="E16" s="590" t="s">
        <v>255</v>
      </c>
      <c r="F16" s="591">
        <v>12121</v>
      </c>
      <c r="G16" s="591">
        <v>79</v>
      </c>
      <c r="H16" s="592">
        <v>0</v>
      </c>
      <c r="I16" s="592">
        <v>0</v>
      </c>
      <c r="J16" s="590" t="s">
        <v>96</v>
      </c>
      <c r="K16" s="593" t="s">
        <v>523</v>
      </c>
      <c r="L16" s="592">
        <v>0</v>
      </c>
      <c r="M16" s="592">
        <v>1</v>
      </c>
      <c r="N16" s="594">
        <v>2</v>
      </c>
    </row>
    <row r="17" spans="1:14" s="241" customFormat="1" ht="28.5" customHeight="1">
      <c r="A17" s="586" t="s">
        <v>382</v>
      </c>
      <c r="B17" s="587" t="s">
        <v>644</v>
      </c>
      <c r="C17" s="588">
        <v>0.7430555555555555</v>
      </c>
      <c r="D17" s="589" t="s">
        <v>120</v>
      </c>
      <c r="E17" s="590" t="s">
        <v>279</v>
      </c>
      <c r="F17" s="591">
        <v>12348</v>
      </c>
      <c r="G17" s="591">
        <v>200</v>
      </c>
      <c r="H17" s="592">
        <v>0</v>
      </c>
      <c r="I17" s="592">
        <v>1</v>
      </c>
      <c r="J17" s="590" t="s">
        <v>530</v>
      </c>
      <c r="K17" s="593" t="s">
        <v>523</v>
      </c>
      <c r="L17" s="592">
        <v>0</v>
      </c>
      <c r="M17" s="592">
        <v>1</v>
      </c>
      <c r="N17" s="594">
        <v>1</v>
      </c>
    </row>
    <row r="18" spans="1:14" s="241" customFormat="1" ht="28.5" customHeight="1">
      <c r="A18" s="586" t="s">
        <v>382</v>
      </c>
      <c r="B18" s="587" t="s">
        <v>610</v>
      </c>
      <c r="C18" s="588">
        <v>0.10416666666666667</v>
      </c>
      <c r="D18" s="589" t="s">
        <v>384</v>
      </c>
      <c r="E18" s="590" t="s">
        <v>279</v>
      </c>
      <c r="F18" s="591">
        <v>23670</v>
      </c>
      <c r="G18" s="591">
        <v>155</v>
      </c>
      <c r="H18" s="592">
        <v>1</v>
      </c>
      <c r="I18" s="592">
        <v>2</v>
      </c>
      <c r="J18" s="590" t="s">
        <v>96</v>
      </c>
      <c r="K18" s="593" t="s">
        <v>526</v>
      </c>
      <c r="L18" s="592">
        <v>1</v>
      </c>
      <c r="M18" s="592">
        <v>1</v>
      </c>
      <c r="N18" s="594">
        <v>6</v>
      </c>
    </row>
    <row r="19" spans="1:14" s="241" customFormat="1" ht="28.5" customHeight="1" thickBot="1">
      <c r="A19" s="596" t="s">
        <v>382</v>
      </c>
      <c r="B19" s="597" t="s">
        <v>696</v>
      </c>
      <c r="C19" s="598">
        <v>0.4513888888888889</v>
      </c>
      <c r="D19" s="599" t="s">
        <v>113</v>
      </c>
      <c r="E19" s="600" t="s">
        <v>279</v>
      </c>
      <c r="F19" s="601">
        <v>17651</v>
      </c>
      <c r="G19" s="601">
        <v>159</v>
      </c>
      <c r="H19" s="602">
        <v>0</v>
      </c>
      <c r="I19" s="602">
        <v>0</v>
      </c>
      <c r="J19" s="600" t="s">
        <v>96</v>
      </c>
      <c r="K19" s="603" t="s">
        <v>528</v>
      </c>
      <c r="L19" s="602">
        <v>0</v>
      </c>
      <c r="M19" s="602">
        <v>1</v>
      </c>
      <c r="N19" s="604">
        <v>6</v>
      </c>
    </row>
    <row r="20" spans="1:14" s="241" customFormat="1" ht="28.5" customHeight="1">
      <c r="A20" s="605" t="s">
        <v>382</v>
      </c>
      <c r="B20" s="606" t="s">
        <v>645</v>
      </c>
      <c r="C20" s="607">
        <v>0.875</v>
      </c>
      <c r="D20" s="608" t="s">
        <v>116</v>
      </c>
      <c r="E20" s="595" t="s">
        <v>138</v>
      </c>
      <c r="F20" s="609">
        <v>62228</v>
      </c>
      <c r="G20" s="609">
        <v>380</v>
      </c>
      <c r="H20" s="610">
        <v>0</v>
      </c>
      <c r="I20" s="610">
        <v>1</v>
      </c>
      <c r="J20" s="595" t="s">
        <v>96</v>
      </c>
      <c r="K20" s="611" t="s">
        <v>523</v>
      </c>
      <c r="L20" s="610">
        <v>0</v>
      </c>
      <c r="M20" s="610">
        <v>0</v>
      </c>
      <c r="N20" s="612">
        <v>0</v>
      </c>
    </row>
    <row r="21" spans="1:14" s="241" customFormat="1" ht="28.5" customHeight="1">
      <c r="A21" s="586" t="s">
        <v>382</v>
      </c>
      <c r="B21" s="587" t="s">
        <v>698</v>
      </c>
      <c r="C21" s="588">
        <v>0.10069444444444443</v>
      </c>
      <c r="D21" s="589" t="s">
        <v>386</v>
      </c>
      <c r="E21" s="590" t="s">
        <v>279</v>
      </c>
      <c r="F21" s="591">
        <v>10490</v>
      </c>
      <c r="G21" s="591">
        <v>109</v>
      </c>
      <c r="H21" s="592">
        <v>0</v>
      </c>
      <c r="I21" s="592">
        <v>0</v>
      </c>
      <c r="J21" s="590" t="s">
        <v>96</v>
      </c>
      <c r="K21" s="593" t="s">
        <v>523</v>
      </c>
      <c r="L21" s="592">
        <v>2</v>
      </c>
      <c r="M21" s="592">
        <v>3</v>
      </c>
      <c r="N21" s="594">
        <v>2</v>
      </c>
    </row>
    <row r="22" spans="1:14" s="241" customFormat="1" ht="28.5" customHeight="1">
      <c r="A22" s="586" t="s">
        <v>388</v>
      </c>
      <c r="B22" s="587" t="s">
        <v>646</v>
      </c>
      <c r="C22" s="588">
        <v>0.6597222222222222</v>
      </c>
      <c r="D22" s="608" t="s">
        <v>684</v>
      </c>
      <c r="E22" s="590" t="s">
        <v>647</v>
      </c>
      <c r="F22" s="591">
        <v>47808</v>
      </c>
      <c r="G22" s="591"/>
      <c r="H22" s="592">
        <v>0</v>
      </c>
      <c r="I22" s="592">
        <v>0</v>
      </c>
      <c r="J22" s="590" t="s">
        <v>648</v>
      </c>
      <c r="K22" s="593" t="s">
        <v>512</v>
      </c>
      <c r="L22" s="592">
        <v>0</v>
      </c>
      <c r="M22" s="592">
        <v>0</v>
      </c>
      <c r="N22" s="594">
        <v>0</v>
      </c>
    </row>
    <row r="23" spans="1:14" s="241" customFormat="1" ht="28.5" customHeight="1">
      <c r="A23" s="586" t="s">
        <v>382</v>
      </c>
      <c r="B23" s="587" t="s">
        <v>649</v>
      </c>
      <c r="C23" s="588">
        <v>0.7986111111111112</v>
      </c>
      <c r="D23" s="589" t="s">
        <v>120</v>
      </c>
      <c r="E23" s="590" t="s">
        <v>279</v>
      </c>
      <c r="F23" s="591">
        <v>25097</v>
      </c>
      <c r="G23" s="591">
        <v>175</v>
      </c>
      <c r="H23" s="592">
        <v>0</v>
      </c>
      <c r="I23" s="592">
        <v>0</v>
      </c>
      <c r="J23" s="590" t="s">
        <v>96</v>
      </c>
      <c r="K23" s="593" t="s">
        <v>523</v>
      </c>
      <c r="L23" s="592">
        <v>0</v>
      </c>
      <c r="M23" s="592">
        <v>1</v>
      </c>
      <c r="N23" s="594">
        <v>2</v>
      </c>
    </row>
    <row r="24" spans="1:14" s="241" customFormat="1" ht="28.5" customHeight="1" thickBot="1">
      <c r="A24" s="596" t="s">
        <v>382</v>
      </c>
      <c r="B24" s="597" t="s">
        <v>650</v>
      </c>
      <c r="C24" s="598">
        <v>0.8854166666666666</v>
      </c>
      <c r="D24" s="599" t="s">
        <v>103</v>
      </c>
      <c r="E24" s="600" t="s">
        <v>651</v>
      </c>
      <c r="F24" s="601">
        <v>47904</v>
      </c>
      <c r="G24" s="601">
        <v>464</v>
      </c>
      <c r="H24" s="602">
        <v>0</v>
      </c>
      <c r="I24" s="602">
        <v>0</v>
      </c>
      <c r="J24" s="600" t="s">
        <v>96</v>
      </c>
      <c r="K24" s="603" t="s">
        <v>523</v>
      </c>
      <c r="L24" s="602">
        <v>1</v>
      </c>
      <c r="M24" s="602">
        <v>0</v>
      </c>
      <c r="N24" s="604">
        <v>1</v>
      </c>
    </row>
    <row r="25" spans="1:14" s="241" customFormat="1" ht="28.5" customHeight="1">
      <c r="A25" s="605" t="s">
        <v>382</v>
      </c>
      <c r="B25" s="606" t="s">
        <v>652</v>
      </c>
      <c r="C25" s="607">
        <v>0.8715277777777778</v>
      </c>
      <c r="D25" s="608" t="s">
        <v>629</v>
      </c>
      <c r="E25" s="595" t="s">
        <v>279</v>
      </c>
      <c r="F25" s="609">
        <v>22871</v>
      </c>
      <c r="G25" s="609">
        <v>206</v>
      </c>
      <c r="H25" s="610">
        <v>0</v>
      </c>
      <c r="I25" s="610">
        <v>7</v>
      </c>
      <c r="J25" s="595" t="s">
        <v>576</v>
      </c>
      <c r="K25" s="611" t="s">
        <v>523</v>
      </c>
      <c r="L25" s="610">
        <v>7</v>
      </c>
      <c r="M25" s="610">
        <v>4</v>
      </c>
      <c r="N25" s="612">
        <v>18</v>
      </c>
    </row>
    <row r="26" spans="1:14" s="241" customFormat="1" ht="28.5" customHeight="1">
      <c r="A26" s="586" t="s">
        <v>382</v>
      </c>
      <c r="B26" s="587" t="s">
        <v>653</v>
      </c>
      <c r="C26" s="588">
        <v>0.10416666666666667</v>
      </c>
      <c r="D26" s="589" t="s">
        <v>386</v>
      </c>
      <c r="E26" s="590" t="s">
        <v>279</v>
      </c>
      <c r="F26" s="591">
        <v>22901</v>
      </c>
      <c r="G26" s="591">
        <v>91</v>
      </c>
      <c r="H26" s="592">
        <v>1</v>
      </c>
      <c r="I26" s="592">
        <v>1</v>
      </c>
      <c r="J26" s="590" t="s">
        <v>96</v>
      </c>
      <c r="K26" s="593" t="s">
        <v>513</v>
      </c>
      <c r="L26" s="592">
        <v>1</v>
      </c>
      <c r="M26" s="592">
        <v>2</v>
      </c>
      <c r="N26" s="594">
        <v>3</v>
      </c>
    </row>
    <row r="27" spans="1:14" s="241" customFormat="1" ht="28.5" customHeight="1">
      <c r="A27" s="586" t="s">
        <v>382</v>
      </c>
      <c r="B27" s="587" t="s">
        <v>654</v>
      </c>
      <c r="C27" s="588">
        <v>0.8125</v>
      </c>
      <c r="D27" s="589" t="s">
        <v>629</v>
      </c>
      <c r="E27" s="590" t="s">
        <v>279</v>
      </c>
      <c r="F27" s="591">
        <v>12322</v>
      </c>
      <c r="G27" s="591">
        <v>81</v>
      </c>
      <c r="H27" s="592">
        <v>1</v>
      </c>
      <c r="I27" s="592">
        <v>0</v>
      </c>
      <c r="J27" s="590" t="s">
        <v>96</v>
      </c>
      <c r="K27" s="593" t="s">
        <v>526</v>
      </c>
      <c r="L27" s="592">
        <v>6</v>
      </c>
      <c r="M27" s="592">
        <v>5</v>
      </c>
      <c r="N27" s="594">
        <v>10</v>
      </c>
    </row>
    <row r="28" spans="1:14" s="241" customFormat="1" ht="28.5" customHeight="1">
      <c r="A28" s="586" t="s">
        <v>382</v>
      </c>
      <c r="B28" s="587" t="s">
        <v>655</v>
      </c>
      <c r="C28" s="588">
        <v>0.7395833333333334</v>
      </c>
      <c r="D28" s="589" t="s">
        <v>386</v>
      </c>
      <c r="E28" s="590" t="s">
        <v>634</v>
      </c>
      <c r="F28" s="591">
        <v>23320</v>
      </c>
      <c r="G28" s="591">
        <v>371</v>
      </c>
      <c r="H28" s="592">
        <v>0</v>
      </c>
      <c r="I28" s="592">
        <v>0</v>
      </c>
      <c r="J28" s="620" t="s">
        <v>531</v>
      </c>
      <c r="K28" s="593" t="s">
        <v>514</v>
      </c>
      <c r="L28" s="592">
        <v>0</v>
      </c>
      <c r="M28" s="592">
        <v>1</v>
      </c>
      <c r="N28" s="594">
        <v>2</v>
      </c>
    </row>
    <row r="29" spans="1:14" s="241" customFormat="1" ht="28.5" customHeight="1" thickBot="1">
      <c r="A29" s="596" t="s">
        <v>382</v>
      </c>
      <c r="B29" s="597" t="s">
        <v>656</v>
      </c>
      <c r="C29" s="598">
        <v>0.6319444444444444</v>
      </c>
      <c r="D29" s="599" t="s">
        <v>108</v>
      </c>
      <c r="E29" s="600" t="s">
        <v>279</v>
      </c>
      <c r="F29" s="601">
        <v>12015</v>
      </c>
      <c r="G29" s="601">
        <v>129</v>
      </c>
      <c r="H29" s="602">
        <v>0</v>
      </c>
      <c r="I29" s="602">
        <v>0</v>
      </c>
      <c r="J29" s="600" t="s">
        <v>657</v>
      </c>
      <c r="K29" s="603" t="s">
        <v>529</v>
      </c>
      <c r="L29" s="602">
        <v>0</v>
      </c>
      <c r="M29" s="602">
        <v>1</v>
      </c>
      <c r="N29" s="604">
        <v>2</v>
      </c>
    </row>
    <row r="30" spans="1:11" s="241" customFormat="1" ht="20.25" customHeight="1">
      <c r="A30" s="242"/>
      <c r="B30" s="242"/>
      <c r="C30" s="242"/>
      <c r="D30" s="242"/>
      <c r="E30" s="242"/>
      <c r="F30" s="243"/>
      <c r="G30" s="243"/>
      <c r="J30" s="242"/>
      <c r="K30" s="242"/>
    </row>
    <row r="31" spans="1:11" s="241" customFormat="1" ht="20.25" customHeight="1">
      <c r="A31" s="242"/>
      <c r="B31" s="242"/>
      <c r="C31" s="242"/>
      <c r="D31" s="242"/>
      <c r="E31" s="242"/>
      <c r="F31" s="243"/>
      <c r="G31" s="243"/>
      <c r="J31" s="242"/>
      <c r="K31" s="242"/>
    </row>
    <row r="32" spans="1:11" s="241" customFormat="1" ht="20.25" customHeight="1">
      <c r="A32" s="242"/>
      <c r="B32" s="242"/>
      <c r="C32" s="242"/>
      <c r="D32" s="242"/>
      <c r="E32" s="242"/>
      <c r="F32" s="243"/>
      <c r="G32" s="243"/>
      <c r="J32" s="242"/>
      <c r="K32" s="242"/>
    </row>
    <row r="33" spans="1:11" s="241" customFormat="1" ht="12">
      <c r="A33" s="242"/>
      <c r="B33" s="242"/>
      <c r="C33" s="242"/>
      <c r="D33" s="242"/>
      <c r="E33" s="242"/>
      <c r="F33" s="243"/>
      <c r="G33" s="243"/>
      <c r="J33" s="242"/>
      <c r="K33" s="242"/>
    </row>
    <row r="34" spans="1:11" s="241" customFormat="1" ht="12">
      <c r="A34" s="242"/>
      <c r="B34" s="242"/>
      <c r="C34" s="242"/>
      <c r="D34" s="242"/>
      <c r="E34" s="242"/>
      <c r="F34" s="243"/>
      <c r="G34" s="243"/>
      <c r="J34" s="242"/>
      <c r="K34" s="242"/>
    </row>
    <row r="35" spans="1:11" s="241" customFormat="1" ht="12">
      <c r="A35" s="242"/>
      <c r="B35" s="242"/>
      <c r="C35" s="242"/>
      <c r="D35" s="242"/>
      <c r="E35" s="242"/>
      <c r="F35" s="243"/>
      <c r="G35" s="243"/>
      <c r="J35" s="242"/>
      <c r="K35" s="242"/>
    </row>
    <row r="36" spans="1:11" s="241" customFormat="1" ht="12">
      <c r="A36" s="242"/>
      <c r="B36" s="242"/>
      <c r="C36" s="242"/>
      <c r="D36" s="242"/>
      <c r="E36" s="242"/>
      <c r="F36" s="243"/>
      <c r="G36" s="243"/>
      <c r="J36" s="242"/>
      <c r="K36" s="242"/>
    </row>
    <row r="37" spans="1:11" s="241" customFormat="1" ht="12">
      <c r="A37" s="242"/>
      <c r="B37" s="242"/>
      <c r="C37" s="242"/>
      <c r="D37" s="242"/>
      <c r="E37" s="242"/>
      <c r="F37" s="243"/>
      <c r="G37" s="243"/>
      <c r="J37" s="242"/>
      <c r="K37" s="242"/>
    </row>
    <row r="38" spans="1:11" s="241" customFormat="1" ht="12">
      <c r="A38" s="242"/>
      <c r="B38" s="242"/>
      <c r="C38" s="242"/>
      <c r="D38" s="242"/>
      <c r="E38" s="242"/>
      <c r="F38" s="243"/>
      <c r="G38" s="243"/>
      <c r="J38" s="242"/>
      <c r="K38" s="242"/>
    </row>
    <row r="39" spans="1:11" s="241" customFormat="1" ht="12">
      <c r="A39" s="242"/>
      <c r="B39" s="242"/>
      <c r="C39" s="242"/>
      <c r="D39" s="242"/>
      <c r="E39" s="242"/>
      <c r="F39" s="243"/>
      <c r="G39" s="243"/>
      <c r="J39" s="242"/>
      <c r="K39" s="242"/>
    </row>
    <row r="40" spans="1:11" s="241" customFormat="1" ht="12">
      <c r="A40" s="242"/>
      <c r="B40" s="242"/>
      <c r="C40" s="242"/>
      <c r="D40" s="242"/>
      <c r="E40" s="242"/>
      <c r="F40" s="243"/>
      <c r="G40" s="243"/>
      <c r="J40" s="242"/>
      <c r="K40" s="242"/>
    </row>
    <row r="41" spans="1:11" s="241" customFormat="1" ht="12">
      <c r="A41" s="242"/>
      <c r="B41" s="242"/>
      <c r="C41" s="242"/>
      <c r="D41" s="242"/>
      <c r="E41" s="242"/>
      <c r="F41" s="243"/>
      <c r="G41" s="243"/>
      <c r="J41" s="242"/>
      <c r="K41" s="242"/>
    </row>
    <row r="42" spans="1:11" s="241" customFormat="1" ht="12">
      <c r="A42" s="242"/>
      <c r="B42" s="242"/>
      <c r="C42" s="242"/>
      <c r="D42" s="242"/>
      <c r="E42" s="242"/>
      <c r="F42" s="243"/>
      <c r="G42" s="243"/>
      <c r="J42" s="242"/>
      <c r="K42" s="242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U29" sqref="U29"/>
    </sheetView>
  </sheetViews>
  <sheetFormatPr defaultColWidth="9.00390625" defaultRowHeight="13.5"/>
  <cols>
    <col min="1" max="1" width="8.75390625" style="232" customWidth="1"/>
    <col min="2" max="2" width="5.875" style="47" customWidth="1"/>
    <col min="3" max="3" width="9.125" style="47" customWidth="1"/>
    <col min="4" max="4" width="12.125" style="47" customWidth="1"/>
    <col min="5" max="5" width="11.00390625" style="47" bestFit="1" customWidth="1"/>
    <col min="6" max="6" width="11.00390625" style="47" customWidth="1"/>
    <col min="7" max="7" width="7.75390625" style="47" customWidth="1"/>
    <col min="8" max="8" width="6.00390625" style="47" customWidth="1"/>
    <col min="9" max="9" width="4.625" style="47" customWidth="1"/>
    <col min="10" max="10" width="7.75390625" style="47" customWidth="1"/>
    <col min="11" max="11" width="5.625" style="47" customWidth="1"/>
    <col min="12" max="12" width="4.50390625" style="47" customWidth="1"/>
    <col min="13" max="13" width="16.375" style="47" customWidth="1"/>
    <col min="14" max="14" width="4.375" style="47" customWidth="1"/>
    <col min="15" max="16" width="3.125" style="47" customWidth="1"/>
    <col min="17" max="17" width="12.75390625" style="47" customWidth="1"/>
    <col min="18" max="19" width="7.25390625" style="47" customWidth="1"/>
    <col min="20" max="20" width="9.125" style="47" customWidth="1"/>
    <col min="21" max="21" width="27.00390625" style="47" customWidth="1"/>
    <col min="22" max="16384" width="9.00390625" style="47" customWidth="1"/>
  </cols>
  <sheetData>
    <row r="1" spans="1:21" s="176" customFormat="1" ht="20.25" customHeight="1">
      <c r="A1" s="855" t="s">
        <v>557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6" t="s">
        <v>518</v>
      </c>
      <c r="N1" s="856"/>
      <c r="O1" s="856"/>
      <c r="P1" s="856"/>
      <c r="Q1" s="856"/>
      <c r="R1" s="856"/>
      <c r="S1" s="856"/>
      <c r="T1" s="856"/>
      <c r="U1" s="856"/>
    </row>
    <row r="2" ht="9" customHeight="1" thickBot="1"/>
    <row r="3" spans="1:21" ht="21.75" customHeight="1">
      <c r="A3" s="857" t="s">
        <v>268</v>
      </c>
      <c r="B3" s="851" t="s">
        <v>280</v>
      </c>
      <c r="C3" s="859" t="s">
        <v>270</v>
      </c>
      <c r="D3" s="851" t="s">
        <v>267</v>
      </c>
      <c r="E3" s="861" t="s">
        <v>281</v>
      </c>
      <c r="F3" s="862"/>
      <c r="G3" s="862"/>
      <c r="H3" s="862"/>
      <c r="I3" s="862"/>
      <c r="J3" s="862"/>
      <c r="K3" s="862"/>
      <c r="L3" s="863"/>
      <c r="M3" s="851" t="s">
        <v>275</v>
      </c>
      <c r="N3" s="864" t="s">
        <v>150</v>
      </c>
      <c r="O3" s="849" t="s">
        <v>282</v>
      </c>
      <c r="P3" s="849" t="s">
        <v>283</v>
      </c>
      <c r="Q3" s="851" t="s">
        <v>284</v>
      </c>
      <c r="R3" s="853" t="s">
        <v>519</v>
      </c>
      <c r="S3" s="854"/>
      <c r="T3" s="851" t="s">
        <v>285</v>
      </c>
      <c r="U3" s="847" t="s">
        <v>286</v>
      </c>
    </row>
    <row r="4" spans="1:21" ht="50.25" customHeight="1" thickBot="1">
      <c r="A4" s="858"/>
      <c r="B4" s="852"/>
      <c r="C4" s="860"/>
      <c r="D4" s="852"/>
      <c r="E4" s="430" t="s">
        <v>287</v>
      </c>
      <c r="F4" s="429" t="s">
        <v>520</v>
      </c>
      <c r="G4" s="429" t="s">
        <v>517</v>
      </c>
      <c r="H4" s="429" t="s">
        <v>415</v>
      </c>
      <c r="I4" s="429" t="s">
        <v>288</v>
      </c>
      <c r="J4" s="429" t="s">
        <v>289</v>
      </c>
      <c r="K4" s="429" t="s">
        <v>290</v>
      </c>
      <c r="L4" s="429" t="s">
        <v>291</v>
      </c>
      <c r="M4" s="852"/>
      <c r="N4" s="865"/>
      <c r="O4" s="850"/>
      <c r="P4" s="850"/>
      <c r="Q4" s="852"/>
      <c r="R4" s="429" t="s">
        <v>521</v>
      </c>
      <c r="S4" s="429" t="s">
        <v>414</v>
      </c>
      <c r="T4" s="852"/>
      <c r="U4" s="848"/>
    </row>
    <row r="5" spans="1:21" s="233" customFormat="1" ht="23.25" customHeight="1">
      <c r="A5" s="423" t="s">
        <v>570</v>
      </c>
      <c r="B5" s="424">
        <v>0.6180555555555556</v>
      </c>
      <c r="C5" s="425" t="s">
        <v>567</v>
      </c>
      <c r="D5" s="556" t="s">
        <v>172</v>
      </c>
      <c r="E5" s="561" t="s">
        <v>254</v>
      </c>
      <c r="F5" s="561" t="s">
        <v>484</v>
      </c>
      <c r="G5" s="421" t="s">
        <v>413</v>
      </c>
      <c r="H5" s="428">
        <v>2</v>
      </c>
      <c r="I5" s="421">
        <v>108</v>
      </c>
      <c r="J5" s="426" t="s">
        <v>487</v>
      </c>
      <c r="K5" s="426" t="s">
        <v>568</v>
      </c>
      <c r="L5" s="421">
        <v>108</v>
      </c>
      <c r="M5" s="425" t="s">
        <v>96</v>
      </c>
      <c r="N5" s="421">
        <v>0</v>
      </c>
      <c r="O5" s="421">
        <v>64</v>
      </c>
      <c r="P5" s="421" t="s">
        <v>507</v>
      </c>
      <c r="Q5" s="421" t="s">
        <v>506</v>
      </c>
      <c r="R5" s="421" t="s">
        <v>96</v>
      </c>
      <c r="S5" s="421" t="s">
        <v>96</v>
      </c>
      <c r="T5" s="421" t="s">
        <v>486</v>
      </c>
      <c r="U5" s="565" t="s">
        <v>496</v>
      </c>
    </row>
    <row r="6" spans="1:21" s="233" customFormat="1" ht="23.25" customHeight="1">
      <c r="A6" s="414" t="s">
        <v>571</v>
      </c>
      <c r="B6" s="416">
        <v>0.2881944444444445</v>
      </c>
      <c r="C6" s="417" t="s">
        <v>515</v>
      </c>
      <c r="D6" s="557" t="s">
        <v>483</v>
      </c>
      <c r="E6" s="464"/>
      <c r="F6" s="464"/>
      <c r="G6" s="415"/>
      <c r="H6" s="420"/>
      <c r="I6" s="415"/>
      <c r="J6" s="418" t="s">
        <v>569</v>
      </c>
      <c r="K6" s="418"/>
      <c r="L6" s="415"/>
      <c r="M6" s="417" t="s">
        <v>694</v>
      </c>
      <c r="N6" s="415">
        <v>0</v>
      </c>
      <c r="O6" s="415">
        <v>56</v>
      </c>
      <c r="P6" s="415" t="s">
        <v>507</v>
      </c>
      <c r="Q6" s="415" t="s">
        <v>504</v>
      </c>
      <c r="R6" s="415" t="s">
        <v>502</v>
      </c>
      <c r="S6" s="415" t="s">
        <v>96</v>
      </c>
      <c r="T6" s="415" t="s">
        <v>491</v>
      </c>
      <c r="U6" s="566" t="s">
        <v>494</v>
      </c>
    </row>
    <row r="7" spans="1:21" s="233" customFormat="1" ht="23.25" customHeight="1">
      <c r="A7" s="414" t="s">
        <v>572</v>
      </c>
      <c r="B7" s="416">
        <v>0.06944444444444443</v>
      </c>
      <c r="C7" s="415" t="s">
        <v>573</v>
      </c>
      <c r="D7" s="557" t="s">
        <v>172</v>
      </c>
      <c r="E7" s="464" t="s">
        <v>254</v>
      </c>
      <c r="F7" s="464" t="s">
        <v>484</v>
      </c>
      <c r="G7" s="415" t="s">
        <v>412</v>
      </c>
      <c r="H7" s="420">
        <v>1</v>
      </c>
      <c r="I7" s="415">
        <v>167</v>
      </c>
      <c r="J7" s="418" t="s">
        <v>487</v>
      </c>
      <c r="K7" s="418" t="s">
        <v>141</v>
      </c>
      <c r="L7" s="415">
        <v>167</v>
      </c>
      <c r="M7" s="417" t="s">
        <v>96</v>
      </c>
      <c r="N7" s="415">
        <v>0</v>
      </c>
      <c r="O7" s="415">
        <v>87</v>
      </c>
      <c r="P7" s="415" t="s">
        <v>508</v>
      </c>
      <c r="Q7" s="421" t="s">
        <v>96</v>
      </c>
      <c r="R7" s="415" t="s">
        <v>96</v>
      </c>
      <c r="S7" s="419" t="s">
        <v>96</v>
      </c>
      <c r="T7" s="415" t="s">
        <v>486</v>
      </c>
      <c r="U7" s="566" t="s">
        <v>496</v>
      </c>
    </row>
    <row r="8" spans="1:21" s="233" customFormat="1" ht="23.25" customHeight="1">
      <c r="A8" s="414" t="s">
        <v>572</v>
      </c>
      <c r="B8" s="416">
        <v>0.06944444444444443</v>
      </c>
      <c r="C8" s="415" t="s">
        <v>573</v>
      </c>
      <c r="D8" s="557" t="s">
        <v>172</v>
      </c>
      <c r="E8" s="464" t="s">
        <v>254</v>
      </c>
      <c r="F8" s="464" t="s">
        <v>484</v>
      </c>
      <c r="G8" s="422" t="s">
        <v>412</v>
      </c>
      <c r="H8" s="420">
        <v>1</v>
      </c>
      <c r="I8" s="415">
        <v>167</v>
      </c>
      <c r="J8" s="418" t="s">
        <v>487</v>
      </c>
      <c r="K8" s="418" t="s">
        <v>141</v>
      </c>
      <c r="L8" s="415">
        <v>167</v>
      </c>
      <c r="M8" s="417" t="s">
        <v>96</v>
      </c>
      <c r="N8" s="415">
        <v>0</v>
      </c>
      <c r="O8" s="415">
        <v>63</v>
      </c>
      <c r="P8" s="415" t="s">
        <v>508</v>
      </c>
      <c r="Q8" s="421" t="s">
        <v>96</v>
      </c>
      <c r="R8" s="415" t="s">
        <v>96</v>
      </c>
      <c r="S8" s="419" t="s">
        <v>96</v>
      </c>
      <c r="T8" s="415" t="s">
        <v>486</v>
      </c>
      <c r="U8" s="566" t="s">
        <v>496</v>
      </c>
    </row>
    <row r="9" spans="1:21" s="233" customFormat="1" ht="23.25" customHeight="1">
      <c r="A9" s="414" t="s">
        <v>574</v>
      </c>
      <c r="B9" s="416">
        <v>0.14930555555555555</v>
      </c>
      <c r="C9" s="417" t="s">
        <v>575</v>
      </c>
      <c r="D9" s="557" t="s">
        <v>172</v>
      </c>
      <c r="E9" s="562" t="s">
        <v>255</v>
      </c>
      <c r="F9" s="464" t="s">
        <v>484</v>
      </c>
      <c r="G9" s="415" t="s">
        <v>413</v>
      </c>
      <c r="H9" s="420">
        <v>2</v>
      </c>
      <c r="I9" s="415">
        <v>166</v>
      </c>
      <c r="J9" s="418" t="s">
        <v>485</v>
      </c>
      <c r="K9" s="418" t="s">
        <v>490</v>
      </c>
      <c r="L9" s="415">
        <v>20</v>
      </c>
      <c r="M9" s="417" t="s">
        <v>576</v>
      </c>
      <c r="N9" s="415">
        <v>0</v>
      </c>
      <c r="O9" s="415">
        <v>60</v>
      </c>
      <c r="P9" s="415" t="s">
        <v>507</v>
      </c>
      <c r="Q9" s="415" t="s">
        <v>505</v>
      </c>
      <c r="R9" s="415" t="s">
        <v>502</v>
      </c>
      <c r="S9" s="419" t="s">
        <v>96</v>
      </c>
      <c r="T9" s="415" t="s">
        <v>492</v>
      </c>
      <c r="U9" s="566" t="s">
        <v>577</v>
      </c>
    </row>
    <row r="10" spans="1:21" s="233" customFormat="1" ht="23.25" customHeight="1">
      <c r="A10" s="414" t="s">
        <v>574</v>
      </c>
      <c r="B10" s="415" t="s">
        <v>481</v>
      </c>
      <c r="C10" s="415" t="s">
        <v>385</v>
      </c>
      <c r="D10" s="557" t="s">
        <v>172</v>
      </c>
      <c r="E10" s="464" t="s">
        <v>254</v>
      </c>
      <c r="F10" s="464" t="s">
        <v>484</v>
      </c>
      <c r="G10" s="415" t="s">
        <v>413</v>
      </c>
      <c r="H10" s="420">
        <v>2</v>
      </c>
      <c r="I10" s="415">
        <v>135</v>
      </c>
      <c r="J10" s="418" t="s">
        <v>485</v>
      </c>
      <c r="K10" s="418" t="s">
        <v>141</v>
      </c>
      <c r="L10" s="415">
        <v>85</v>
      </c>
      <c r="M10" s="417" t="s">
        <v>695</v>
      </c>
      <c r="N10" s="415">
        <v>0</v>
      </c>
      <c r="O10" s="415">
        <v>96</v>
      </c>
      <c r="P10" s="415" t="s">
        <v>508</v>
      </c>
      <c r="Q10" s="415" t="s">
        <v>505</v>
      </c>
      <c r="R10" s="415" t="s">
        <v>503</v>
      </c>
      <c r="S10" s="419" t="s">
        <v>501</v>
      </c>
      <c r="T10" s="415" t="s">
        <v>486</v>
      </c>
      <c r="U10" s="566" t="s">
        <v>496</v>
      </c>
    </row>
    <row r="11" spans="1:21" s="233" customFormat="1" ht="23.25" customHeight="1">
      <c r="A11" s="414" t="s">
        <v>482</v>
      </c>
      <c r="B11" s="416">
        <v>0.3541666666666667</v>
      </c>
      <c r="C11" s="415" t="s">
        <v>105</v>
      </c>
      <c r="D11" s="557" t="s">
        <v>172</v>
      </c>
      <c r="E11" s="464" t="s">
        <v>254</v>
      </c>
      <c r="F11" s="464" t="s">
        <v>484</v>
      </c>
      <c r="G11" s="422" t="s">
        <v>412</v>
      </c>
      <c r="H11" s="420">
        <v>1</v>
      </c>
      <c r="I11" s="415">
        <v>98</v>
      </c>
      <c r="J11" s="418" t="s">
        <v>485</v>
      </c>
      <c r="K11" s="418" t="s">
        <v>141</v>
      </c>
      <c r="L11" s="415">
        <v>98</v>
      </c>
      <c r="M11" s="417" t="s">
        <v>96</v>
      </c>
      <c r="N11" s="415">
        <v>1</v>
      </c>
      <c r="O11" s="415">
        <v>74</v>
      </c>
      <c r="P11" s="415" t="s">
        <v>508</v>
      </c>
      <c r="Q11" s="415" t="s">
        <v>505</v>
      </c>
      <c r="R11" s="415" t="s">
        <v>96</v>
      </c>
      <c r="S11" s="419" t="s">
        <v>96</v>
      </c>
      <c r="T11" s="415" t="s">
        <v>486</v>
      </c>
      <c r="U11" s="566" t="s">
        <v>496</v>
      </c>
    </row>
    <row r="12" spans="1:21" s="233" customFormat="1" ht="23.25" customHeight="1">
      <c r="A12" s="414" t="s">
        <v>578</v>
      </c>
      <c r="B12" s="416">
        <v>0.75</v>
      </c>
      <c r="C12" s="417" t="s">
        <v>102</v>
      </c>
      <c r="D12" s="557" t="s">
        <v>483</v>
      </c>
      <c r="E12" s="464"/>
      <c r="F12" s="464"/>
      <c r="G12" s="415"/>
      <c r="H12" s="420"/>
      <c r="I12" s="415"/>
      <c r="J12" s="418" t="s">
        <v>488</v>
      </c>
      <c r="K12" s="418"/>
      <c r="L12" s="415"/>
      <c r="M12" s="417" t="s">
        <v>694</v>
      </c>
      <c r="N12" s="415">
        <v>0</v>
      </c>
      <c r="O12" s="415">
        <v>30</v>
      </c>
      <c r="P12" s="415" t="s">
        <v>508</v>
      </c>
      <c r="Q12" s="415" t="s">
        <v>504</v>
      </c>
      <c r="R12" s="415" t="s">
        <v>502</v>
      </c>
      <c r="S12" s="419" t="s">
        <v>96</v>
      </c>
      <c r="T12" s="415" t="s">
        <v>491</v>
      </c>
      <c r="U12" s="566" t="s">
        <v>494</v>
      </c>
    </row>
    <row r="13" spans="1:21" s="233" customFormat="1" ht="23.25" customHeight="1">
      <c r="A13" s="414" t="s">
        <v>579</v>
      </c>
      <c r="B13" s="416">
        <v>0.2638888888888889</v>
      </c>
      <c r="C13" s="417" t="s">
        <v>515</v>
      </c>
      <c r="D13" s="557" t="s">
        <v>172</v>
      </c>
      <c r="E13" s="464" t="s">
        <v>254</v>
      </c>
      <c r="F13" s="464" t="s">
        <v>484</v>
      </c>
      <c r="G13" s="422" t="s">
        <v>412</v>
      </c>
      <c r="H13" s="420">
        <v>1</v>
      </c>
      <c r="I13" s="415">
        <v>46</v>
      </c>
      <c r="J13" s="418" t="s">
        <v>487</v>
      </c>
      <c r="K13" s="418" t="s">
        <v>141</v>
      </c>
      <c r="L13" s="415">
        <v>46</v>
      </c>
      <c r="M13" s="417" t="s">
        <v>586</v>
      </c>
      <c r="N13" s="415">
        <v>0</v>
      </c>
      <c r="O13" s="415">
        <v>85</v>
      </c>
      <c r="P13" s="415" t="s">
        <v>508</v>
      </c>
      <c r="Q13" s="421" t="s">
        <v>506</v>
      </c>
      <c r="R13" s="415" t="s">
        <v>502</v>
      </c>
      <c r="S13" s="419" t="s">
        <v>96</v>
      </c>
      <c r="T13" s="415" t="s">
        <v>493</v>
      </c>
      <c r="U13" s="566" t="s">
        <v>580</v>
      </c>
    </row>
    <row r="14" spans="1:21" s="233" customFormat="1" ht="23.25" customHeight="1" thickBot="1">
      <c r="A14" s="449" t="s">
        <v>581</v>
      </c>
      <c r="B14" s="450">
        <v>0.44236111111111115</v>
      </c>
      <c r="C14" s="451" t="s">
        <v>515</v>
      </c>
      <c r="D14" s="558" t="s">
        <v>172</v>
      </c>
      <c r="E14" s="563" t="s">
        <v>254</v>
      </c>
      <c r="F14" s="563" t="s">
        <v>484</v>
      </c>
      <c r="G14" s="441" t="s">
        <v>412</v>
      </c>
      <c r="H14" s="453">
        <v>1</v>
      </c>
      <c r="I14" s="441">
        <v>125</v>
      </c>
      <c r="J14" s="452" t="s">
        <v>485</v>
      </c>
      <c r="K14" s="452" t="s">
        <v>141</v>
      </c>
      <c r="L14" s="441">
        <v>125</v>
      </c>
      <c r="M14" s="451" t="s">
        <v>96</v>
      </c>
      <c r="N14" s="441">
        <v>0</v>
      </c>
      <c r="O14" s="441">
        <v>77</v>
      </c>
      <c r="P14" s="441" t="s">
        <v>507</v>
      </c>
      <c r="Q14" s="441" t="s">
        <v>505</v>
      </c>
      <c r="R14" s="441" t="s">
        <v>502</v>
      </c>
      <c r="S14" s="442" t="s">
        <v>501</v>
      </c>
      <c r="T14" s="441" t="s">
        <v>486</v>
      </c>
      <c r="U14" s="567" t="s">
        <v>496</v>
      </c>
    </row>
    <row r="15" spans="1:21" s="233" customFormat="1" ht="23.25" customHeight="1">
      <c r="A15" s="443" t="s">
        <v>581</v>
      </c>
      <c r="B15" s="444">
        <v>0.44236111111111115</v>
      </c>
      <c r="C15" s="445" t="s">
        <v>515</v>
      </c>
      <c r="D15" s="559" t="s">
        <v>172</v>
      </c>
      <c r="E15" s="561" t="s">
        <v>254</v>
      </c>
      <c r="F15" s="561" t="s">
        <v>484</v>
      </c>
      <c r="G15" s="447" t="s">
        <v>412</v>
      </c>
      <c r="H15" s="448">
        <v>1</v>
      </c>
      <c r="I15" s="447">
        <v>125</v>
      </c>
      <c r="J15" s="426" t="s">
        <v>485</v>
      </c>
      <c r="K15" s="426" t="s">
        <v>141</v>
      </c>
      <c r="L15" s="447">
        <v>125</v>
      </c>
      <c r="M15" s="425" t="s">
        <v>96</v>
      </c>
      <c r="N15" s="447">
        <v>0</v>
      </c>
      <c r="O15" s="447">
        <v>36</v>
      </c>
      <c r="P15" s="421" t="s">
        <v>508</v>
      </c>
      <c r="Q15" s="421" t="s">
        <v>505</v>
      </c>
      <c r="R15" s="447" t="s">
        <v>502</v>
      </c>
      <c r="S15" s="427" t="s">
        <v>501</v>
      </c>
      <c r="T15" s="421" t="s">
        <v>486</v>
      </c>
      <c r="U15" s="565" t="s">
        <v>496</v>
      </c>
    </row>
    <row r="16" spans="1:21" s="233" customFormat="1" ht="23.25" customHeight="1">
      <c r="A16" s="414" t="s">
        <v>582</v>
      </c>
      <c r="B16" s="416">
        <v>0.12847222222222224</v>
      </c>
      <c r="C16" s="417" t="s">
        <v>101</v>
      </c>
      <c r="D16" s="560" t="s">
        <v>172</v>
      </c>
      <c r="E16" s="464" t="s">
        <v>254</v>
      </c>
      <c r="F16" s="464" t="s">
        <v>484</v>
      </c>
      <c r="G16" s="422" t="s">
        <v>412</v>
      </c>
      <c r="H16" s="433">
        <v>1</v>
      </c>
      <c r="I16" s="415">
        <v>42</v>
      </c>
      <c r="J16" s="418" t="s">
        <v>485</v>
      </c>
      <c r="K16" s="418" t="s">
        <v>490</v>
      </c>
      <c r="L16" s="415">
        <v>6</v>
      </c>
      <c r="M16" s="417" t="s">
        <v>694</v>
      </c>
      <c r="N16" s="415">
        <v>0</v>
      </c>
      <c r="O16" s="415">
        <v>38</v>
      </c>
      <c r="P16" s="415" t="s">
        <v>508</v>
      </c>
      <c r="Q16" s="415" t="s">
        <v>504</v>
      </c>
      <c r="R16" s="415" t="s">
        <v>502</v>
      </c>
      <c r="S16" s="419" t="s">
        <v>96</v>
      </c>
      <c r="T16" s="415" t="s">
        <v>491</v>
      </c>
      <c r="U16" s="566" t="s">
        <v>494</v>
      </c>
    </row>
    <row r="17" spans="1:21" s="233" customFormat="1" ht="23.25" customHeight="1">
      <c r="A17" s="414" t="s">
        <v>690</v>
      </c>
      <c r="B17" s="416">
        <v>0.65625</v>
      </c>
      <c r="C17" s="415" t="s">
        <v>583</v>
      </c>
      <c r="D17" s="557" t="s">
        <v>172</v>
      </c>
      <c r="E17" s="464" t="s">
        <v>255</v>
      </c>
      <c r="F17" s="464" t="s">
        <v>584</v>
      </c>
      <c r="G17" s="415" t="s">
        <v>413</v>
      </c>
      <c r="H17" s="420">
        <v>2</v>
      </c>
      <c r="I17" s="415">
        <v>147</v>
      </c>
      <c r="J17" s="418" t="s">
        <v>485</v>
      </c>
      <c r="K17" s="418" t="s">
        <v>490</v>
      </c>
      <c r="L17" s="415">
        <v>5</v>
      </c>
      <c r="M17" s="417" t="s">
        <v>585</v>
      </c>
      <c r="N17" s="415">
        <v>0</v>
      </c>
      <c r="O17" s="415">
        <v>76</v>
      </c>
      <c r="P17" s="415" t="s">
        <v>508</v>
      </c>
      <c r="Q17" s="415" t="s">
        <v>505</v>
      </c>
      <c r="R17" s="415" t="s">
        <v>96</v>
      </c>
      <c r="S17" s="419" t="s">
        <v>501</v>
      </c>
      <c r="T17" s="415" t="s">
        <v>493</v>
      </c>
      <c r="U17" s="566" t="s">
        <v>495</v>
      </c>
    </row>
    <row r="18" spans="1:21" s="233" customFormat="1" ht="23.25" customHeight="1">
      <c r="A18" s="414" t="s">
        <v>587</v>
      </c>
      <c r="B18" s="416">
        <v>0.5625</v>
      </c>
      <c r="C18" s="417" t="s">
        <v>102</v>
      </c>
      <c r="D18" s="557" t="s">
        <v>172</v>
      </c>
      <c r="E18" s="464" t="s">
        <v>254</v>
      </c>
      <c r="F18" s="464" t="s">
        <v>484</v>
      </c>
      <c r="G18" s="422" t="s">
        <v>412</v>
      </c>
      <c r="H18" s="420">
        <v>1</v>
      </c>
      <c r="I18" s="415">
        <v>116</v>
      </c>
      <c r="J18" s="418" t="s">
        <v>485</v>
      </c>
      <c r="K18" s="418" t="s">
        <v>141</v>
      </c>
      <c r="L18" s="415">
        <v>116</v>
      </c>
      <c r="M18" s="417" t="s">
        <v>522</v>
      </c>
      <c r="N18" s="415">
        <v>0</v>
      </c>
      <c r="O18" s="415">
        <v>70</v>
      </c>
      <c r="P18" s="415" t="s">
        <v>507</v>
      </c>
      <c r="Q18" s="415" t="s">
        <v>505</v>
      </c>
      <c r="R18" s="415" t="s">
        <v>96</v>
      </c>
      <c r="S18" s="419" t="s">
        <v>501</v>
      </c>
      <c r="T18" s="415" t="s">
        <v>493</v>
      </c>
      <c r="U18" s="566" t="s">
        <v>495</v>
      </c>
    </row>
    <row r="19" spans="1:21" s="233" customFormat="1" ht="23.25" customHeight="1">
      <c r="A19" s="414" t="s">
        <v>588</v>
      </c>
      <c r="B19" s="416">
        <v>0.3611111111111111</v>
      </c>
      <c r="C19" s="417" t="s">
        <v>100</v>
      </c>
      <c r="D19" s="557" t="s">
        <v>174</v>
      </c>
      <c r="E19" s="464"/>
      <c r="F19" s="464"/>
      <c r="G19" s="415"/>
      <c r="H19" s="420"/>
      <c r="I19" s="415"/>
      <c r="J19" s="418" t="s">
        <v>589</v>
      </c>
      <c r="K19" s="418"/>
      <c r="L19" s="415"/>
      <c r="M19" s="417" t="s">
        <v>96</v>
      </c>
      <c r="N19" s="415">
        <v>0</v>
      </c>
      <c r="O19" s="415">
        <v>53</v>
      </c>
      <c r="P19" s="415" t="s">
        <v>507</v>
      </c>
      <c r="Q19" s="415" t="s">
        <v>505</v>
      </c>
      <c r="R19" s="415" t="s">
        <v>96</v>
      </c>
      <c r="S19" s="415" t="s">
        <v>96</v>
      </c>
      <c r="T19" s="415" t="s">
        <v>486</v>
      </c>
      <c r="U19" s="566" t="s">
        <v>496</v>
      </c>
    </row>
    <row r="20" spans="1:21" s="233" customFormat="1" ht="23.25" customHeight="1">
      <c r="A20" s="414" t="s">
        <v>590</v>
      </c>
      <c r="B20" s="416">
        <v>0.4840277777777778</v>
      </c>
      <c r="C20" s="417" t="s">
        <v>515</v>
      </c>
      <c r="D20" s="557" t="s">
        <v>172</v>
      </c>
      <c r="E20" s="464" t="s">
        <v>688</v>
      </c>
      <c r="F20" s="464" t="s">
        <v>591</v>
      </c>
      <c r="G20" s="415" t="s">
        <v>593</v>
      </c>
      <c r="H20" s="420">
        <v>3</v>
      </c>
      <c r="I20" s="415">
        <v>1524</v>
      </c>
      <c r="J20" s="418" t="s">
        <v>487</v>
      </c>
      <c r="K20" s="418" t="s">
        <v>592</v>
      </c>
      <c r="L20" s="415">
        <v>3</v>
      </c>
      <c r="M20" s="417" t="s">
        <v>530</v>
      </c>
      <c r="N20" s="415">
        <v>2</v>
      </c>
      <c r="O20" s="415">
        <v>76</v>
      </c>
      <c r="P20" s="415" t="s">
        <v>507</v>
      </c>
      <c r="Q20" s="415" t="s">
        <v>505</v>
      </c>
      <c r="R20" s="415" t="s">
        <v>502</v>
      </c>
      <c r="S20" s="419" t="s">
        <v>501</v>
      </c>
      <c r="T20" s="415" t="s">
        <v>486</v>
      </c>
      <c r="U20" s="566" t="s">
        <v>496</v>
      </c>
    </row>
    <row r="21" spans="1:21" s="233" customFormat="1" ht="23.25" customHeight="1">
      <c r="A21" s="414" t="s">
        <v>639</v>
      </c>
      <c r="B21" s="416">
        <v>0.9166666666666666</v>
      </c>
      <c r="C21" s="415" t="s">
        <v>385</v>
      </c>
      <c r="D21" s="557" t="s">
        <v>172</v>
      </c>
      <c r="E21" s="464" t="s">
        <v>254</v>
      </c>
      <c r="F21" s="464" t="s">
        <v>484</v>
      </c>
      <c r="G21" s="422" t="s">
        <v>412</v>
      </c>
      <c r="H21" s="420">
        <v>1</v>
      </c>
      <c r="I21" s="415">
        <v>108</v>
      </c>
      <c r="J21" s="418" t="s">
        <v>487</v>
      </c>
      <c r="K21" s="418" t="s">
        <v>141</v>
      </c>
      <c r="L21" s="415">
        <v>108</v>
      </c>
      <c r="M21" s="555" t="s">
        <v>594</v>
      </c>
      <c r="N21" s="415">
        <v>0</v>
      </c>
      <c r="O21" s="415">
        <v>67</v>
      </c>
      <c r="P21" s="415" t="s">
        <v>507</v>
      </c>
      <c r="Q21" s="415" t="s">
        <v>505</v>
      </c>
      <c r="R21" s="415" t="s">
        <v>502</v>
      </c>
      <c r="S21" s="415" t="s">
        <v>96</v>
      </c>
      <c r="T21" s="415" t="s">
        <v>486</v>
      </c>
      <c r="U21" s="566" t="s">
        <v>138</v>
      </c>
    </row>
    <row r="22" spans="1:22" s="233" customFormat="1" ht="23.25" customHeight="1">
      <c r="A22" s="414" t="s">
        <v>595</v>
      </c>
      <c r="B22" s="416">
        <v>0.2916666666666667</v>
      </c>
      <c r="C22" s="417" t="s">
        <v>100</v>
      </c>
      <c r="D22" s="557" t="s">
        <v>172</v>
      </c>
      <c r="E22" s="464" t="s">
        <v>254</v>
      </c>
      <c r="F22" s="464" t="s">
        <v>484</v>
      </c>
      <c r="G22" s="415" t="s">
        <v>413</v>
      </c>
      <c r="H22" s="420">
        <v>1</v>
      </c>
      <c r="I22" s="415">
        <v>304</v>
      </c>
      <c r="J22" s="418" t="s">
        <v>485</v>
      </c>
      <c r="K22" s="418" t="s">
        <v>141</v>
      </c>
      <c r="L22" s="415">
        <v>304</v>
      </c>
      <c r="M22" s="417" t="s">
        <v>522</v>
      </c>
      <c r="N22" s="415">
        <v>0</v>
      </c>
      <c r="O22" s="415">
        <v>84</v>
      </c>
      <c r="P22" s="415" t="s">
        <v>507</v>
      </c>
      <c r="Q22" s="415" t="s">
        <v>505</v>
      </c>
      <c r="R22" s="415" t="s">
        <v>502</v>
      </c>
      <c r="S22" s="419" t="s">
        <v>501</v>
      </c>
      <c r="T22" s="415" t="s">
        <v>486</v>
      </c>
      <c r="U22" s="566" t="s">
        <v>496</v>
      </c>
      <c r="V22" s="234"/>
    </row>
    <row r="23" spans="1:22" s="233" customFormat="1" ht="23.25" customHeight="1">
      <c r="A23" s="414" t="s">
        <v>599</v>
      </c>
      <c r="B23" s="416">
        <v>0.6979166666666666</v>
      </c>
      <c r="C23" s="417" t="s">
        <v>516</v>
      </c>
      <c r="D23" s="557" t="s">
        <v>172</v>
      </c>
      <c r="E23" s="464" t="s">
        <v>254</v>
      </c>
      <c r="F23" s="464" t="s">
        <v>484</v>
      </c>
      <c r="G23" s="415" t="s">
        <v>413</v>
      </c>
      <c r="H23" s="420">
        <v>1</v>
      </c>
      <c r="I23" s="415">
        <v>120</v>
      </c>
      <c r="J23" s="418" t="s">
        <v>600</v>
      </c>
      <c r="K23" s="418" t="s">
        <v>141</v>
      </c>
      <c r="L23" s="415">
        <v>120</v>
      </c>
      <c r="M23" s="417" t="s">
        <v>248</v>
      </c>
      <c r="N23" s="415">
        <v>0</v>
      </c>
      <c r="O23" s="415">
        <v>83</v>
      </c>
      <c r="P23" s="415" t="s">
        <v>508</v>
      </c>
      <c r="Q23" s="415" t="s">
        <v>506</v>
      </c>
      <c r="R23" s="415" t="s">
        <v>502</v>
      </c>
      <c r="S23" s="419" t="s">
        <v>501</v>
      </c>
      <c r="T23" s="415" t="s">
        <v>493</v>
      </c>
      <c r="U23" s="566" t="s">
        <v>499</v>
      </c>
      <c r="V23" s="234"/>
    </row>
    <row r="24" spans="1:21" s="233" customFormat="1" ht="23.25" customHeight="1" thickBot="1">
      <c r="A24" s="449" t="s">
        <v>596</v>
      </c>
      <c r="B24" s="450">
        <v>0.5659722222222222</v>
      </c>
      <c r="C24" s="441" t="s">
        <v>387</v>
      </c>
      <c r="D24" s="558" t="s">
        <v>174</v>
      </c>
      <c r="E24" s="563"/>
      <c r="F24" s="563"/>
      <c r="G24" s="441"/>
      <c r="H24" s="453"/>
      <c r="I24" s="441"/>
      <c r="J24" s="452" t="s">
        <v>597</v>
      </c>
      <c r="K24" s="452"/>
      <c r="L24" s="441"/>
      <c r="M24" s="451" t="s">
        <v>598</v>
      </c>
      <c r="N24" s="441">
        <v>0</v>
      </c>
      <c r="O24" s="441">
        <v>29</v>
      </c>
      <c r="P24" s="441" t="s">
        <v>507</v>
      </c>
      <c r="Q24" s="441" t="s">
        <v>505</v>
      </c>
      <c r="R24" s="441" t="s">
        <v>502</v>
      </c>
      <c r="S24" s="442" t="s">
        <v>501</v>
      </c>
      <c r="T24" s="441" t="s">
        <v>96</v>
      </c>
      <c r="U24" s="567" t="s">
        <v>96</v>
      </c>
    </row>
    <row r="25" spans="1:21" s="233" customFormat="1" ht="23.25" customHeight="1">
      <c r="A25" s="434" t="s">
        <v>596</v>
      </c>
      <c r="B25" s="435">
        <v>0.5659722222222222</v>
      </c>
      <c r="C25" s="439" t="s">
        <v>387</v>
      </c>
      <c r="D25" s="463" t="s">
        <v>174</v>
      </c>
      <c r="E25" s="465"/>
      <c r="F25" s="465"/>
      <c r="G25" s="439"/>
      <c r="H25" s="440"/>
      <c r="I25" s="439"/>
      <c r="J25" s="437" t="s">
        <v>597</v>
      </c>
      <c r="K25" s="437"/>
      <c r="L25" s="439"/>
      <c r="M25" s="436" t="s">
        <v>598</v>
      </c>
      <c r="N25" s="439">
        <v>0</v>
      </c>
      <c r="O25" s="439">
        <v>39</v>
      </c>
      <c r="P25" s="439" t="s">
        <v>507</v>
      </c>
      <c r="Q25" s="439" t="s">
        <v>505</v>
      </c>
      <c r="R25" s="439" t="s">
        <v>502</v>
      </c>
      <c r="S25" s="438" t="s">
        <v>501</v>
      </c>
      <c r="T25" s="439" t="s">
        <v>96</v>
      </c>
      <c r="U25" s="568" t="s">
        <v>96</v>
      </c>
    </row>
    <row r="26" spans="1:21" s="233" customFormat="1" ht="23.25" customHeight="1">
      <c r="A26" s="423" t="s">
        <v>605</v>
      </c>
      <c r="B26" s="424">
        <v>0.34722222222222227</v>
      </c>
      <c r="C26" s="425" t="s">
        <v>703</v>
      </c>
      <c r="D26" s="556" t="s">
        <v>483</v>
      </c>
      <c r="E26" s="561"/>
      <c r="F26" s="561"/>
      <c r="G26" s="421"/>
      <c r="H26" s="428"/>
      <c r="I26" s="421"/>
      <c r="J26" s="426" t="s">
        <v>489</v>
      </c>
      <c r="K26" s="426"/>
      <c r="L26" s="421"/>
      <c r="M26" s="425" t="s">
        <v>601</v>
      </c>
      <c r="N26" s="421">
        <v>0</v>
      </c>
      <c r="O26" s="421">
        <v>79</v>
      </c>
      <c r="P26" s="421" t="s">
        <v>507</v>
      </c>
      <c r="Q26" s="421" t="s">
        <v>505</v>
      </c>
      <c r="R26" s="421" t="s">
        <v>502</v>
      </c>
      <c r="S26" s="427" t="s">
        <v>501</v>
      </c>
      <c r="T26" s="421" t="s">
        <v>492</v>
      </c>
      <c r="U26" s="565" t="s">
        <v>498</v>
      </c>
    </row>
    <row r="27" spans="1:21" s="233" customFormat="1" ht="23.25" customHeight="1">
      <c r="A27" s="414" t="s">
        <v>602</v>
      </c>
      <c r="B27" s="416">
        <v>0.5972222222222222</v>
      </c>
      <c r="C27" s="415" t="s">
        <v>385</v>
      </c>
      <c r="D27" s="557" t="s">
        <v>172</v>
      </c>
      <c r="E27" s="464" t="s">
        <v>254</v>
      </c>
      <c r="F27" s="464" t="s">
        <v>484</v>
      </c>
      <c r="G27" s="415" t="s">
        <v>413</v>
      </c>
      <c r="H27" s="420">
        <v>1</v>
      </c>
      <c r="I27" s="415">
        <v>77</v>
      </c>
      <c r="J27" s="418" t="s">
        <v>485</v>
      </c>
      <c r="K27" s="418" t="s">
        <v>141</v>
      </c>
      <c r="L27" s="415">
        <v>77</v>
      </c>
      <c r="M27" s="417" t="s">
        <v>96</v>
      </c>
      <c r="N27" s="415">
        <v>0</v>
      </c>
      <c r="O27" s="415">
        <v>88</v>
      </c>
      <c r="P27" s="415" t="s">
        <v>508</v>
      </c>
      <c r="Q27" s="415" t="s">
        <v>505</v>
      </c>
      <c r="R27" s="421" t="s">
        <v>502</v>
      </c>
      <c r="S27" s="419" t="s">
        <v>501</v>
      </c>
      <c r="T27" s="415" t="s">
        <v>603</v>
      </c>
      <c r="U27" s="566" t="s">
        <v>604</v>
      </c>
    </row>
    <row r="28" spans="1:23" s="233" customFormat="1" ht="23.25" customHeight="1">
      <c r="A28" s="414" t="s">
        <v>606</v>
      </c>
      <c r="B28" s="416">
        <v>0.6458333333333334</v>
      </c>
      <c r="C28" s="415" t="s">
        <v>108</v>
      </c>
      <c r="D28" s="557" t="s">
        <v>172</v>
      </c>
      <c r="E28" s="464" t="s">
        <v>254</v>
      </c>
      <c r="F28" s="464" t="s">
        <v>484</v>
      </c>
      <c r="G28" s="415" t="s">
        <v>412</v>
      </c>
      <c r="H28" s="420">
        <v>1</v>
      </c>
      <c r="I28" s="415">
        <v>118</v>
      </c>
      <c r="J28" s="418" t="s">
        <v>607</v>
      </c>
      <c r="K28" s="418" t="s">
        <v>141</v>
      </c>
      <c r="L28" s="415">
        <v>118</v>
      </c>
      <c r="M28" s="417" t="s">
        <v>586</v>
      </c>
      <c r="N28" s="415">
        <v>0</v>
      </c>
      <c r="O28" s="415">
        <v>78</v>
      </c>
      <c r="P28" s="415" t="s">
        <v>508</v>
      </c>
      <c r="Q28" s="421" t="s">
        <v>96</v>
      </c>
      <c r="R28" s="421" t="s">
        <v>502</v>
      </c>
      <c r="S28" s="419" t="s">
        <v>96</v>
      </c>
      <c r="T28" s="415" t="s">
        <v>486</v>
      </c>
      <c r="U28" s="566" t="s">
        <v>496</v>
      </c>
      <c r="W28" s="455"/>
    </row>
    <row r="29" spans="1:21" s="233" customFormat="1" ht="23.25" customHeight="1">
      <c r="A29" s="414" t="s">
        <v>608</v>
      </c>
      <c r="B29" s="416">
        <v>0.8958333333333334</v>
      </c>
      <c r="C29" s="415" t="s">
        <v>385</v>
      </c>
      <c r="D29" s="557" t="s">
        <v>172</v>
      </c>
      <c r="E29" s="464" t="s">
        <v>254</v>
      </c>
      <c r="F29" s="464" t="s">
        <v>484</v>
      </c>
      <c r="G29" s="415" t="s">
        <v>609</v>
      </c>
      <c r="H29" s="420">
        <v>1</v>
      </c>
      <c r="I29" s="415">
        <v>113</v>
      </c>
      <c r="J29" s="418" t="s">
        <v>485</v>
      </c>
      <c r="K29" s="418" t="s">
        <v>592</v>
      </c>
      <c r="L29" s="415">
        <v>0</v>
      </c>
      <c r="M29" s="417" t="s">
        <v>522</v>
      </c>
      <c r="N29" s="415">
        <v>0</v>
      </c>
      <c r="O29" s="415">
        <v>78</v>
      </c>
      <c r="P29" s="415" t="s">
        <v>508</v>
      </c>
      <c r="Q29" s="415" t="s">
        <v>505</v>
      </c>
      <c r="R29" s="415" t="s">
        <v>503</v>
      </c>
      <c r="S29" s="419" t="s">
        <v>500</v>
      </c>
      <c r="T29" s="415" t="s">
        <v>492</v>
      </c>
      <c r="U29" s="566" t="s">
        <v>138</v>
      </c>
    </row>
    <row r="30" spans="1:21" s="233" customFormat="1" ht="23.25" customHeight="1">
      <c r="A30" s="414" t="s">
        <v>610</v>
      </c>
      <c r="B30" s="416">
        <v>0.10416666666666667</v>
      </c>
      <c r="C30" s="417" t="s">
        <v>100</v>
      </c>
      <c r="D30" s="557" t="s">
        <v>172</v>
      </c>
      <c r="E30" s="464" t="s">
        <v>254</v>
      </c>
      <c r="F30" s="464" t="s">
        <v>484</v>
      </c>
      <c r="G30" s="415" t="s">
        <v>413</v>
      </c>
      <c r="H30" s="420">
        <v>1</v>
      </c>
      <c r="I30" s="415">
        <v>155</v>
      </c>
      <c r="J30" s="418" t="s">
        <v>485</v>
      </c>
      <c r="K30" s="418" t="s">
        <v>141</v>
      </c>
      <c r="L30" s="415">
        <v>155</v>
      </c>
      <c r="M30" s="417" t="s">
        <v>96</v>
      </c>
      <c r="N30" s="415">
        <v>2</v>
      </c>
      <c r="O30" s="415">
        <v>83</v>
      </c>
      <c r="P30" s="415" t="s">
        <v>507</v>
      </c>
      <c r="Q30" s="415" t="s">
        <v>506</v>
      </c>
      <c r="R30" s="415" t="s">
        <v>96</v>
      </c>
      <c r="S30" s="415" t="s">
        <v>96</v>
      </c>
      <c r="T30" s="415" t="s">
        <v>486</v>
      </c>
      <c r="U30" s="569" t="s">
        <v>496</v>
      </c>
    </row>
    <row r="31" spans="1:21" s="233" customFormat="1" ht="23.25" customHeight="1">
      <c r="A31" s="414" t="s">
        <v>611</v>
      </c>
      <c r="B31" s="416">
        <v>0.5</v>
      </c>
      <c r="C31" s="415" t="s">
        <v>387</v>
      </c>
      <c r="D31" s="557" t="s">
        <v>483</v>
      </c>
      <c r="E31" s="464"/>
      <c r="F31" s="464"/>
      <c r="G31" s="415"/>
      <c r="H31" s="420"/>
      <c r="I31" s="415"/>
      <c r="J31" s="418" t="s">
        <v>488</v>
      </c>
      <c r="K31" s="418"/>
      <c r="L31" s="415"/>
      <c r="M31" s="417" t="s">
        <v>612</v>
      </c>
      <c r="N31" s="415">
        <v>0</v>
      </c>
      <c r="O31" s="415">
        <v>53</v>
      </c>
      <c r="P31" s="415" t="s">
        <v>508</v>
      </c>
      <c r="Q31" s="415" t="s">
        <v>504</v>
      </c>
      <c r="R31" s="415" t="s">
        <v>502</v>
      </c>
      <c r="S31" s="419" t="s">
        <v>501</v>
      </c>
      <c r="T31" s="415" t="s">
        <v>491</v>
      </c>
      <c r="U31" s="570" t="s">
        <v>494</v>
      </c>
    </row>
    <row r="32" spans="1:21" s="233" customFormat="1" ht="23.25" customHeight="1">
      <c r="A32" s="414" t="s">
        <v>691</v>
      </c>
      <c r="B32" s="416">
        <v>0.20833333333333334</v>
      </c>
      <c r="C32" s="415" t="s">
        <v>387</v>
      </c>
      <c r="D32" s="557" t="s">
        <v>483</v>
      </c>
      <c r="E32" s="464"/>
      <c r="F32" s="464"/>
      <c r="G32" s="415"/>
      <c r="H32" s="420"/>
      <c r="I32" s="415"/>
      <c r="J32" s="418" t="s">
        <v>488</v>
      </c>
      <c r="K32" s="418"/>
      <c r="L32" s="415"/>
      <c r="M32" s="417" t="s">
        <v>694</v>
      </c>
      <c r="N32" s="421">
        <v>0</v>
      </c>
      <c r="O32" s="421">
        <v>58</v>
      </c>
      <c r="P32" s="421" t="s">
        <v>508</v>
      </c>
      <c r="Q32" s="415" t="s">
        <v>504</v>
      </c>
      <c r="R32" s="421" t="s">
        <v>502</v>
      </c>
      <c r="S32" s="427" t="s">
        <v>501</v>
      </c>
      <c r="T32" s="415" t="s">
        <v>491</v>
      </c>
      <c r="U32" s="570" t="s">
        <v>494</v>
      </c>
    </row>
    <row r="33" spans="1:21" s="233" customFormat="1" ht="23.25" customHeight="1">
      <c r="A33" s="414" t="s">
        <v>692</v>
      </c>
      <c r="B33" s="416">
        <v>0.16875</v>
      </c>
      <c r="C33" s="417" t="s">
        <v>613</v>
      </c>
      <c r="D33" s="557" t="s">
        <v>172</v>
      </c>
      <c r="E33" s="464" t="s">
        <v>254</v>
      </c>
      <c r="F33" s="464" t="s">
        <v>484</v>
      </c>
      <c r="G33" s="415" t="s">
        <v>413</v>
      </c>
      <c r="H33" s="420">
        <v>2</v>
      </c>
      <c r="I33" s="415">
        <v>109</v>
      </c>
      <c r="J33" s="418" t="s">
        <v>485</v>
      </c>
      <c r="K33" s="418" t="s">
        <v>141</v>
      </c>
      <c r="L33" s="415">
        <v>81</v>
      </c>
      <c r="M33" s="417" t="s">
        <v>96</v>
      </c>
      <c r="N33" s="415">
        <v>0</v>
      </c>
      <c r="O33" s="415">
        <v>56</v>
      </c>
      <c r="P33" s="415" t="s">
        <v>507</v>
      </c>
      <c r="Q33" s="415" t="s">
        <v>505</v>
      </c>
      <c r="R33" s="419" t="s">
        <v>96</v>
      </c>
      <c r="S33" s="419" t="s">
        <v>96</v>
      </c>
      <c r="T33" s="415" t="s">
        <v>486</v>
      </c>
      <c r="U33" s="565" t="s">
        <v>496</v>
      </c>
    </row>
    <row r="34" spans="1:21" s="233" customFormat="1" ht="23.25" customHeight="1" thickBot="1">
      <c r="A34" s="449" t="s">
        <v>653</v>
      </c>
      <c r="B34" s="450">
        <v>0.10416666666666667</v>
      </c>
      <c r="C34" s="451" t="s">
        <v>516</v>
      </c>
      <c r="D34" s="558" t="s">
        <v>172</v>
      </c>
      <c r="E34" s="563" t="s">
        <v>254</v>
      </c>
      <c r="F34" s="563" t="s">
        <v>584</v>
      </c>
      <c r="G34" s="441" t="s">
        <v>413</v>
      </c>
      <c r="H34" s="453">
        <v>1</v>
      </c>
      <c r="I34" s="441">
        <v>122</v>
      </c>
      <c r="J34" s="452" t="s">
        <v>485</v>
      </c>
      <c r="K34" s="452" t="s">
        <v>141</v>
      </c>
      <c r="L34" s="441">
        <v>101</v>
      </c>
      <c r="M34" s="451" t="s">
        <v>96</v>
      </c>
      <c r="N34" s="441">
        <v>1</v>
      </c>
      <c r="O34" s="441">
        <v>73</v>
      </c>
      <c r="P34" s="441" t="s">
        <v>507</v>
      </c>
      <c r="Q34" s="441" t="s">
        <v>96</v>
      </c>
      <c r="R34" s="442" t="s">
        <v>96</v>
      </c>
      <c r="S34" s="442" t="s">
        <v>96</v>
      </c>
      <c r="T34" s="441" t="s">
        <v>486</v>
      </c>
      <c r="U34" s="567" t="s">
        <v>496</v>
      </c>
    </row>
    <row r="35" spans="1:21" s="233" customFormat="1" ht="23.25" customHeight="1">
      <c r="A35" s="443" t="s">
        <v>654</v>
      </c>
      <c r="B35" s="444">
        <v>0.8125</v>
      </c>
      <c r="C35" s="447" t="s">
        <v>385</v>
      </c>
      <c r="D35" s="559" t="s">
        <v>172</v>
      </c>
      <c r="E35" s="564" t="s">
        <v>254</v>
      </c>
      <c r="F35" s="564" t="s">
        <v>484</v>
      </c>
      <c r="G35" s="447" t="s">
        <v>412</v>
      </c>
      <c r="H35" s="448">
        <v>1</v>
      </c>
      <c r="I35" s="447">
        <v>81</v>
      </c>
      <c r="J35" s="446" t="s">
        <v>485</v>
      </c>
      <c r="K35" s="446" t="s">
        <v>141</v>
      </c>
      <c r="L35" s="447">
        <v>81</v>
      </c>
      <c r="M35" s="445" t="s">
        <v>96</v>
      </c>
      <c r="N35" s="447">
        <v>0</v>
      </c>
      <c r="O35" s="447">
        <v>65</v>
      </c>
      <c r="P35" s="447" t="s">
        <v>507</v>
      </c>
      <c r="Q35" s="447" t="s">
        <v>505</v>
      </c>
      <c r="R35" s="454" t="s">
        <v>96</v>
      </c>
      <c r="S35" s="454" t="s">
        <v>500</v>
      </c>
      <c r="T35" s="447" t="s">
        <v>486</v>
      </c>
      <c r="U35" s="571" t="s">
        <v>496</v>
      </c>
    </row>
    <row r="36" spans="1:21" s="233" customFormat="1" ht="23.25" customHeight="1">
      <c r="A36" s="414" t="s">
        <v>693</v>
      </c>
      <c r="B36" s="416">
        <v>0.3055555555555555</v>
      </c>
      <c r="C36" s="415" t="s">
        <v>387</v>
      </c>
      <c r="D36" s="560" t="s">
        <v>172</v>
      </c>
      <c r="E36" s="562" t="s">
        <v>254</v>
      </c>
      <c r="F36" s="562" t="s">
        <v>484</v>
      </c>
      <c r="G36" s="422" t="s">
        <v>412</v>
      </c>
      <c r="H36" s="433">
        <v>1</v>
      </c>
      <c r="I36" s="415">
        <v>43</v>
      </c>
      <c r="J36" s="432" t="s">
        <v>485</v>
      </c>
      <c r="K36" s="432" t="s">
        <v>142</v>
      </c>
      <c r="L36" s="415">
        <v>11</v>
      </c>
      <c r="M36" s="417" t="s">
        <v>585</v>
      </c>
      <c r="N36" s="415">
        <v>0</v>
      </c>
      <c r="O36" s="415">
        <v>59</v>
      </c>
      <c r="P36" s="415" t="s">
        <v>507</v>
      </c>
      <c r="Q36" s="415" t="s">
        <v>506</v>
      </c>
      <c r="R36" s="415" t="s">
        <v>503</v>
      </c>
      <c r="S36" s="419" t="s">
        <v>500</v>
      </c>
      <c r="T36" s="415" t="s">
        <v>493</v>
      </c>
      <c r="U36" s="570" t="s">
        <v>497</v>
      </c>
    </row>
    <row r="37" spans="1:21" s="233" customFormat="1" ht="23.25" customHeight="1">
      <c r="A37" s="414" t="s">
        <v>615</v>
      </c>
      <c r="B37" s="416">
        <v>0.13541666666666666</v>
      </c>
      <c r="C37" s="415" t="s">
        <v>614</v>
      </c>
      <c r="D37" s="560" t="s">
        <v>172</v>
      </c>
      <c r="E37" s="562" t="s">
        <v>254</v>
      </c>
      <c r="F37" s="562" t="s">
        <v>484</v>
      </c>
      <c r="G37" s="422" t="s">
        <v>412</v>
      </c>
      <c r="H37" s="433">
        <v>1</v>
      </c>
      <c r="I37" s="415">
        <v>92</v>
      </c>
      <c r="J37" s="432" t="s">
        <v>485</v>
      </c>
      <c r="K37" s="432" t="s">
        <v>141</v>
      </c>
      <c r="L37" s="415">
        <v>92</v>
      </c>
      <c r="M37" s="431" t="s">
        <v>96</v>
      </c>
      <c r="N37" s="415">
        <v>0</v>
      </c>
      <c r="O37" s="415">
        <v>91</v>
      </c>
      <c r="P37" s="421" t="s">
        <v>508</v>
      </c>
      <c r="Q37" s="415" t="s">
        <v>506</v>
      </c>
      <c r="R37" s="419" t="s">
        <v>96</v>
      </c>
      <c r="S37" s="427" t="s">
        <v>501</v>
      </c>
      <c r="T37" s="422" t="s">
        <v>486</v>
      </c>
      <c r="U37" s="572" t="s">
        <v>496</v>
      </c>
    </row>
    <row r="38" spans="1:21" s="233" customFormat="1" ht="23.25" customHeight="1">
      <c r="A38" s="414" t="s">
        <v>616</v>
      </c>
      <c r="B38" s="416">
        <v>0.6597222222222222</v>
      </c>
      <c r="C38" s="415" t="s">
        <v>101</v>
      </c>
      <c r="D38" s="560" t="s">
        <v>172</v>
      </c>
      <c r="E38" s="562" t="s">
        <v>254</v>
      </c>
      <c r="F38" s="562" t="s">
        <v>484</v>
      </c>
      <c r="G38" s="422" t="s">
        <v>412</v>
      </c>
      <c r="H38" s="433">
        <v>1</v>
      </c>
      <c r="I38" s="415">
        <v>52</v>
      </c>
      <c r="J38" s="432" t="s">
        <v>485</v>
      </c>
      <c r="K38" s="432" t="s">
        <v>141</v>
      </c>
      <c r="L38" s="415">
        <v>52</v>
      </c>
      <c r="M38" s="417" t="s">
        <v>585</v>
      </c>
      <c r="N38" s="415">
        <v>0</v>
      </c>
      <c r="O38" s="415">
        <v>87</v>
      </c>
      <c r="P38" s="421" t="s">
        <v>508</v>
      </c>
      <c r="Q38" s="415" t="s">
        <v>506</v>
      </c>
      <c r="R38" s="421" t="s">
        <v>502</v>
      </c>
      <c r="S38" s="427" t="s">
        <v>501</v>
      </c>
      <c r="T38" s="415" t="s">
        <v>493</v>
      </c>
      <c r="U38" s="570" t="s">
        <v>617</v>
      </c>
    </row>
    <row r="39" spans="1:21" s="233" customFormat="1" ht="23.25" customHeight="1">
      <c r="A39" s="414" t="s">
        <v>618</v>
      </c>
      <c r="B39" s="416">
        <v>0.46875</v>
      </c>
      <c r="C39" s="415" t="s">
        <v>101</v>
      </c>
      <c r="D39" s="560" t="s">
        <v>172</v>
      </c>
      <c r="E39" s="562" t="s">
        <v>689</v>
      </c>
      <c r="F39" s="562" t="s">
        <v>484</v>
      </c>
      <c r="G39" s="422" t="s">
        <v>412</v>
      </c>
      <c r="H39" s="433">
        <v>1</v>
      </c>
      <c r="I39" s="415">
        <v>188</v>
      </c>
      <c r="J39" s="432" t="s">
        <v>485</v>
      </c>
      <c r="K39" s="432" t="s">
        <v>141</v>
      </c>
      <c r="L39" s="415">
        <v>188</v>
      </c>
      <c r="M39" s="431" t="s">
        <v>96</v>
      </c>
      <c r="N39" s="415">
        <v>0</v>
      </c>
      <c r="O39" s="415">
        <v>84</v>
      </c>
      <c r="P39" s="421" t="s">
        <v>508</v>
      </c>
      <c r="Q39" s="415" t="s">
        <v>506</v>
      </c>
      <c r="R39" s="419" t="s">
        <v>96</v>
      </c>
      <c r="S39" s="419" t="s">
        <v>96</v>
      </c>
      <c r="T39" s="422" t="s">
        <v>486</v>
      </c>
      <c r="U39" s="572" t="s">
        <v>496</v>
      </c>
    </row>
    <row r="40" spans="1:21" s="233" customFormat="1" ht="23.25" customHeight="1" thickBot="1">
      <c r="A40" s="449" t="s">
        <v>619</v>
      </c>
      <c r="B40" s="450">
        <v>0.04513888888888889</v>
      </c>
      <c r="C40" s="441" t="s">
        <v>385</v>
      </c>
      <c r="D40" s="558" t="s">
        <v>172</v>
      </c>
      <c r="E40" s="563" t="s">
        <v>254</v>
      </c>
      <c r="F40" s="563" t="s">
        <v>484</v>
      </c>
      <c r="G40" s="441" t="s">
        <v>620</v>
      </c>
      <c r="H40" s="453">
        <v>2</v>
      </c>
      <c r="I40" s="441">
        <v>146</v>
      </c>
      <c r="J40" s="452" t="s">
        <v>485</v>
      </c>
      <c r="K40" s="452" t="s">
        <v>141</v>
      </c>
      <c r="L40" s="441">
        <v>146</v>
      </c>
      <c r="M40" s="451" t="s">
        <v>96</v>
      </c>
      <c r="N40" s="441">
        <v>0</v>
      </c>
      <c r="O40" s="441">
        <v>89</v>
      </c>
      <c r="P40" s="441" t="s">
        <v>507</v>
      </c>
      <c r="Q40" s="441" t="s">
        <v>96</v>
      </c>
      <c r="R40" s="441" t="s">
        <v>96</v>
      </c>
      <c r="S40" s="442" t="s">
        <v>96</v>
      </c>
      <c r="T40" s="441" t="s">
        <v>486</v>
      </c>
      <c r="U40" s="573" t="s">
        <v>496</v>
      </c>
    </row>
    <row r="41" ht="11.25">
      <c r="M41" s="235"/>
    </row>
    <row r="42" ht="11.25">
      <c r="M42" s="235"/>
    </row>
    <row r="43" ht="11.25">
      <c r="M43" s="235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view="pageBreakPreview" zoomScale="60" workbookViewId="0" topLeftCell="B1">
      <selection activeCell="C9" sqref="C9:D9"/>
    </sheetView>
  </sheetViews>
  <sheetFormatPr defaultColWidth="9.00390625" defaultRowHeight="13.5"/>
  <cols>
    <col min="1" max="1" width="3.875" style="44" customWidth="1"/>
    <col min="2" max="2" width="3.75390625" style="44" customWidth="1"/>
    <col min="3" max="3" width="6.375" style="44" customWidth="1"/>
    <col min="4" max="4" width="9.375" style="44" customWidth="1"/>
    <col min="5" max="26" width="5.25390625" style="44" customWidth="1"/>
    <col min="27" max="16384" width="9.00390625" style="44" customWidth="1"/>
  </cols>
  <sheetData>
    <row r="1" spans="2:26" s="47" customFormat="1" ht="19.5" customHeight="1">
      <c r="B1" s="825" t="s">
        <v>559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</row>
    <row r="2" s="47" customFormat="1" ht="19.5" customHeight="1" thickBot="1">
      <c r="Z2" s="177"/>
    </row>
    <row r="3" spans="2:26" s="230" customFormat="1" ht="19.5" customHeight="1">
      <c r="B3" s="768" t="s">
        <v>94</v>
      </c>
      <c r="C3" s="866"/>
      <c r="D3" s="769"/>
      <c r="E3" s="886" t="s">
        <v>163</v>
      </c>
      <c r="F3" s="768" t="s">
        <v>292</v>
      </c>
      <c r="G3" s="869"/>
      <c r="H3" s="869"/>
      <c r="I3" s="869"/>
      <c r="J3" s="869"/>
      <c r="K3" s="769"/>
      <c r="L3" s="768" t="s">
        <v>293</v>
      </c>
      <c r="M3" s="869"/>
      <c r="N3" s="869"/>
      <c r="O3" s="869"/>
      <c r="P3" s="869"/>
      <c r="Q3" s="869"/>
      <c r="R3" s="869"/>
      <c r="S3" s="869"/>
      <c r="T3" s="869"/>
      <c r="U3" s="769"/>
      <c r="V3" s="768" t="s">
        <v>294</v>
      </c>
      <c r="W3" s="869"/>
      <c r="X3" s="869"/>
      <c r="Y3" s="869"/>
      <c r="Z3" s="769"/>
    </row>
    <row r="4" spans="2:26" s="230" customFormat="1" ht="13.5" customHeight="1">
      <c r="B4" s="770"/>
      <c r="C4" s="867"/>
      <c r="D4" s="771"/>
      <c r="E4" s="887"/>
      <c r="F4" s="880" t="s">
        <v>133</v>
      </c>
      <c r="G4" s="244"/>
      <c r="H4" s="870" t="s">
        <v>134</v>
      </c>
      <c r="I4" s="870" t="s">
        <v>135</v>
      </c>
      <c r="J4" s="870" t="s">
        <v>136</v>
      </c>
      <c r="K4" s="872" t="s">
        <v>138</v>
      </c>
      <c r="L4" s="874" t="s">
        <v>244</v>
      </c>
      <c r="M4" s="870" t="s">
        <v>295</v>
      </c>
      <c r="N4" s="870" t="s">
        <v>296</v>
      </c>
      <c r="O4" s="870" t="s">
        <v>248</v>
      </c>
      <c r="P4" s="870" t="s">
        <v>546</v>
      </c>
      <c r="Q4" s="876" t="s">
        <v>297</v>
      </c>
      <c r="R4" s="870" t="s">
        <v>246</v>
      </c>
      <c r="S4" s="870" t="s">
        <v>247</v>
      </c>
      <c r="T4" s="870" t="s">
        <v>138</v>
      </c>
      <c r="U4" s="872" t="s">
        <v>96</v>
      </c>
      <c r="V4" s="874" t="s">
        <v>298</v>
      </c>
      <c r="W4" s="876" t="s">
        <v>299</v>
      </c>
      <c r="X4" s="870" t="s">
        <v>300</v>
      </c>
      <c r="Y4" s="870" t="s">
        <v>301</v>
      </c>
      <c r="Z4" s="872" t="s">
        <v>138</v>
      </c>
    </row>
    <row r="5" spans="2:26" s="230" customFormat="1" ht="114" customHeight="1" thickBot="1">
      <c r="B5" s="772"/>
      <c r="C5" s="868"/>
      <c r="D5" s="773"/>
      <c r="E5" s="888"/>
      <c r="F5" s="875"/>
      <c r="G5" s="245" t="s">
        <v>265</v>
      </c>
      <c r="H5" s="871"/>
      <c r="I5" s="871"/>
      <c r="J5" s="871"/>
      <c r="K5" s="873"/>
      <c r="L5" s="875"/>
      <c r="M5" s="871"/>
      <c r="N5" s="871"/>
      <c r="O5" s="871"/>
      <c r="P5" s="871"/>
      <c r="Q5" s="877"/>
      <c r="R5" s="871"/>
      <c r="S5" s="871"/>
      <c r="T5" s="871"/>
      <c r="U5" s="873"/>
      <c r="V5" s="875"/>
      <c r="W5" s="877"/>
      <c r="X5" s="871"/>
      <c r="Y5" s="871"/>
      <c r="Z5" s="873"/>
    </row>
    <row r="6" spans="2:26" s="230" customFormat="1" ht="31.5" customHeight="1">
      <c r="B6" s="889" t="s">
        <v>374</v>
      </c>
      <c r="C6" s="793" t="s">
        <v>379</v>
      </c>
      <c r="D6" s="892"/>
      <c r="E6" s="246">
        <f>SUM(F6:K6)-G6</f>
        <v>0</v>
      </c>
      <c r="F6" s="621">
        <v>0</v>
      </c>
      <c r="G6" s="622">
        <v>0</v>
      </c>
      <c r="H6" s="622">
        <v>0</v>
      </c>
      <c r="I6" s="622">
        <v>0</v>
      </c>
      <c r="J6" s="622">
        <v>0</v>
      </c>
      <c r="K6" s="623">
        <v>0</v>
      </c>
      <c r="L6" s="624">
        <v>0</v>
      </c>
      <c r="M6" s="625">
        <v>0</v>
      </c>
      <c r="N6" s="625">
        <v>0</v>
      </c>
      <c r="O6" s="625">
        <v>0</v>
      </c>
      <c r="P6" s="625">
        <v>0</v>
      </c>
      <c r="Q6" s="625">
        <v>0</v>
      </c>
      <c r="R6" s="625">
        <v>0</v>
      </c>
      <c r="S6" s="625">
        <v>0</v>
      </c>
      <c r="T6" s="625">
        <v>0</v>
      </c>
      <c r="U6" s="625">
        <v>0</v>
      </c>
      <c r="V6" s="626">
        <v>0</v>
      </c>
      <c r="W6" s="625">
        <v>0</v>
      </c>
      <c r="X6" s="625">
        <v>0</v>
      </c>
      <c r="Y6" s="625">
        <v>0</v>
      </c>
      <c r="Z6" s="246">
        <v>0</v>
      </c>
    </row>
    <row r="7" spans="2:26" s="230" customFormat="1" ht="31.5" customHeight="1">
      <c r="B7" s="890"/>
      <c r="C7" s="878" t="s">
        <v>363</v>
      </c>
      <c r="D7" s="879"/>
      <c r="E7" s="247">
        <f>SUM(F7:K7)-G7</f>
        <v>0</v>
      </c>
      <c r="F7" s="626">
        <v>0</v>
      </c>
      <c r="G7" s="625">
        <v>0</v>
      </c>
      <c r="H7" s="625">
        <v>0</v>
      </c>
      <c r="I7" s="625">
        <v>0</v>
      </c>
      <c r="J7" s="625">
        <v>0</v>
      </c>
      <c r="K7" s="247">
        <v>0</v>
      </c>
      <c r="L7" s="624">
        <v>0</v>
      </c>
      <c r="M7" s="625">
        <v>0</v>
      </c>
      <c r="N7" s="625">
        <v>0</v>
      </c>
      <c r="O7" s="625">
        <v>0</v>
      </c>
      <c r="P7" s="625">
        <v>0</v>
      </c>
      <c r="Q7" s="625">
        <v>0</v>
      </c>
      <c r="R7" s="625">
        <v>0</v>
      </c>
      <c r="S7" s="625">
        <v>0</v>
      </c>
      <c r="T7" s="625">
        <v>0</v>
      </c>
      <c r="U7" s="625">
        <v>0</v>
      </c>
      <c r="V7" s="627">
        <v>0</v>
      </c>
      <c r="W7" s="628">
        <v>0</v>
      </c>
      <c r="X7" s="628">
        <v>0</v>
      </c>
      <c r="Y7" s="628">
        <v>0</v>
      </c>
      <c r="Z7" s="247">
        <v>0</v>
      </c>
    </row>
    <row r="8" spans="2:26" s="230" customFormat="1" ht="31.5" customHeight="1">
      <c r="B8" s="890"/>
      <c r="C8" s="787" t="s">
        <v>364</v>
      </c>
      <c r="D8" s="893"/>
      <c r="E8" s="248">
        <f aca="true" t="shared" si="0" ref="E8:E15">SUM(F8:K8)-G8</f>
        <v>1</v>
      </c>
      <c r="F8" s="629">
        <v>0</v>
      </c>
      <c r="G8" s="630">
        <v>0</v>
      </c>
      <c r="H8" s="630">
        <v>0</v>
      </c>
      <c r="I8" s="630">
        <v>1</v>
      </c>
      <c r="J8" s="630">
        <v>0</v>
      </c>
      <c r="K8" s="248">
        <v>0</v>
      </c>
      <c r="L8" s="624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30">
        <v>1</v>
      </c>
      <c r="U8" s="248">
        <v>0</v>
      </c>
      <c r="V8" s="629">
        <v>0</v>
      </c>
      <c r="W8" s="630">
        <v>0</v>
      </c>
      <c r="X8" s="630">
        <v>0</v>
      </c>
      <c r="Y8" s="630">
        <v>0</v>
      </c>
      <c r="Z8" s="248">
        <v>1</v>
      </c>
    </row>
    <row r="9" spans="2:26" s="230" customFormat="1" ht="31.5" customHeight="1">
      <c r="B9" s="890"/>
      <c r="C9" s="787" t="s">
        <v>365</v>
      </c>
      <c r="D9" s="893"/>
      <c r="E9" s="247">
        <f t="shared" si="0"/>
        <v>4</v>
      </c>
      <c r="F9" s="627">
        <v>2</v>
      </c>
      <c r="G9" s="628">
        <v>2</v>
      </c>
      <c r="H9" s="628">
        <v>0</v>
      </c>
      <c r="I9" s="628">
        <v>1</v>
      </c>
      <c r="J9" s="628">
        <v>0</v>
      </c>
      <c r="K9" s="247">
        <v>1</v>
      </c>
      <c r="L9" s="624">
        <v>0</v>
      </c>
      <c r="M9" s="625">
        <v>0</v>
      </c>
      <c r="N9" s="625">
        <v>0</v>
      </c>
      <c r="O9" s="625">
        <v>0</v>
      </c>
      <c r="P9" s="625">
        <v>0</v>
      </c>
      <c r="Q9" s="628">
        <v>2</v>
      </c>
      <c r="R9" s="625">
        <v>0</v>
      </c>
      <c r="S9" s="625">
        <v>0</v>
      </c>
      <c r="T9" s="628">
        <v>1</v>
      </c>
      <c r="U9" s="247">
        <v>1</v>
      </c>
      <c r="V9" s="627">
        <v>0</v>
      </c>
      <c r="W9" s="628">
        <v>0</v>
      </c>
      <c r="X9" s="628">
        <v>0</v>
      </c>
      <c r="Y9" s="628">
        <v>2</v>
      </c>
      <c r="Z9" s="247">
        <v>2</v>
      </c>
    </row>
    <row r="10" spans="2:26" s="230" customFormat="1" ht="31.5" customHeight="1">
      <c r="B10" s="890"/>
      <c r="C10" s="878" t="s">
        <v>366</v>
      </c>
      <c r="D10" s="879"/>
      <c r="E10" s="247">
        <f t="shared" si="0"/>
        <v>0</v>
      </c>
      <c r="F10" s="627">
        <v>0</v>
      </c>
      <c r="G10" s="628">
        <v>0</v>
      </c>
      <c r="H10" s="628">
        <v>0</v>
      </c>
      <c r="I10" s="628">
        <v>0</v>
      </c>
      <c r="J10" s="628">
        <v>0</v>
      </c>
      <c r="K10" s="247">
        <v>0</v>
      </c>
      <c r="L10" s="624">
        <v>0</v>
      </c>
      <c r="M10" s="625">
        <v>0</v>
      </c>
      <c r="N10" s="625">
        <v>0</v>
      </c>
      <c r="O10" s="625">
        <v>0</v>
      </c>
      <c r="P10" s="625">
        <v>0</v>
      </c>
      <c r="Q10" s="625">
        <v>0</v>
      </c>
      <c r="R10" s="625">
        <v>0</v>
      </c>
      <c r="S10" s="625">
        <v>0</v>
      </c>
      <c r="T10" s="625">
        <v>0</v>
      </c>
      <c r="U10" s="625">
        <v>0</v>
      </c>
      <c r="V10" s="627">
        <v>0</v>
      </c>
      <c r="W10" s="628">
        <v>0</v>
      </c>
      <c r="X10" s="628">
        <v>0</v>
      </c>
      <c r="Y10" s="628">
        <v>0</v>
      </c>
      <c r="Z10" s="247">
        <v>0</v>
      </c>
    </row>
    <row r="11" spans="2:26" s="230" customFormat="1" ht="31.5" customHeight="1">
      <c r="B11" s="890"/>
      <c r="C11" s="878" t="s">
        <v>367</v>
      </c>
      <c r="D11" s="879"/>
      <c r="E11" s="247">
        <f t="shared" si="0"/>
        <v>6</v>
      </c>
      <c r="F11" s="627">
        <v>2</v>
      </c>
      <c r="G11" s="628">
        <v>2</v>
      </c>
      <c r="H11" s="628">
        <v>0</v>
      </c>
      <c r="I11" s="628">
        <v>1</v>
      </c>
      <c r="J11" s="628">
        <v>0</v>
      </c>
      <c r="K11" s="247">
        <v>3</v>
      </c>
      <c r="L11" s="631">
        <v>0</v>
      </c>
      <c r="M11" s="628">
        <v>1</v>
      </c>
      <c r="N11" s="625">
        <v>0</v>
      </c>
      <c r="O11" s="625">
        <v>0</v>
      </c>
      <c r="P11" s="625">
        <v>0</v>
      </c>
      <c r="Q11" s="628">
        <v>2</v>
      </c>
      <c r="R11" s="628">
        <v>2</v>
      </c>
      <c r="S11" s="625">
        <v>0</v>
      </c>
      <c r="T11" s="625">
        <v>0</v>
      </c>
      <c r="U11" s="247">
        <v>1</v>
      </c>
      <c r="V11" s="627">
        <v>1</v>
      </c>
      <c r="W11" s="628">
        <v>0</v>
      </c>
      <c r="X11" s="628">
        <v>0</v>
      </c>
      <c r="Y11" s="628">
        <v>3</v>
      </c>
      <c r="Z11" s="247">
        <v>2</v>
      </c>
    </row>
    <row r="12" spans="2:26" s="230" customFormat="1" ht="31.5" customHeight="1">
      <c r="B12" s="890"/>
      <c r="C12" s="787" t="s">
        <v>368</v>
      </c>
      <c r="D12" s="879"/>
      <c r="E12" s="247">
        <f t="shared" si="0"/>
        <v>5</v>
      </c>
      <c r="F12" s="627">
        <v>5</v>
      </c>
      <c r="G12" s="628">
        <v>5</v>
      </c>
      <c r="H12" s="628">
        <v>0</v>
      </c>
      <c r="I12" s="628">
        <v>0</v>
      </c>
      <c r="J12" s="628">
        <v>0</v>
      </c>
      <c r="K12" s="247">
        <v>0</v>
      </c>
      <c r="L12" s="624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8">
        <v>2</v>
      </c>
      <c r="U12" s="247">
        <v>2</v>
      </c>
      <c r="V12" s="627">
        <v>1</v>
      </c>
      <c r="W12" s="628">
        <v>0</v>
      </c>
      <c r="X12" s="628">
        <v>1</v>
      </c>
      <c r="Y12" s="628">
        <v>0</v>
      </c>
      <c r="Z12" s="247">
        <v>3</v>
      </c>
    </row>
    <row r="13" spans="2:26" s="230" customFormat="1" ht="31.5" customHeight="1">
      <c r="B13" s="890"/>
      <c r="C13" s="249"/>
      <c r="D13" s="250" t="s">
        <v>369</v>
      </c>
      <c r="E13" s="247">
        <f t="shared" si="0"/>
        <v>2</v>
      </c>
      <c r="F13" s="627">
        <v>2</v>
      </c>
      <c r="G13" s="628">
        <v>2</v>
      </c>
      <c r="H13" s="628">
        <v>0</v>
      </c>
      <c r="I13" s="628">
        <v>0</v>
      </c>
      <c r="J13" s="628">
        <v>0</v>
      </c>
      <c r="K13" s="247">
        <v>0</v>
      </c>
      <c r="L13" s="624">
        <v>0</v>
      </c>
      <c r="M13" s="625">
        <v>0</v>
      </c>
      <c r="N13" s="625">
        <v>0</v>
      </c>
      <c r="O13" s="625">
        <v>0</v>
      </c>
      <c r="P13" s="625">
        <v>0</v>
      </c>
      <c r="Q13" s="625">
        <v>0</v>
      </c>
      <c r="R13" s="625">
        <v>0</v>
      </c>
      <c r="S13" s="625">
        <v>0</v>
      </c>
      <c r="T13" s="628">
        <v>1</v>
      </c>
      <c r="U13" s="247">
        <v>0</v>
      </c>
      <c r="V13" s="627">
        <v>1</v>
      </c>
      <c r="W13" s="628">
        <v>0</v>
      </c>
      <c r="X13" s="628">
        <v>0</v>
      </c>
      <c r="Y13" s="628">
        <v>0</v>
      </c>
      <c r="Z13" s="247">
        <v>1</v>
      </c>
    </row>
    <row r="14" spans="2:26" s="230" customFormat="1" ht="31.5" customHeight="1">
      <c r="B14" s="890"/>
      <c r="C14" s="878" t="s">
        <v>370</v>
      </c>
      <c r="D14" s="879"/>
      <c r="E14" s="248">
        <f t="shared" si="0"/>
        <v>9</v>
      </c>
      <c r="F14" s="629">
        <v>8</v>
      </c>
      <c r="G14" s="628">
        <v>7</v>
      </c>
      <c r="H14" s="628">
        <v>0</v>
      </c>
      <c r="I14" s="628">
        <v>0</v>
      </c>
      <c r="J14" s="628">
        <v>0</v>
      </c>
      <c r="K14" s="248">
        <v>1</v>
      </c>
      <c r="L14" s="632">
        <v>1</v>
      </c>
      <c r="M14" s="630">
        <v>2</v>
      </c>
      <c r="N14" s="630">
        <v>3</v>
      </c>
      <c r="O14" s="630">
        <v>0</v>
      </c>
      <c r="P14" s="630">
        <v>0</v>
      </c>
      <c r="Q14" s="625">
        <v>0</v>
      </c>
      <c r="R14" s="625">
        <v>0</v>
      </c>
      <c r="S14" s="625">
        <v>0</v>
      </c>
      <c r="T14" s="630">
        <v>0</v>
      </c>
      <c r="U14" s="248">
        <v>3</v>
      </c>
      <c r="V14" s="629">
        <v>2</v>
      </c>
      <c r="W14" s="630">
        <v>0</v>
      </c>
      <c r="X14" s="630">
        <v>2</v>
      </c>
      <c r="Y14" s="630">
        <v>0</v>
      </c>
      <c r="Z14" s="248">
        <v>5</v>
      </c>
    </row>
    <row r="15" spans="2:26" s="230" customFormat="1" ht="31.5" customHeight="1" thickBot="1">
      <c r="B15" s="891"/>
      <c r="C15" s="881" t="s">
        <v>371</v>
      </c>
      <c r="D15" s="882"/>
      <c r="E15" s="251">
        <f t="shared" si="0"/>
        <v>11</v>
      </c>
      <c r="F15" s="633">
        <v>11</v>
      </c>
      <c r="G15" s="634">
        <v>10</v>
      </c>
      <c r="H15" s="628">
        <v>0</v>
      </c>
      <c r="I15" s="628">
        <v>0</v>
      </c>
      <c r="J15" s="628">
        <v>0</v>
      </c>
      <c r="K15" s="247">
        <v>0</v>
      </c>
      <c r="L15" s="635">
        <v>0</v>
      </c>
      <c r="M15" s="634">
        <v>2</v>
      </c>
      <c r="N15" s="634">
        <v>1</v>
      </c>
      <c r="O15" s="634">
        <v>1</v>
      </c>
      <c r="P15" s="634">
        <v>0</v>
      </c>
      <c r="Q15" s="634">
        <v>0</v>
      </c>
      <c r="R15" s="634">
        <v>0</v>
      </c>
      <c r="S15" s="634">
        <v>0</v>
      </c>
      <c r="T15" s="634">
        <v>1</v>
      </c>
      <c r="U15" s="251">
        <v>7</v>
      </c>
      <c r="V15" s="633">
        <v>3</v>
      </c>
      <c r="W15" s="634">
        <v>0</v>
      </c>
      <c r="X15" s="634">
        <v>0</v>
      </c>
      <c r="Y15" s="634">
        <v>0</v>
      </c>
      <c r="Z15" s="251">
        <v>8</v>
      </c>
    </row>
    <row r="16" spans="2:26" s="177" customFormat="1" ht="31.5" customHeight="1" thickBot="1" thickTop="1">
      <c r="B16" s="883" t="s">
        <v>163</v>
      </c>
      <c r="C16" s="884"/>
      <c r="D16" s="885"/>
      <c r="E16" s="252">
        <f aca="true" t="shared" si="1" ref="E16:K16">SUM(E6:E15)-E13</f>
        <v>36</v>
      </c>
      <c r="F16" s="253">
        <f t="shared" si="1"/>
        <v>28</v>
      </c>
      <c r="G16" s="254">
        <f t="shared" si="1"/>
        <v>26</v>
      </c>
      <c r="H16" s="254">
        <f t="shared" si="1"/>
        <v>0</v>
      </c>
      <c r="I16" s="254">
        <f t="shared" si="1"/>
        <v>3</v>
      </c>
      <c r="J16" s="254">
        <f t="shared" si="1"/>
        <v>0</v>
      </c>
      <c r="K16" s="252">
        <f t="shared" si="1"/>
        <v>5</v>
      </c>
      <c r="L16" s="413">
        <f>SUM(L6:L15)-L13</f>
        <v>1</v>
      </c>
      <c r="M16" s="254">
        <f aca="true" t="shared" si="2" ref="M16:U16">SUM(M6:M15)-M13</f>
        <v>5</v>
      </c>
      <c r="N16" s="254">
        <f t="shared" si="2"/>
        <v>4</v>
      </c>
      <c r="O16" s="254">
        <f t="shared" si="2"/>
        <v>1</v>
      </c>
      <c r="P16" s="254">
        <f t="shared" si="2"/>
        <v>0</v>
      </c>
      <c r="Q16" s="254">
        <f t="shared" si="2"/>
        <v>4</v>
      </c>
      <c r="R16" s="254">
        <f t="shared" si="2"/>
        <v>2</v>
      </c>
      <c r="S16" s="254">
        <f t="shared" si="2"/>
        <v>0</v>
      </c>
      <c r="T16" s="254">
        <f t="shared" si="2"/>
        <v>5</v>
      </c>
      <c r="U16" s="255">
        <f t="shared" si="2"/>
        <v>14</v>
      </c>
      <c r="V16" s="253">
        <f>SUM(V6:V15)-V13</f>
        <v>7</v>
      </c>
      <c r="W16" s="254">
        <f>SUM(W6:W15)-W13</f>
        <v>0</v>
      </c>
      <c r="X16" s="254">
        <f>SUM(X6:X15)-X13</f>
        <v>3</v>
      </c>
      <c r="Y16" s="254">
        <f>SUM(Y6:Y15)-Y13</f>
        <v>5</v>
      </c>
      <c r="Z16" s="252">
        <f>SUM(Z6:Z15)-Z13</f>
        <v>21</v>
      </c>
    </row>
    <row r="17" s="230" customFormat="1" ht="11.25"/>
    <row r="18" s="230" customFormat="1" ht="11.25"/>
    <row r="19" s="230" customFormat="1" ht="11.25"/>
    <row r="20" s="230" customFormat="1" ht="11.25"/>
    <row r="21" s="230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G21" sqref="G21"/>
    </sheetView>
  </sheetViews>
  <sheetFormatPr defaultColWidth="9.00390625" defaultRowHeight="13.5"/>
  <cols>
    <col min="1" max="1" width="11.125" style="47" customWidth="1"/>
    <col min="2" max="16" width="4.625" style="47" customWidth="1"/>
    <col min="17" max="17" width="5.125" style="47" customWidth="1"/>
    <col min="18" max="21" width="4.625" style="47" customWidth="1"/>
    <col min="22" max="25" width="4.25390625" style="47" customWidth="1"/>
    <col min="26" max="26" width="7.625" style="47" customWidth="1"/>
    <col min="27" max="27" width="5.75390625" style="47" customWidth="1"/>
    <col min="28" max="28" width="9.125" style="47" customWidth="1"/>
    <col min="29" max="29" width="7.625" style="47" customWidth="1"/>
    <col min="30" max="30" width="9.125" style="47" customWidth="1"/>
    <col min="31" max="31" width="5.125" style="47" customWidth="1"/>
    <col min="32" max="33" width="8.50390625" style="47" bestFit="1" customWidth="1"/>
    <col min="34" max="34" width="7.875" style="47" customWidth="1"/>
    <col min="35" max="36" width="7.00390625" style="47" customWidth="1"/>
    <col min="37" max="37" width="9.125" style="47" customWidth="1"/>
    <col min="38" max="38" width="7.625" style="47" customWidth="1"/>
    <col min="39" max="16384" width="9.00390625" style="47" customWidth="1"/>
  </cols>
  <sheetData>
    <row r="1" spans="21:22" ht="19.5" customHeight="1">
      <c r="U1" s="78" t="s">
        <v>558</v>
      </c>
      <c r="V1" s="79" t="s">
        <v>427</v>
      </c>
    </row>
    <row r="2" spans="32:38" ht="19.5" customHeight="1" thickBot="1">
      <c r="AF2" s="150"/>
      <c r="AG2" s="150"/>
      <c r="AH2" s="150"/>
      <c r="AI2" s="150"/>
      <c r="AJ2" s="150"/>
      <c r="AK2" s="150"/>
      <c r="AL2" s="177"/>
    </row>
    <row r="3" spans="1:38" ht="18" customHeight="1">
      <c r="A3" s="768"/>
      <c r="B3" s="894" t="s">
        <v>156</v>
      </c>
      <c r="C3" s="895"/>
      <c r="D3" s="895"/>
      <c r="E3" s="895"/>
      <c r="F3" s="895"/>
      <c r="G3" s="895"/>
      <c r="H3" s="896"/>
      <c r="I3" s="897" t="s">
        <v>157</v>
      </c>
      <c r="J3" s="895"/>
      <c r="K3" s="895"/>
      <c r="L3" s="853"/>
      <c r="M3" s="814" t="s">
        <v>302</v>
      </c>
      <c r="N3" s="898"/>
      <c r="O3" s="898"/>
      <c r="P3" s="899"/>
      <c r="Q3" s="919" t="s">
        <v>146</v>
      </c>
      <c r="R3" s="814" t="s">
        <v>159</v>
      </c>
      <c r="S3" s="898"/>
      <c r="T3" s="898"/>
      <c r="U3" s="899"/>
      <c r="V3" s="814" t="s">
        <v>160</v>
      </c>
      <c r="W3" s="898"/>
      <c r="X3" s="898"/>
      <c r="Y3" s="899"/>
      <c r="Z3" s="897" t="s">
        <v>161</v>
      </c>
      <c r="AA3" s="853"/>
      <c r="AB3" s="894" t="s">
        <v>22</v>
      </c>
      <c r="AC3" s="895"/>
      <c r="AD3" s="895"/>
      <c r="AE3" s="895"/>
      <c r="AF3" s="895"/>
      <c r="AG3" s="895"/>
      <c r="AH3" s="895"/>
      <c r="AI3" s="853"/>
      <c r="AJ3" s="853"/>
      <c r="AK3" s="896"/>
      <c r="AL3" s="910"/>
    </row>
    <row r="4" spans="1:38" ht="18" customHeight="1">
      <c r="A4" s="770"/>
      <c r="B4" s="913" t="s">
        <v>133</v>
      </c>
      <c r="C4" s="876" t="s">
        <v>134</v>
      </c>
      <c r="D4" s="876" t="s">
        <v>135</v>
      </c>
      <c r="E4" s="876" t="s">
        <v>136</v>
      </c>
      <c r="F4" s="876" t="s">
        <v>137</v>
      </c>
      <c r="G4" s="876" t="s">
        <v>138</v>
      </c>
      <c r="H4" s="915" t="s">
        <v>163</v>
      </c>
      <c r="I4" s="917" t="s">
        <v>141</v>
      </c>
      <c r="J4" s="777" t="s">
        <v>142</v>
      </c>
      <c r="K4" s="777" t="s">
        <v>164</v>
      </c>
      <c r="L4" s="900" t="s">
        <v>163</v>
      </c>
      <c r="M4" s="902" t="s">
        <v>165</v>
      </c>
      <c r="N4" s="777" t="s">
        <v>166</v>
      </c>
      <c r="O4" s="777" t="s">
        <v>167</v>
      </c>
      <c r="P4" s="904" t="s">
        <v>163</v>
      </c>
      <c r="Q4" s="920"/>
      <c r="R4" s="902" t="s">
        <v>168</v>
      </c>
      <c r="S4" s="777" t="s">
        <v>169</v>
      </c>
      <c r="T4" s="777" t="s">
        <v>138</v>
      </c>
      <c r="U4" s="904" t="s">
        <v>163</v>
      </c>
      <c r="V4" s="902" t="s">
        <v>168</v>
      </c>
      <c r="W4" s="777" t="s">
        <v>169</v>
      </c>
      <c r="X4" s="777" t="s">
        <v>138</v>
      </c>
      <c r="Y4" s="904" t="s">
        <v>163</v>
      </c>
      <c r="Z4" s="906" t="s">
        <v>170</v>
      </c>
      <c r="AA4" s="908" t="s">
        <v>171</v>
      </c>
      <c r="AB4" s="924" t="s">
        <v>172</v>
      </c>
      <c r="AC4" s="925"/>
      <c r="AD4" s="925"/>
      <c r="AE4" s="777" t="s">
        <v>173</v>
      </c>
      <c r="AF4" s="876" t="s">
        <v>174</v>
      </c>
      <c r="AG4" s="876" t="s">
        <v>175</v>
      </c>
      <c r="AH4" s="876" t="s">
        <v>176</v>
      </c>
      <c r="AI4" s="777" t="s">
        <v>177</v>
      </c>
      <c r="AJ4" s="777" t="s">
        <v>372</v>
      </c>
      <c r="AK4" s="915" t="s">
        <v>163</v>
      </c>
      <c r="AL4" s="911"/>
    </row>
    <row r="5" spans="1:38" ht="53.25" customHeight="1" thickBot="1">
      <c r="A5" s="772"/>
      <c r="B5" s="914"/>
      <c r="C5" s="877"/>
      <c r="D5" s="877"/>
      <c r="E5" s="877"/>
      <c r="F5" s="877"/>
      <c r="G5" s="877"/>
      <c r="H5" s="916"/>
      <c r="I5" s="918"/>
      <c r="J5" s="778"/>
      <c r="K5" s="778"/>
      <c r="L5" s="901"/>
      <c r="M5" s="903"/>
      <c r="N5" s="778"/>
      <c r="O5" s="778"/>
      <c r="P5" s="905"/>
      <c r="Q5" s="921"/>
      <c r="R5" s="903"/>
      <c r="S5" s="778"/>
      <c r="T5" s="778"/>
      <c r="U5" s="905"/>
      <c r="V5" s="903"/>
      <c r="W5" s="778"/>
      <c r="X5" s="778"/>
      <c r="Y5" s="905"/>
      <c r="Z5" s="907"/>
      <c r="AA5" s="909"/>
      <c r="AB5" s="256" t="s">
        <v>133</v>
      </c>
      <c r="AC5" s="69" t="s">
        <v>178</v>
      </c>
      <c r="AD5" s="69" t="s">
        <v>163</v>
      </c>
      <c r="AE5" s="778"/>
      <c r="AF5" s="877"/>
      <c r="AG5" s="877"/>
      <c r="AH5" s="877"/>
      <c r="AI5" s="778"/>
      <c r="AJ5" s="778"/>
      <c r="AK5" s="916"/>
      <c r="AL5" s="912"/>
    </row>
    <row r="6" spans="1:38" s="230" customFormat="1" ht="24.75" customHeight="1" thickBot="1">
      <c r="A6" s="257" t="s">
        <v>303</v>
      </c>
      <c r="B6" s="258">
        <f aca="true" t="shared" si="0" ref="B6:AK6">SUM(B7:B35)</f>
        <v>349</v>
      </c>
      <c r="C6" s="259">
        <f t="shared" si="0"/>
        <v>59</v>
      </c>
      <c r="D6" s="259">
        <f t="shared" si="0"/>
        <v>73</v>
      </c>
      <c r="E6" s="259">
        <f t="shared" si="0"/>
        <v>3</v>
      </c>
      <c r="F6" s="259">
        <f t="shared" si="0"/>
        <v>0</v>
      </c>
      <c r="G6" s="260">
        <f t="shared" si="0"/>
        <v>223</v>
      </c>
      <c r="H6" s="261">
        <f t="shared" si="0"/>
        <v>707</v>
      </c>
      <c r="I6" s="262">
        <f t="shared" si="0"/>
        <v>136</v>
      </c>
      <c r="J6" s="260">
        <f t="shared" si="0"/>
        <v>36</v>
      </c>
      <c r="K6" s="260">
        <f t="shared" si="0"/>
        <v>335</v>
      </c>
      <c r="L6" s="263">
        <f t="shared" si="0"/>
        <v>507</v>
      </c>
      <c r="M6" s="264">
        <f t="shared" si="0"/>
        <v>104</v>
      </c>
      <c r="N6" s="260">
        <f t="shared" si="0"/>
        <v>25</v>
      </c>
      <c r="O6" s="260">
        <f t="shared" si="0"/>
        <v>202</v>
      </c>
      <c r="P6" s="261">
        <f t="shared" si="0"/>
        <v>331</v>
      </c>
      <c r="Q6" s="265">
        <f t="shared" si="0"/>
        <v>775</v>
      </c>
      <c r="R6" s="264">
        <f t="shared" si="0"/>
        <v>0</v>
      </c>
      <c r="S6" s="260">
        <f t="shared" si="0"/>
        <v>0</v>
      </c>
      <c r="T6" s="260">
        <f t="shared" si="0"/>
        <v>36</v>
      </c>
      <c r="U6" s="261">
        <f t="shared" si="0"/>
        <v>36</v>
      </c>
      <c r="V6" s="264">
        <f t="shared" si="0"/>
        <v>2</v>
      </c>
      <c r="W6" s="260">
        <f t="shared" si="0"/>
        <v>4</v>
      </c>
      <c r="X6" s="260">
        <f t="shared" si="0"/>
        <v>92</v>
      </c>
      <c r="Y6" s="261">
        <f t="shared" si="0"/>
        <v>98</v>
      </c>
      <c r="Z6" s="262">
        <f t="shared" si="0"/>
        <v>17212</v>
      </c>
      <c r="AA6" s="263">
        <f t="shared" si="0"/>
        <v>615</v>
      </c>
      <c r="AB6" s="264">
        <f t="shared" si="0"/>
        <v>700690</v>
      </c>
      <c r="AC6" s="260">
        <f t="shared" si="0"/>
        <v>197900</v>
      </c>
      <c r="AD6" s="260">
        <f t="shared" si="0"/>
        <v>898590</v>
      </c>
      <c r="AE6" s="260">
        <f t="shared" si="0"/>
        <v>4185</v>
      </c>
      <c r="AF6" s="260">
        <f t="shared" si="0"/>
        <v>34654</v>
      </c>
      <c r="AG6" s="260">
        <f t="shared" si="0"/>
        <v>8540</v>
      </c>
      <c r="AH6" s="260">
        <f t="shared" si="0"/>
        <v>0</v>
      </c>
      <c r="AI6" s="260">
        <f t="shared" si="0"/>
        <v>69297</v>
      </c>
      <c r="AJ6" s="260">
        <f t="shared" si="0"/>
        <v>63601</v>
      </c>
      <c r="AK6" s="261">
        <f t="shared" si="0"/>
        <v>1078867</v>
      </c>
      <c r="AL6" s="266" t="s">
        <v>303</v>
      </c>
    </row>
    <row r="7" spans="1:38" ht="24.75" customHeight="1" thickTop="1">
      <c r="A7" s="267" t="s">
        <v>98</v>
      </c>
      <c r="B7" s="508">
        <f>46+2+3+5+2</f>
        <v>58</v>
      </c>
      <c r="C7" s="506">
        <f>0+1+1+3</f>
        <v>5</v>
      </c>
      <c r="D7" s="506">
        <f>13+1+1</f>
        <v>15</v>
      </c>
      <c r="E7" s="506">
        <v>1</v>
      </c>
      <c r="F7" s="501">
        <v>0</v>
      </c>
      <c r="G7" s="506">
        <f>34+1+1+1</f>
        <v>37</v>
      </c>
      <c r="H7" s="268">
        <f>SUM(B7:G7)</f>
        <v>116</v>
      </c>
      <c r="I7" s="507">
        <f>19+3+2</f>
        <v>24</v>
      </c>
      <c r="J7" s="506">
        <v>4</v>
      </c>
      <c r="K7" s="506">
        <f>47+2+3+7+2</f>
        <v>61</v>
      </c>
      <c r="L7" s="269">
        <f aca="true" t="shared" si="1" ref="L7:L31">SUM(I7:K7)</f>
        <v>89</v>
      </c>
      <c r="M7" s="508">
        <f>21+1+2</f>
        <v>24</v>
      </c>
      <c r="N7" s="506">
        <v>1</v>
      </c>
      <c r="O7" s="506">
        <f>32+1+1+3+1</f>
        <v>38</v>
      </c>
      <c r="P7" s="268">
        <f>SUM(M7:O7)</f>
        <v>63</v>
      </c>
      <c r="Q7" s="509">
        <f>111+1+11+14+2</f>
        <v>139</v>
      </c>
      <c r="R7" s="508">
        <v>0</v>
      </c>
      <c r="S7" s="506">
        <v>0</v>
      </c>
      <c r="T7" s="506">
        <v>5</v>
      </c>
      <c r="U7" s="268">
        <f>SUM(R7:T7)</f>
        <v>5</v>
      </c>
      <c r="V7" s="508">
        <v>0</v>
      </c>
      <c r="W7" s="506">
        <v>0</v>
      </c>
      <c r="X7" s="506">
        <f>12+1+1</f>
        <v>14</v>
      </c>
      <c r="Y7" s="268">
        <f>SUM(V7:X7)</f>
        <v>14</v>
      </c>
      <c r="Z7" s="507">
        <f>2689+6+501+16+4</f>
        <v>3216</v>
      </c>
      <c r="AA7" s="510">
        <f>2+2+100+39</f>
        <v>143</v>
      </c>
      <c r="AB7" s="508">
        <f>47565+84+12711+1055+63</f>
        <v>61478</v>
      </c>
      <c r="AC7" s="506">
        <f>17462+3+1743+81+11</f>
        <v>19300</v>
      </c>
      <c r="AD7" s="270">
        <f>SUM(AB7:AC7)</f>
        <v>80778</v>
      </c>
      <c r="AE7" s="506">
        <f>0+933</f>
        <v>933</v>
      </c>
      <c r="AF7" s="506">
        <f>4426+480+13</f>
        <v>4919</v>
      </c>
      <c r="AG7" s="506">
        <v>2950</v>
      </c>
      <c r="AH7" s="506">
        <v>0</v>
      </c>
      <c r="AI7" s="506">
        <v>343</v>
      </c>
      <c r="AJ7" s="510">
        <v>0</v>
      </c>
      <c r="AK7" s="268">
        <f>SUM(AD7:AJ7)</f>
        <v>89923</v>
      </c>
      <c r="AL7" s="267" t="s">
        <v>98</v>
      </c>
    </row>
    <row r="8" spans="1:38" ht="24.75" customHeight="1">
      <c r="A8" s="271" t="s">
        <v>99</v>
      </c>
      <c r="B8" s="503">
        <v>55</v>
      </c>
      <c r="C8" s="501">
        <v>2</v>
      </c>
      <c r="D8" s="501">
        <v>6</v>
      </c>
      <c r="E8" s="501">
        <v>1</v>
      </c>
      <c r="F8" s="501">
        <v>0</v>
      </c>
      <c r="G8" s="501">
        <v>25</v>
      </c>
      <c r="H8" s="272">
        <f aca="true" t="shared" si="2" ref="H8:H35">SUM(B8:G8)</f>
        <v>89</v>
      </c>
      <c r="I8" s="502">
        <v>23</v>
      </c>
      <c r="J8" s="501">
        <v>6</v>
      </c>
      <c r="K8" s="501">
        <v>70</v>
      </c>
      <c r="L8" s="273">
        <f t="shared" si="1"/>
        <v>99</v>
      </c>
      <c r="M8" s="503">
        <v>25</v>
      </c>
      <c r="N8" s="501">
        <v>2</v>
      </c>
      <c r="O8" s="501">
        <v>47</v>
      </c>
      <c r="P8" s="272">
        <f aca="true" t="shared" si="3" ref="P8:P35">SUM(M8:O8)</f>
        <v>74</v>
      </c>
      <c r="Q8" s="504">
        <v>190</v>
      </c>
      <c r="R8" s="503">
        <v>0</v>
      </c>
      <c r="S8" s="501">
        <v>0</v>
      </c>
      <c r="T8" s="501">
        <v>7</v>
      </c>
      <c r="U8" s="272">
        <f aca="true" t="shared" si="4" ref="U8:U35">SUM(R8:T8)</f>
        <v>7</v>
      </c>
      <c r="V8" s="503">
        <v>1</v>
      </c>
      <c r="W8" s="501">
        <v>0</v>
      </c>
      <c r="X8" s="501">
        <v>26</v>
      </c>
      <c r="Y8" s="272">
        <f aca="true" t="shared" si="5" ref="Y8:Y35">SUM(V8:X8)</f>
        <v>27</v>
      </c>
      <c r="Z8" s="502">
        <v>2547</v>
      </c>
      <c r="AA8" s="505">
        <v>44</v>
      </c>
      <c r="AB8" s="503">
        <v>115619</v>
      </c>
      <c r="AC8" s="501">
        <v>19820</v>
      </c>
      <c r="AD8" s="274">
        <f aca="true" t="shared" si="6" ref="AD8:AD35">SUM(AB8:AC8)</f>
        <v>135439</v>
      </c>
      <c r="AE8" s="501">
        <v>0</v>
      </c>
      <c r="AF8" s="501">
        <v>388</v>
      </c>
      <c r="AG8" s="501">
        <v>5000</v>
      </c>
      <c r="AH8" s="501">
        <v>0</v>
      </c>
      <c r="AI8" s="501">
        <v>808</v>
      </c>
      <c r="AJ8" s="505">
        <v>1</v>
      </c>
      <c r="AK8" s="272">
        <f aca="true" t="shared" si="7" ref="AK8:AK35">SUM(AD8:AJ8)</f>
        <v>141636</v>
      </c>
      <c r="AL8" s="271" t="s">
        <v>99</v>
      </c>
    </row>
    <row r="9" spans="1:38" ht="24.75" customHeight="1">
      <c r="A9" s="271" t="s">
        <v>100</v>
      </c>
      <c r="B9" s="503">
        <f>24+4+2+4+1</f>
        <v>35</v>
      </c>
      <c r="C9" s="501">
        <f>2+2+1</f>
        <v>5</v>
      </c>
      <c r="D9" s="501">
        <f>9+2</f>
        <v>11</v>
      </c>
      <c r="E9" s="501">
        <v>0</v>
      </c>
      <c r="F9" s="501">
        <v>0</v>
      </c>
      <c r="G9" s="501">
        <f>6+2+3+6</f>
        <v>17</v>
      </c>
      <c r="H9" s="272">
        <f t="shared" si="2"/>
        <v>68</v>
      </c>
      <c r="I9" s="502">
        <f>7+1+1</f>
        <v>9</v>
      </c>
      <c r="J9" s="501">
        <f>1+1</f>
        <v>2</v>
      </c>
      <c r="K9" s="501">
        <f>21+3+1+6+1</f>
        <v>32</v>
      </c>
      <c r="L9" s="273">
        <f t="shared" si="1"/>
        <v>43</v>
      </c>
      <c r="M9" s="503">
        <f>8+1+1</f>
        <v>10</v>
      </c>
      <c r="N9" s="501">
        <v>1</v>
      </c>
      <c r="O9" s="501">
        <f>16+2+4+1</f>
        <v>23</v>
      </c>
      <c r="P9" s="272">
        <f t="shared" si="3"/>
        <v>34</v>
      </c>
      <c r="Q9" s="504">
        <f>55+10+13+4</f>
        <v>82</v>
      </c>
      <c r="R9" s="503">
        <v>0</v>
      </c>
      <c r="S9" s="501">
        <v>0</v>
      </c>
      <c r="T9" s="501">
        <f>2+1</f>
        <v>3</v>
      </c>
      <c r="U9" s="272">
        <f t="shared" si="4"/>
        <v>3</v>
      </c>
      <c r="V9" s="503">
        <v>0</v>
      </c>
      <c r="W9" s="501">
        <v>1</v>
      </c>
      <c r="X9" s="501">
        <f>6+2</f>
        <v>8</v>
      </c>
      <c r="Y9" s="272">
        <f t="shared" si="5"/>
        <v>9</v>
      </c>
      <c r="Z9" s="502">
        <f>723+346+15+83+3</f>
        <v>1170</v>
      </c>
      <c r="AA9" s="505">
        <f>16+53+10</f>
        <v>79</v>
      </c>
      <c r="AB9" s="503">
        <f>59987+4684+495+3159+1</f>
        <v>68326</v>
      </c>
      <c r="AC9" s="501">
        <f>14989+2170+38+1000+35</f>
        <v>18232</v>
      </c>
      <c r="AD9" s="274">
        <f t="shared" si="6"/>
        <v>86558</v>
      </c>
      <c r="AE9" s="501">
        <f>10+570</f>
        <v>580</v>
      </c>
      <c r="AF9" s="501">
        <f>10502+81</f>
        <v>10583</v>
      </c>
      <c r="AG9" s="501">
        <v>0</v>
      </c>
      <c r="AH9" s="501">
        <v>0</v>
      </c>
      <c r="AI9" s="501">
        <f>66+5</f>
        <v>71</v>
      </c>
      <c r="AJ9" s="505">
        <v>110</v>
      </c>
      <c r="AK9" s="272">
        <f t="shared" si="7"/>
        <v>97902</v>
      </c>
      <c r="AL9" s="271" t="s">
        <v>100</v>
      </c>
    </row>
    <row r="10" spans="1:38" ht="24.75" customHeight="1">
      <c r="A10" s="271" t="s">
        <v>101</v>
      </c>
      <c r="B10" s="503">
        <f>9+1+1+1+1+1+1</f>
        <v>15</v>
      </c>
      <c r="C10" s="501">
        <f>3+2</f>
        <v>5</v>
      </c>
      <c r="D10" s="501">
        <v>0</v>
      </c>
      <c r="E10" s="501">
        <v>0</v>
      </c>
      <c r="F10" s="501">
        <v>0</v>
      </c>
      <c r="G10" s="501">
        <v>2</v>
      </c>
      <c r="H10" s="272">
        <f t="shared" si="2"/>
        <v>22</v>
      </c>
      <c r="I10" s="502">
        <f>2+3+2+1+1+3+1</f>
        <v>13</v>
      </c>
      <c r="J10" s="501">
        <v>0</v>
      </c>
      <c r="K10" s="501">
        <f>8+1+1</f>
        <v>10</v>
      </c>
      <c r="L10" s="273">
        <f t="shared" si="1"/>
        <v>23</v>
      </c>
      <c r="M10" s="503">
        <f>1+1+1</f>
        <v>3</v>
      </c>
      <c r="N10" s="501">
        <v>0</v>
      </c>
      <c r="O10" s="501">
        <f>8+1</f>
        <v>9</v>
      </c>
      <c r="P10" s="272">
        <f t="shared" si="3"/>
        <v>12</v>
      </c>
      <c r="Q10" s="504">
        <f>20+1+2+3</f>
        <v>26</v>
      </c>
      <c r="R10" s="503">
        <v>0</v>
      </c>
      <c r="S10" s="501">
        <v>0</v>
      </c>
      <c r="T10" s="501">
        <f>1+1+2</f>
        <v>4</v>
      </c>
      <c r="U10" s="272">
        <f t="shared" si="4"/>
        <v>4</v>
      </c>
      <c r="V10" s="503">
        <v>0</v>
      </c>
      <c r="W10" s="501">
        <v>0</v>
      </c>
      <c r="X10" s="501">
        <v>2</v>
      </c>
      <c r="Y10" s="272">
        <f t="shared" si="5"/>
        <v>2</v>
      </c>
      <c r="Z10" s="502">
        <f>70+336+42+137+38+208+384</f>
        <v>1215</v>
      </c>
      <c r="AA10" s="505">
        <f>2+10+5+1</f>
        <v>18</v>
      </c>
      <c r="AB10" s="503">
        <f>5825+5397+221+966+440+4616+140</f>
        <v>17605</v>
      </c>
      <c r="AC10" s="501">
        <f>862+1814+127+502+150+620</f>
        <v>4075</v>
      </c>
      <c r="AD10" s="274">
        <f t="shared" si="6"/>
        <v>21680</v>
      </c>
      <c r="AE10" s="501">
        <v>2000</v>
      </c>
      <c r="AF10" s="501">
        <v>0</v>
      </c>
      <c r="AG10" s="501">
        <v>0</v>
      </c>
      <c r="AH10" s="501">
        <v>0</v>
      </c>
      <c r="AI10" s="501">
        <v>0</v>
      </c>
      <c r="AJ10" s="505">
        <v>0</v>
      </c>
      <c r="AK10" s="272">
        <f t="shared" si="7"/>
        <v>23680</v>
      </c>
      <c r="AL10" s="271" t="s">
        <v>101</v>
      </c>
    </row>
    <row r="11" spans="1:38" ht="24.75" customHeight="1">
      <c r="A11" s="271" t="s">
        <v>102</v>
      </c>
      <c r="B11" s="503">
        <v>23</v>
      </c>
      <c r="C11" s="501">
        <v>3</v>
      </c>
      <c r="D11" s="501">
        <v>6</v>
      </c>
      <c r="E11" s="501">
        <v>0</v>
      </c>
      <c r="F11" s="501">
        <v>0</v>
      </c>
      <c r="G11" s="501">
        <v>28</v>
      </c>
      <c r="H11" s="272">
        <f t="shared" si="2"/>
        <v>60</v>
      </c>
      <c r="I11" s="502">
        <v>4</v>
      </c>
      <c r="J11" s="501">
        <v>5</v>
      </c>
      <c r="K11" s="501">
        <v>21</v>
      </c>
      <c r="L11" s="273">
        <f t="shared" si="1"/>
        <v>30</v>
      </c>
      <c r="M11" s="503">
        <v>3</v>
      </c>
      <c r="N11" s="501">
        <v>4</v>
      </c>
      <c r="O11" s="501">
        <v>13</v>
      </c>
      <c r="P11" s="272">
        <f t="shared" si="3"/>
        <v>20</v>
      </c>
      <c r="Q11" s="504">
        <v>48</v>
      </c>
      <c r="R11" s="503">
        <v>0</v>
      </c>
      <c r="S11" s="501">
        <v>0</v>
      </c>
      <c r="T11" s="501">
        <v>7</v>
      </c>
      <c r="U11" s="272">
        <f t="shared" si="4"/>
        <v>7</v>
      </c>
      <c r="V11" s="503">
        <v>0</v>
      </c>
      <c r="W11" s="501">
        <v>0</v>
      </c>
      <c r="X11" s="501">
        <v>4</v>
      </c>
      <c r="Y11" s="272">
        <f t="shared" si="5"/>
        <v>4</v>
      </c>
      <c r="Z11" s="502">
        <v>463</v>
      </c>
      <c r="AA11" s="505">
        <v>9</v>
      </c>
      <c r="AB11" s="503">
        <v>16345</v>
      </c>
      <c r="AC11" s="501">
        <v>3138</v>
      </c>
      <c r="AD11" s="274">
        <f t="shared" si="6"/>
        <v>19483</v>
      </c>
      <c r="AE11" s="501">
        <v>71</v>
      </c>
      <c r="AF11" s="501">
        <v>9025</v>
      </c>
      <c r="AG11" s="501">
        <v>0</v>
      </c>
      <c r="AH11" s="501">
        <v>0</v>
      </c>
      <c r="AI11" s="501">
        <v>6266</v>
      </c>
      <c r="AJ11" s="505">
        <v>0</v>
      </c>
      <c r="AK11" s="272">
        <f t="shared" si="7"/>
        <v>34845</v>
      </c>
      <c r="AL11" s="271" t="s">
        <v>102</v>
      </c>
    </row>
    <row r="12" spans="1:38" ht="24.75" customHeight="1">
      <c r="A12" s="271" t="s">
        <v>103</v>
      </c>
      <c r="B12" s="503">
        <v>11</v>
      </c>
      <c r="C12" s="501">
        <v>0</v>
      </c>
      <c r="D12" s="501">
        <v>0</v>
      </c>
      <c r="E12" s="501">
        <v>0</v>
      </c>
      <c r="F12" s="501">
        <v>0</v>
      </c>
      <c r="G12" s="501">
        <v>7</v>
      </c>
      <c r="H12" s="272">
        <f t="shared" si="2"/>
        <v>18</v>
      </c>
      <c r="I12" s="502">
        <v>4</v>
      </c>
      <c r="J12" s="501">
        <v>4</v>
      </c>
      <c r="K12" s="501">
        <v>10</v>
      </c>
      <c r="L12" s="273">
        <f t="shared" si="1"/>
        <v>18</v>
      </c>
      <c r="M12" s="503">
        <v>2</v>
      </c>
      <c r="N12" s="501">
        <v>2</v>
      </c>
      <c r="O12" s="501">
        <v>5</v>
      </c>
      <c r="P12" s="272">
        <f t="shared" si="3"/>
        <v>9</v>
      </c>
      <c r="Q12" s="504">
        <v>29</v>
      </c>
      <c r="R12" s="503">
        <v>0</v>
      </c>
      <c r="S12" s="501">
        <v>0</v>
      </c>
      <c r="T12" s="501">
        <v>1</v>
      </c>
      <c r="U12" s="272">
        <f t="shared" si="4"/>
        <v>1</v>
      </c>
      <c r="V12" s="503">
        <v>1</v>
      </c>
      <c r="W12" s="501">
        <v>0</v>
      </c>
      <c r="X12" s="501">
        <v>2</v>
      </c>
      <c r="Y12" s="272">
        <f t="shared" si="5"/>
        <v>3</v>
      </c>
      <c r="Z12" s="502">
        <v>797</v>
      </c>
      <c r="AA12" s="505">
        <v>0</v>
      </c>
      <c r="AB12" s="503">
        <v>26347</v>
      </c>
      <c r="AC12" s="501">
        <v>29596</v>
      </c>
      <c r="AD12" s="274">
        <f t="shared" si="6"/>
        <v>55943</v>
      </c>
      <c r="AE12" s="501">
        <v>0</v>
      </c>
      <c r="AF12" s="501">
        <v>60</v>
      </c>
      <c r="AG12" s="501">
        <v>0</v>
      </c>
      <c r="AH12" s="501">
        <v>0</v>
      </c>
      <c r="AI12" s="501">
        <v>335</v>
      </c>
      <c r="AJ12" s="505">
        <v>0</v>
      </c>
      <c r="AK12" s="272">
        <f t="shared" si="7"/>
        <v>56338</v>
      </c>
      <c r="AL12" s="271" t="s">
        <v>103</v>
      </c>
    </row>
    <row r="13" spans="1:38" ht="24.75" customHeight="1">
      <c r="A13" s="271" t="s">
        <v>104</v>
      </c>
      <c r="B13" s="503">
        <v>32</v>
      </c>
      <c r="C13" s="501">
        <v>2</v>
      </c>
      <c r="D13" s="501">
        <v>6</v>
      </c>
      <c r="E13" s="501">
        <v>0</v>
      </c>
      <c r="F13" s="501">
        <v>0</v>
      </c>
      <c r="G13" s="501">
        <v>15</v>
      </c>
      <c r="H13" s="272">
        <f t="shared" si="2"/>
        <v>55</v>
      </c>
      <c r="I13" s="502">
        <v>13</v>
      </c>
      <c r="J13" s="501">
        <v>1</v>
      </c>
      <c r="K13" s="501">
        <v>42</v>
      </c>
      <c r="L13" s="273">
        <f t="shared" si="1"/>
        <v>56</v>
      </c>
      <c r="M13" s="503">
        <v>5</v>
      </c>
      <c r="N13" s="501">
        <v>2</v>
      </c>
      <c r="O13" s="501">
        <v>25</v>
      </c>
      <c r="P13" s="272">
        <f t="shared" si="3"/>
        <v>32</v>
      </c>
      <c r="Q13" s="504">
        <v>67</v>
      </c>
      <c r="R13" s="503">
        <v>0</v>
      </c>
      <c r="S13" s="501">
        <v>0</v>
      </c>
      <c r="T13" s="501">
        <v>0</v>
      </c>
      <c r="U13" s="272">
        <f t="shared" si="4"/>
        <v>0</v>
      </c>
      <c r="V13" s="503">
        <v>0</v>
      </c>
      <c r="W13" s="501">
        <v>0</v>
      </c>
      <c r="X13" s="501">
        <v>7</v>
      </c>
      <c r="Y13" s="272">
        <f t="shared" si="5"/>
        <v>7</v>
      </c>
      <c r="Z13" s="502">
        <v>1207</v>
      </c>
      <c r="AA13" s="505">
        <v>3</v>
      </c>
      <c r="AB13" s="503">
        <v>37415</v>
      </c>
      <c r="AC13" s="501">
        <v>12598</v>
      </c>
      <c r="AD13" s="274">
        <f t="shared" si="6"/>
        <v>50013</v>
      </c>
      <c r="AE13" s="501">
        <v>2</v>
      </c>
      <c r="AF13" s="501">
        <v>864</v>
      </c>
      <c r="AG13" s="501">
        <v>0</v>
      </c>
      <c r="AH13" s="501">
        <v>0</v>
      </c>
      <c r="AI13" s="501">
        <v>3034</v>
      </c>
      <c r="AJ13" s="505">
        <v>0</v>
      </c>
      <c r="AK13" s="272">
        <f t="shared" si="7"/>
        <v>53913</v>
      </c>
      <c r="AL13" s="271" t="s">
        <v>104</v>
      </c>
    </row>
    <row r="14" spans="1:38" ht="24.75" customHeight="1">
      <c r="A14" s="271" t="s">
        <v>105</v>
      </c>
      <c r="B14" s="651">
        <v>15</v>
      </c>
      <c r="C14" s="652">
        <v>4</v>
      </c>
      <c r="D14" s="652">
        <v>0</v>
      </c>
      <c r="E14" s="501">
        <v>0</v>
      </c>
      <c r="F14" s="501">
        <v>0</v>
      </c>
      <c r="G14" s="511">
        <v>10</v>
      </c>
      <c r="H14" s="272">
        <f t="shared" si="2"/>
        <v>29</v>
      </c>
      <c r="I14" s="512">
        <v>6</v>
      </c>
      <c r="J14" s="511">
        <v>1</v>
      </c>
      <c r="K14" s="511">
        <v>8</v>
      </c>
      <c r="L14" s="273">
        <f t="shared" si="1"/>
        <v>15</v>
      </c>
      <c r="M14" s="513">
        <v>6</v>
      </c>
      <c r="N14" s="511">
        <v>1</v>
      </c>
      <c r="O14" s="511">
        <v>3</v>
      </c>
      <c r="P14" s="272">
        <f t="shared" si="3"/>
        <v>10</v>
      </c>
      <c r="Q14" s="514">
        <v>16</v>
      </c>
      <c r="R14" s="513">
        <v>0</v>
      </c>
      <c r="S14" s="511">
        <v>0</v>
      </c>
      <c r="T14" s="511">
        <v>2</v>
      </c>
      <c r="U14" s="272">
        <f t="shared" si="4"/>
        <v>2</v>
      </c>
      <c r="V14" s="515">
        <v>0</v>
      </c>
      <c r="W14" s="516">
        <v>0</v>
      </c>
      <c r="X14" s="516">
        <v>5</v>
      </c>
      <c r="Y14" s="268">
        <f t="shared" si="5"/>
        <v>5</v>
      </c>
      <c r="Z14" s="512">
        <v>871</v>
      </c>
      <c r="AA14" s="517">
        <v>6</v>
      </c>
      <c r="AB14" s="513">
        <v>33897</v>
      </c>
      <c r="AC14" s="511">
        <v>7832</v>
      </c>
      <c r="AD14" s="274">
        <f t="shared" si="6"/>
        <v>41729</v>
      </c>
      <c r="AE14" s="511">
        <v>260</v>
      </c>
      <c r="AF14" s="511">
        <v>0</v>
      </c>
      <c r="AG14" s="511">
        <v>0</v>
      </c>
      <c r="AH14" s="511">
        <v>0</v>
      </c>
      <c r="AI14" s="511">
        <v>0</v>
      </c>
      <c r="AJ14" s="517">
        <v>1593</v>
      </c>
      <c r="AK14" s="272">
        <f t="shared" si="7"/>
        <v>43582</v>
      </c>
      <c r="AL14" s="271" t="s">
        <v>105</v>
      </c>
    </row>
    <row r="15" spans="1:38" ht="24.75" customHeight="1">
      <c r="A15" s="271" t="s">
        <v>106</v>
      </c>
      <c r="B15" s="503">
        <f>10+2+1+1</f>
        <v>14</v>
      </c>
      <c r="C15" s="501">
        <f>2+2</f>
        <v>4</v>
      </c>
      <c r="D15" s="501">
        <v>0</v>
      </c>
      <c r="E15" s="501">
        <v>0</v>
      </c>
      <c r="F15" s="501">
        <v>0</v>
      </c>
      <c r="G15" s="501">
        <f>3+7</f>
        <v>10</v>
      </c>
      <c r="H15" s="272">
        <f t="shared" si="2"/>
        <v>28</v>
      </c>
      <c r="I15" s="502">
        <f>3+1</f>
        <v>4</v>
      </c>
      <c r="J15" s="501">
        <v>2</v>
      </c>
      <c r="K15" s="501">
        <f>8+2+1+1</f>
        <v>12</v>
      </c>
      <c r="L15" s="273">
        <f t="shared" si="1"/>
        <v>18</v>
      </c>
      <c r="M15" s="503">
        <v>1</v>
      </c>
      <c r="N15" s="501">
        <v>2</v>
      </c>
      <c r="O15" s="501">
        <v>2</v>
      </c>
      <c r="P15" s="272">
        <f t="shared" si="3"/>
        <v>5</v>
      </c>
      <c r="Q15" s="504">
        <v>13</v>
      </c>
      <c r="R15" s="503">
        <v>0</v>
      </c>
      <c r="S15" s="501">
        <v>0</v>
      </c>
      <c r="T15" s="501">
        <f>0+1</f>
        <v>1</v>
      </c>
      <c r="U15" s="272">
        <f t="shared" si="4"/>
        <v>1</v>
      </c>
      <c r="V15" s="503">
        <v>0</v>
      </c>
      <c r="W15" s="501">
        <v>1</v>
      </c>
      <c r="X15" s="501">
        <f>2+1</f>
        <v>3</v>
      </c>
      <c r="Y15" s="272">
        <f t="shared" si="5"/>
        <v>4</v>
      </c>
      <c r="Z15" s="502">
        <f>370+10+330</f>
        <v>710</v>
      </c>
      <c r="AA15" s="505">
        <f>13+2</f>
        <v>15</v>
      </c>
      <c r="AB15" s="503">
        <f>21108+179+109+23621</f>
        <v>45017</v>
      </c>
      <c r="AC15" s="501">
        <f>4227+55+121+2995</f>
        <v>7398</v>
      </c>
      <c r="AD15" s="274">
        <f t="shared" si="6"/>
        <v>52415</v>
      </c>
      <c r="AE15" s="501">
        <v>2</v>
      </c>
      <c r="AF15" s="501">
        <f>0+62</f>
        <v>62</v>
      </c>
      <c r="AG15" s="501">
        <v>0</v>
      </c>
      <c r="AH15" s="501">
        <v>0</v>
      </c>
      <c r="AI15" s="501">
        <f>0+1057</f>
        <v>1057</v>
      </c>
      <c r="AJ15" s="505">
        <v>0</v>
      </c>
      <c r="AK15" s="272">
        <f t="shared" si="7"/>
        <v>53536</v>
      </c>
      <c r="AL15" s="271" t="s">
        <v>106</v>
      </c>
    </row>
    <row r="16" spans="1:38" ht="24.75" customHeight="1">
      <c r="A16" s="271" t="s">
        <v>107</v>
      </c>
      <c r="B16" s="503">
        <v>9</v>
      </c>
      <c r="C16" s="501">
        <v>3</v>
      </c>
      <c r="D16" s="501">
        <v>2</v>
      </c>
      <c r="E16" s="501">
        <v>0</v>
      </c>
      <c r="F16" s="501">
        <v>0</v>
      </c>
      <c r="G16" s="501">
        <v>8</v>
      </c>
      <c r="H16" s="272">
        <f t="shared" si="2"/>
        <v>22</v>
      </c>
      <c r="I16" s="502">
        <v>2</v>
      </c>
      <c r="J16" s="501">
        <v>2</v>
      </c>
      <c r="K16" s="501">
        <v>6</v>
      </c>
      <c r="L16" s="273">
        <f t="shared" si="1"/>
        <v>10</v>
      </c>
      <c r="M16" s="503">
        <v>1</v>
      </c>
      <c r="N16" s="501">
        <v>1</v>
      </c>
      <c r="O16" s="501">
        <v>3</v>
      </c>
      <c r="P16" s="272">
        <f t="shared" si="3"/>
        <v>5</v>
      </c>
      <c r="Q16" s="504">
        <v>13</v>
      </c>
      <c r="R16" s="503">
        <v>0</v>
      </c>
      <c r="S16" s="501">
        <v>0</v>
      </c>
      <c r="T16" s="501">
        <v>1</v>
      </c>
      <c r="U16" s="272">
        <f t="shared" si="4"/>
        <v>1</v>
      </c>
      <c r="V16" s="503">
        <v>0</v>
      </c>
      <c r="W16" s="501">
        <v>0</v>
      </c>
      <c r="X16" s="501">
        <v>4</v>
      </c>
      <c r="Y16" s="272">
        <f t="shared" si="5"/>
        <v>4</v>
      </c>
      <c r="Z16" s="502">
        <v>119</v>
      </c>
      <c r="AA16" s="505">
        <v>29</v>
      </c>
      <c r="AB16" s="503">
        <v>4188</v>
      </c>
      <c r="AC16" s="501">
        <v>3066</v>
      </c>
      <c r="AD16" s="274">
        <f t="shared" si="6"/>
        <v>7254</v>
      </c>
      <c r="AE16" s="501">
        <v>0</v>
      </c>
      <c r="AF16" s="501">
        <v>1254</v>
      </c>
      <c r="AG16" s="501">
        <v>0</v>
      </c>
      <c r="AH16" s="501">
        <v>0</v>
      </c>
      <c r="AI16" s="501">
        <v>86</v>
      </c>
      <c r="AJ16" s="505">
        <v>0</v>
      </c>
      <c r="AK16" s="272">
        <f t="shared" si="7"/>
        <v>8594</v>
      </c>
      <c r="AL16" s="271" t="s">
        <v>107</v>
      </c>
    </row>
    <row r="17" spans="1:38" ht="24.75" customHeight="1">
      <c r="A17" s="271" t="s">
        <v>108</v>
      </c>
      <c r="B17" s="503">
        <v>7</v>
      </c>
      <c r="C17" s="501">
        <v>1</v>
      </c>
      <c r="D17" s="501">
        <v>4</v>
      </c>
      <c r="E17" s="501">
        <v>0</v>
      </c>
      <c r="F17" s="501">
        <v>0</v>
      </c>
      <c r="G17" s="501">
        <v>0</v>
      </c>
      <c r="H17" s="272">
        <f t="shared" si="2"/>
        <v>12</v>
      </c>
      <c r="I17" s="502">
        <v>4</v>
      </c>
      <c r="J17" s="501">
        <v>0</v>
      </c>
      <c r="K17" s="501">
        <v>4</v>
      </c>
      <c r="L17" s="273">
        <f t="shared" si="1"/>
        <v>8</v>
      </c>
      <c r="M17" s="503">
        <v>3</v>
      </c>
      <c r="N17" s="501">
        <v>0</v>
      </c>
      <c r="O17" s="501">
        <v>1</v>
      </c>
      <c r="P17" s="272">
        <f t="shared" si="3"/>
        <v>4</v>
      </c>
      <c r="Q17" s="504">
        <v>5</v>
      </c>
      <c r="R17" s="503">
        <v>0</v>
      </c>
      <c r="S17" s="501">
        <v>0</v>
      </c>
      <c r="T17" s="501">
        <v>1</v>
      </c>
      <c r="U17" s="272">
        <f t="shared" si="4"/>
        <v>1</v>
      </c>
      <c r="V17" s="503">
        <v>0</v>
      </c>
      <c r="W17" s="501">
        <v>0</v>
      </c>
      <c r="X17" s="501">
        <v>2</v>
      </c>
      <c r="Y17" s="272">
        <f t="shared" si="5"/>
        <v>2</v>
      </c>
      <c r="Z17" s="502">
        <v>402</v>
      </c>
      <c r="AA17" s="505">
        <v>1</v>
      </c>
      <c r="AB17" s="503">
        <v>14868</v>
      </c>
      <c r="AC17" s="501">
        <v>10625</v>
      </c>
      <c r="AD17" s="274">
        <f t="shared" si="6"/>
        <v>25493</v>
      </c>
      <c r="AE17" s="501">
        <v>0</v>
      </c>
      <c r="AF17" s="501">
        <v>2920</v>
      </c>
      <c r="AG17" s="501">
        <v>0</v>
      </c>
      <c r="AH17" s="501">
        <v>0</v>
      </c>
      <c r="AI17" s="501">
        <v>8131</v>
      </c>
      <c r="AJ17" s="505">
        <v>437</v>
      </c>
      <c r="AK17" s="272">
        <f t="shared" si="7"/>
        <v>36981</v>
      </c>
      <c r="AL17" s="271" t="s">
        <v>108</v>
      </c>
    </row>
    <row r="18" spans="1:38" ht="24.75" customHeight="1">
      <c r="A18" s="271" t="s">
        <v>373</v>
      </c>
      <c r="B18" s="503">
        <v>27</v>
      </c>
      <c r="C18" s="501">
        <v>5</v>
      </c>
      <c r="D18" s="501">
        <v>11</v>
      </c>
      <c r="E18" s="501">
        <v>0</v>
      </c>
      <c r="F18" s="501">
        <v>0</v>
      </c>
      <c r="G18" s="501">
        <v>14</v>
      </c>
      <c r="H18" s="272">
        <f t="shared" si="2"/>
        <v>57</v>
      </c>
      <c r="I18" s="502">
        <v>8</v>
      </c>
      <c r="J18" s="501">
        <v>4</v>
      </c>
      <c r="K18" s="501">
        <v>22</v>
      </c>
      <c r="L18" s="273">
        <f t="shared" si="1"/>
        <v>34</v>
      </c>
      <c r="M18" s="503">
        <v>9</v>
      </c>
      <c r="N18" s="501">
        <v>7</v>
      </c>
      <c r="O18" s="501">
        <v>13</v>
      </c>
      <c r="P18" s="272">
        <f t="shared" si="3"/>
        <v>29</v>
      </c>
      <c r="Q18" s="504">
        <v>55</v>
      </c>
      <c r="R18" s="503">
        <v>0</v>
      </c>
      <c r="S18" s="501">
        <v>0</v>
      </c>
      <c r="T18" s="501">
        <v>2</v>
      </c>
      <c r="U18" s="272">
        <f t="shared" si="4"/>
        <v>2</v>
      </c>
      <c r="V18" s="503">
        <v>0</v>
      </c>
      <c r="W18" s="501">
        <v>0</v>
      </c>
      <c r="X18" s="501">
        <v>6</v>
      </c>
      <c r="Y18" s="272">
        <f t="shared" si="5"/>
        <v>6</v>
      </c>
      <c r="Z18" s="502">
        <v>1336</v>
      </c>
      <c r="AA18" s="505">
        <v>12</v>
      </c>
      <c r="AB18" s="503">
        <v>87297</v>
      </c>
      <c r="AC18" s="501">
        <v>18613</v>
      </c>
      <c r="AD18" s="274">
        <f t="shared" si="6"/>
        <v>105910</v>
      </c>
      <c r="AE18" s="501">
        <v>29</v>
      </c>
      <c r="AF18" s="501">
        <v>2494</v>
      </c>
      <c r="AG18" s="501">
        <v>0</v>
      </c>
      <c r="AH18" s="501">
        <v>0</v>
      </c>
      <c r="AI18" s="501">
        <v>5</v>
      </c>
      <c r="AJ18" s="505">
        <v>1460</v>
      </c>
      <c r="AK18" s="272">
        <f t="shared" si="7"/>
        <v>109898</v>
      </c>
      <c r="AL18" s="271" t="s">
        <v>685</v>
      </c>
    </row>
    <row r="19" spans="1:38" ht="24.75" customHeight="1" thickBot="1">
      <c r="A19" s="267" t="s">
        <v>684</v>
      </c>
      <c r="B19" s="508">
        <f>17+2</f>
        <v>19</v>
      </c>
      <c r="C19" s="506">
        <f>2+1</f>
        <v>3</v>
      </c>
      <c r="D19" s="506">
        <f>2+1</f>
        <v>3</v>
      </c>
      <c r="E19" s="506">
        <v>1</v>
      </c>
      <c r="F19" s="506">
        <v>0</v>
      </c>
      <c r="G19" s="506">
        <f>17+2</f>
        <v>19</v>
      </c>
      <c r="H19" s="268">
        <f>SUM(B19:G19)</f>
        <v>45</v>
      </c>
      <c r="I19" s="507">
        <f>2+6</f>
        <v>8</v>
      </c>
      <c r="J19" s="506">
        <v>2</v>
      </c>
      <c r="K19" s="506">
        <f>3+14</f>
        <v>17</v>
      </c>
      <c r="L19" s="269">
        <f>SUM(I19:K19)</f>
        <v>27</v>
      </c>
      <c r="M19" s="508">
        <f>2+2</f>
        <v>4</v>
      </c>
      <c r="N19" s="506">
        <f>0+1</f>
        <v>1</v>
      </c>
      <c r="O19" s="506">
        <f>2+5</f>
        <v>7</v>
      </c>
      <c r="P19" s="268">
        <f>SUM(M19:O19)</f>
        <v>12</v>
      </c>
      <c r="Q19" s="509">
        <f>10+32</f>
        <v>42</v>
      </c>
      <c r="R19" s="508">
        <v>0</v>
      </c>
      <c r="S19" s="506">
        <v>0</v>
      </c>
      <c r="T19" s="506">
        <v>0</v>
      </c>
      <c r="U19" s="268">
        <f>SUM(R19:T19)</f>
        <v>0</v>
      </c>
      <c r="V19" s="508">
        <v>0</v>
      </c>
      <c r="W19" s="506">
        <v>0</v>
      </c>
      <c r="X19" s="506">
        <f>0+6</f>
        <v>6</v>
      </c>
      <c r="Y19" s="268">
        <f>SUM(V19:X19)</f>
        <v>6</v>
      </c>
      <c r="Z19" s="507">
        <f>106+1012</f>
        <v>1118</v>
      </c>
      <c r="AA19" s="510">
        <f>0+4</f>
        <v>4</v>
      </c>
      <c r="AB19" s="508">
        <f>2792+35790</f>
        <v>38582</v>
      </c>
      <c r="AC19" s="506">
        <f>2618+17910</f>
        <v>20528</v>
      </c>
      <c r="AD19" s="270">
        <f>SUM(AB19:AC19)</f>
        <v>59110</v>
      </c>
      <c r="AE19" s="506">
        <v>0</v>
      </c>
      <c r="AF19" s="506">
        <f>0+674</f>
        <v>674</v>
      </c>
      <c r="AG19" s="506">
        <v>590</v>
      </c>
      <c r="AH19" s="506">
        <v>0</v>
      </c>
      <c r="AI19" s="506">
        <f>0+48806</f>
        <v>48806</v>
      </c>
      <c r="AJ19" s="510">
        <f>0+60000</f>
        <v>60000</v>
      </c>
      <c r="AK19" s="268">
        <f>SUM(AD19:AJ19)</f>
        <v>169180</v>
      </c>
      <c r="AL19" s="267" t="s">
        <v>684</v>
      </c>
    </row>
    <row r="20" spans="1:38" ht="24.75" customHeight="1">
      <c r="A20" s="275" t="s">
        <v>480</v>
      </c>
      <c r="B20" s="520">
        <v>8</v>
      </c>
      <c r="C20" s="518">
        <v>0</v>
      </c>
      <c r="D20" s="518">
        <v>0</v>
      </c>
      <c r="E20" s="518">
        <v>0</v>
      </c>
      <c r="F20" s="518">
        <v>0</v>
      </c>
      <c r="G20" s="518">
        <v>8</v>
      </c>
      <c r="H20" s="276">
        <f t="shared" si="2"/>
        <v>16</v>
      </c>
      <c r="I20" s="519">
        <v>4</v>
      </c>
      <c r="J20" s="518">
        <v>0</v>
      </c>
      <c r="K20" s="518">
        <v>9</v>
      </c>
      <c r="L20" s="277">
        <f t="shared" si="1"/>
        <v>13</v>
      </c>
      <c r="M20" s="520">
        <v>3</v>
      </c>
      <c r="N20" s="518">
        <v>0</v>
      </c>
      <c r="O20" s="518">
        <v>5</v>
      </c>
      <c r="P20" s="276">
        <f t="shared" si="3"/>
        <v>8</v>
      </c>
      <c r="Q20" s="521">
        <v>15</v>
      </c>
      <c r="R20" s="519">
        <v>0</v>
      </c>
      <c r="S20" s="518">
        <v>0</v>
      </c>
      <c r="T20" s="518">
        <v>1</v>
      </c>
      <c r="U20" s="276">
        <f t="shared" si="4"/>
        <v>1</v>
      </c>
      <c r="V20" s="520">
        <v>0</v>
      </c>
      <c r="W20" s="518">
        <v>0</v>
      </c>
      <c r="X20" s="518">
        <v>1</v>
      </c>
      <c r="Y20" s="276">
        <f t="shared" si="5"/>
        <v>1</v>
      </c>
      <c r="Z20" s="519">
        <v>406</v>
      </c>
      <c r="AA20" s="522">
        <v>0</v>
      </c>
      <c r="AB20" s="520">
        <v>13830</v>
      </c>
      <c r="AC20" s="518">
        <v>2322</v>
      </c>
      <c r="AD20" s="278">
        <f t="shared" si="6"/>
        <v>16152</v>
      </c>
      <c r="AE20" s="518">
        <v>0</v>
      </c>
      <c r="AF20" s="518">
        <v>0</v>
      </c>
      <c r="AG20" s="518">
        <v>0</v>
      </c>
      <c r="AH20" s="518">
        <v>0</v>
      </c>
      <c r="AI20" s="518">
        <v>237</v>
      </c>
      <c r="AJ20" s="522">
        <v>0</v>
      </c>
      <c r="AK20" s="276">
        <f t="shared" si="7"/>
        <v>16389</v>
      </c>
      <c r="AL20" s="545" t="s">
        <v>686</v>
      </c>
    </row>
    <row r="21" spans="1:38" ht="24.75" customHeight="1">
      <c r="A21" s="279" t="s">
        <v>109</v>
      </c>
      <c r="B21" s="525">
        <v>1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280">
        <f t="shared" si="2"/>
        <v>1</v>
      </c>
      <c r="I21" s="524">
        <v>0</v>
      </c>
      <c r="J21" s="523">
        <v>0</v>
      </c>
      <c r="K21" s="523">
        <v>1</v>
      </c>
      <c r="L21" s="281">
        <f t="shared" si="1"/>
        <v>1</v>
      </c>
      <c r="M21" s="525">
        <v>0</v>
      </c>
      <c r="N21" s="523">
        <v>0</v>
      </c>
      <c r="O21" s="523">
        <v>2</v>
      </c>
      <c r="P21" s="280">
        <f t="shared" si="3"/>
        <v>2</v>
      </c>
      <c r="Q21" s="526">
        <v>2</v>
      </c>
      <c r="R21" s="524">
        <v>0</v>
      </c>
      <c r="S21" s="523">
        <v>0</v>
      </c>
      <c r="T21" s="523">
        <v>1</v>
      </c>
      <c r="U21" s="280">
        <f t="shared" si="4"/>
        <v>1</v>
      </c>
      <c r="V21" s="525">
        <v>0</v>
      </c>
      <c r="W21" s="523">
        <v>0</v>
      </c>
      <c r="X21" s="523">
        <v>0</v>
      </c>
      <c r="Y21" s="280">
        <f t="shared" si="5"/>
        <v>0</v>
      </c>
      <c r="Z21" s="524">
        <v>5</v>
      </c>
      <c r="AA21" s="527">
        <v>0</v>
      </c>
      <c r="AB21" s="525">
        <v>310</v>
      </c>
      <c r="AC21" s="523">
        <v>23</v>
      </c>
      <c r="AD21" s="282">
        <f t="shared" si="6"/>
        <v>333</v>
      </c>
      <c r="AE21" s="523">
        <v>0</v>
      </c>
      <c r="AF21" s="523">
        <v>0</v>
      </c>
      <c r="AG21" s="523">
        <v>0</v>
      </c>
      <c r="AH21" s="523">
        <v>0</v>
      </c>
      <c r="AI21" s="523">
        <v>0</v>
      </c>
      <c r="AJ21" s="527">
        <v>0</v>
      </c>
      <c r="AK21" s="280">
        <f t="shared" si="7"/>
        <v>333</v>
      </c>
      <c r="AL21" s="279" t="s">
        <v>109</v>
      </c>
    </row>
    <row r="22" spans="1:38" ht="24.75" customHeight="1">
      <c r="A22" s="283" t="s">
        <v>110</v>
      </c>
      <c r="B22" s="530">
        <v>1</v>
      </c>
      <c r="C22" s="528">
        <v>1</v>
      </c>
      <c r="D22" s="528">
        <v>0</v>
      </c>
      <c r="E22" s="528">
        <v>0</v>
      </c>
      <c r="F22" s="528">
        <v>0</v>
      </c>
      <c r="G22" s="528">
        <v>1</v>
      </c>
      <c r="H22" s="284">
        <f t="shared" si="2"/>
        <v>3</v>
      </c>
      <c r="I22" s="529">
        <v>0</v>
      </c>
      <c r="J22" s="528">
        <v>0</v>
      </c>
      <c r="K22" s="528">
        <v>1</v>
      </c>
      <c r="L22" s="285">
        <f t="shared" si="1"/>
        <v>1</v>
      </c>
      <c r="M22" s="530">
        <v>0</v>
      </c>
      <c r="N22" s="528">
        <v>0</v>
      </c>
      <c r="O22" s="528">
        <v>1</v>
      </c>
      <c r="P22" s="284">
        <f t="shared" si="3"/>
        <v>1</v>
      </c>
      <c r="Q22" s="531">
        <v>2</v>
      </c>
      <c r="R22" s="529">
        <v>0</v>
      </c>
      <c r="S22" s="528">
        <v>0</v>
      </c>
      <c r="T22" s="528">
        <v>0</v>
      </c>
      <c r="U22" s="284">
        <f t="shared" si="4"/>
        <v>0</v>
      </c>
      <c r="V22" s="530">
        <v>0</v>
      </c>
      <c r="W22" s="528">
        <v>0</v>
      </c>
      <c r="X22" s="528">
        <v>0</v>
      </c>
      <c r="Y22" s="284">
        <f t="shared" si="5"/>
        <v>0</v>
      </c>
      <c r="Z22" s="529">
        <v>0</v>
      </c>
      <c r="AA22" s="532">
        <v>2</v>
      </c>
      <c r="AB22" s="530">
        <v>1</v>
      </c>
      <c r="AC22" s="528">
        <v>0</v>
      </c>
      <c r="AD22" s="286">
        <f t="shared" si="6"/>
        <v>1</v>
      </c>
      <c r="AE22" s="528">
        <v>0</v>
      </c>
      <c r="AF22" s="528">
        <v>0</v>
      </c>
      <c r="AG22" s="528">
        <v>0</v>
      </c>
      <c r="AH22" s="528">
        <v>0</v>
      </c>
      <c r="AI22" s="528">
        <v>0</v>
      </c>
      <c r="AJ22" s="532">
        <v>0</v>
      </c>
      <c r="AK22" s="284">
        <f t="shared" si="7"/>
        <v>1</v>
      </c>
      <c r="AL22" s="283" t="s">
        <v>110</v>
      </c>
    </row>
    <row r="23" spans="1:38" ht="24.75" customHeight="1">
      <c r="A23" s="283" t="s">
        <v>111</v>
      </c>
      <c r="B23" s="530">
        <v>0</v>
      </c>
      <c r="C23" s="528">
        <v>0</v>
      </c>
      <c r="D23" s="528">
        <v>2</v>
      </c>
      <c r="E23" s="528">
        <v>0</v>
      </c>
      <c r="F23" s="528">
        <v>0</v>
      </c>
      <c r="G23" s="528">
        <v>0</v>
      </c>
      <c r="H23" s="284">
        <f t="shared" si="2"/>
        <v>2</v>
      </c>
      <c r="I23" s="529">
        <v>0</v>
      </c>
      <c r="J23" s="528">
        <v>0</v>
      </c>
      <c r="K23" s="528">
        <v>0</v>
      </c>
      <c r="L23" s="285">
        <f t="shared" si="1"/>
        <v>0</v>
      </c>
      <c r="M23" s="530">
        <v>0</v>
      </c>
      <c r="N23" s="528">
        <v>0</v>
      </c>
      <c r="O23" s="528">
        <v>0</v>
      </c>
      <c r="P23" s="284">
        <f t="shared" si="3"/>
        <v>0</v>
      </c>
      <c r="Q23" s="531">
        <v>0</v>
      </c>
      <c r="R23" s="529">
        <v>0</v>
      </c>
      <c r="S23" s="528">
        <v>0</v>
      </c>
      <c r="T23" s="528">
        <v>0</v>
      </c>
      <c r="U23" s="284">
        <f t="shared" si="4"/>
        <v>0</v>
      </c>
      <c r="V23" s="530">
        <v>0</v>
      </c>
      <c r="W23" s="528">
        <v>0</v>
      </c>
      <c r="X23" s="528">
        <v>0</v>
      </c>
      <c r="Y23" s="284">
        <f t="shared" si="5"/>
        <v>0</v>
      </c>
      <c r="Z23" s="529">
        <v>0</v>
      </c>
      <c r="AA23" s="532">
        <v>0</v>
      </c>
      <c r="AB23" s="530">
        <v>0</v>
      </c>
      <c r="AC23" s="528">
        <v>0</v>
      </c>
      <c r="AD23" s="286">
        <f t="shared" si="6"/>
        <v>0</v>
      </c>
      <c r="AE23" s="528">
        <v>0</v>
      </c>
      <c r="AF23" s="528">
        <v>3</v>
      </c>
      <c r="AG23" s="528">
        <v>0</v>
      </c>
      <c r="AH23" s="528">
        <v>0</v>
      </c>
      <c r="AI23" s="528">
        <v>0</v>
      </c>
      <c r="AJ23" s="532">
        <v>0</v>
      </c>
      <c r="AK23" s="284">
        <f t="shared" si="7"/>
        <v>3</v>
      </c>
      <c r="AL23" s="283" t="s">
        <v>111</v>
      </c>
    </row>
    <row r="24" spans="1:38" ht="24.75" customHeight="1">
      <c r="A24" s="283" t="s">
        <v>112</v>
      </c>
      <c r="B24" s="530">
        <v>1</v>
      </c>
      <c r="C24" s="528">
        <v>0</v>
      </c>
      <c r="D24" s="528">
        <v>1</v>
      </c>
      <c r="E24" s="528">
        <v>0</v>
      </c>
      <c r="F24" s="528">
        <v>0</v>
      </c>
      <c r="G24" s="528">
        <v>1</v>
      </c>
      <c r="H24" s="284">
        <f t="shared" si="2"/>
        <v>3</v>
      </c>
      <c r="I24" s="529">
        <v>0</v>
      </c>
      <c r="J24" s="528">
        <v>0</v>
      </c>
      <c r="K24" s="528">
        <v>1</v>
      </c>
      <c r="L24" s="285">
        <f t="shared" si="1"/>
        <v>1</v>
      </c>
      <c r="M24" s="530">
        <v>0</v>
      </c>
      <c r="N24" s="528">
        <v>0</v>
      </c>
      <c r="O24" s="528">
        <v>0</v>
      </c>
      <c r="P24" s="284">
        <f t="shared" si="3"/>
        <v>0</v>
      </c>
      <c r="Q24" s="531">
        <v>0</v>
      </c>
      <c r="R24" s="529">
        <v>0</v>
      </c>
      <c r="S24" s="529">
        <v>0</v>
      </c>
      <c r="T24" s="529">
        <v>0</v>
      </c>
      <c r="U24" s="284">
        <f t="shared" si="4"/>
        <v>0</v>
      </c>
      <c r="V24" s="530">
        <v>0</v>
      </c>
      <c r="W24" s="528">
        <v>0</v>
      </c>
      <c r="X24" s="528">
        <v>0</v>
      </c>
      <c r="Y24" s="284">
        <f t="shared" si="5"/>
        <v>0</v>
      </c>
      <c r="Z24" s="529">
        <v>0</v>
      </c>
      <c r="AA24" s="532">
        <v>0</v>
      </c>
      <c r="AB24" s="530">
        <v>2</v>
      </c>
      <c r="AC24" s="528">
        <v>0</v>
      </c>
      <c r="AD24" s="286">
        <f t="shared" si="6"/>
        <v>2</v>
      </c>
      <c r="AE24" s="528">
        <v>0</v>
      </c>
      <c r="AF24" s="528">
        <v>105</v>
      </c>
      <c r="AG24" s="528">
        <v>0</v>
      </c>
      <c r="AH24" s="528">
        <v>0</v>
      </c>
      <c r="AI24" s="528">
        <v>0</v>
      </c>
      <c r="AJ24" s="532">
        <v>0</v>
      </c>
      <c r="AK24" s="284">
        <f t="shared" si="7"/>
        <v>107</v>
      </c>
      <c r="AL24" s="283" t="s">
        <v>112</v>
      </c>
    </row>
    <row r="25" spans="1:38" ht="24.75" customHeight="1">
      <c r="A25" s="283" t="s">
        <v>113</v>
      </c>
      <c r="B25" s="530">
        <v>2</v>
      </c>
      <c r="C25" s="528">
        <v>2</v>
      </c>
      <c r="D25" s="528">
        <v>1</v>
      </c>
      <c r="E25" s="528">
        <v>0</v>
      </c>
      <c r="F25" s="528">
        <v>0</v>
      </c>
      <c r="G25" s="528">
        <v>8</v>
      </c>
      <c r="H25" s="284">
        <f t="shared" si="2"/>
        <v>13</v>
      </c>
      <c r="I25" s="529">
        <v>1</v>
      </c>
      <c r="J25" s="528">
        <v>1</v>
      </c>
      <c r="K25" s="528">
        <v>0</v>
      </c>
      <c r="L25" s="285">
        <f t="shared" si="1"/>
        <v>2</v>
      </c>
      <c r="M25" s="530">
        <v>1</v>
      </c>
      <c r="N25" s="528">
        <v>1</v>
      </c>
      <c r="O25" s="528">
        <v>0</v>
      </c>
      <c r="P25" s="284">
        <f t="shared" si="3"/>
        <v>2</v>
      </c>
      <c r="Q25" s="531">
        <v>7</v>
      </c>
      <c r="R25" s="529">
        <v>0</v>
      </c>
      <c r="S25" s="529">
        <v>0</v>
      </c>
      <c r="T25" s="529">
        <v>0</v>
      </c>
      <c r="U25" s="284">
        <f t="shared" si="4"/>
        <v>0</v>
      </c>
      <c r="V25" s="530">
        <v>0</v>
      </c>
      <c r="W25" s="528">
        <v>0</v>
      </c>
      <c r="X25" s="528">
        <v>1</v>
      </c>
      <c r="Y25" s="284">
        <f t="shared" si="5"/>
        <v>1</v>
      </c>
      <c r="Z25" s="529">
        <v>187</v>
      </c>
      <c r="AA25" s="532">
        <v>6</v>
      </c>
      <c r="AB25" s="530">
        <v>13996</v>
      </c>
      <c r="AC25" s="528">
        <v>4026</v>
      </c>
      <c r="AD25" s="286">
        <f t="shared" si="6"/>
        <v>18022</v>
      </c>
      <c r="AE25" s="528">
        <v>4</v>
      </c>
      <c r="AF25" s="528">
        <v>100</v>
      </c>
      <c r="AG25" s="528">
        <v>0</v>
      </c>
      <c r="AH25" s="528">
        <v>0</v>
      </c>
      <c r="AI25" s="528">
        <v>118</v>
      </c>
      <c r="AJ25" s="532">
        <v>0</v>
      </c>
      <c r="AK25" s="284">
        <f t="shared" si="7"/>
        <v>18244</v>
      </c>
      <c r="AL25" s="283" t="s">
        <v>113</v>
      </c>
    </row>
    <row r="26" spans="1:38" ht="24.75" customHeight="1">
      <c r="A26" s="283" t="s">
        <v>114</v>
      </c>
      <c r="B26" s="530">
        <v>1</v>
      </c>
      <c r="C26" s="528">
        <v>1</v>
      </c>
      <c r="D26" s="528">
        <v>1</v>
      </c>
      <c r="E26" s="528">
        <v>0</v>
      </c>
      <c r="F26" s="528">
        <v>0</v>
      </c>
      <c r="G26" s="528">
        <v>0</v>
      </c>
      <c r="H26" s="284">
        <f t="shared" si="2"/>
        <v>3</v>
      </c>
      <c r="I26" s="529">
        <v>2</v>
      </c>
      <c r="J26" s="528">
        <v>0</v>
      </c>
      <c r="K26" s="528">
        <v>0</v>
      </c>
      <c r="L26" s="285">
        <f t="shared" si="1"/>
        <v>2</v>
      </c>
      <c r="M26" s="530">
        <v>0</v>
      </c>
      <c r="N26" s="528">
        <v>0</v>
      </c>
      <c r="O26" s="528">
        <v>0</v>
      </c>
      <c r="P26" s="284">
        <f t="shared" si="3"/>
        <v>0</v>
      </c>
      <c r="Q26" s="531">
        <v>0</v>
      </c>
      <c r="R26" s="529">
        <v>0</v>
      </c>
      <c r="S26" s="529">
        <v>0</v>
      </c>
      <c r="T26" s="529">
        <v>0</v>
      </c>
      <c r="U26" s="284">
        <f t="shared" si="4"/>
        <v>0</v>
      </c>
      <c r="V26" s="530">
        <v>0</v>
      </c>
      <c r="W26" s="528">
        <v>0</v>
      </c>
      <c r="X26" s="528">
        <v>0</v>
      </c>
      <c r="Y26" s="284">
        <f t="shared" si="5"/>
        <v>0</v>
      </c>
      <c r="Z26" s="529">
        <v>81</v>
      </c>
      <c r="AA26" s="532">
        <v>3</v>
      </c>
      <c r="AB26" s="530">
        <v>820</v>
      </c>
      <c r="AC26" s="528">
        <v>436</v>
      </c>
      <c r="AD26" s="286">
        <f t="shared" si="6"/>
        <v>1256</v>
      </c>
      <c r="AE26" s="528">
        <v>17</v>
      </c>
      <c r="AF26" s="528">
        <v>140</v>
      </c>
      <c r="AG26" s="528">
        <v>0</v>
      </c>
      <c r="AH26" s="528">
        <v>0</v>
      </c>
      <c r="AI26" s="528">
        <v>0</v>
      </c>
      <c r="AJ26" s="532">
        <v>0</v>
      </c>
      <c r="AK26" s="284">
        <f t="shared" si="7"/>
        <v>1413</v>
      </c>
      <c r="AL26" s="283" t="s">
        <v>114</v>
      </c>
    </row>
    <row r="27" spans="1:38" ht="24.75" customHeight="1">
      <c r="A27" s="283" t="s">
        <v>115</v>
      </c>
      <c r="B27" s="530">
        <v>0</v>
      </c>
      <c r="C27" s="528">
        <v>1</v>
      </c>
      <c r="D27" s="528">
        <v>0</v>
      </c>
      <c r="E27" s="528">
        <v>0</v>
      </c>
      <c r="F27" s="528">
        <v>0</v>
      </c>
      <c r="G27" s="528">
        <v>0</v>
      </c>
      <c r="H27" s="284">
        <f t="shared" si="2"/>
        <v>1</v>
      </c>
      <c r="I27" s="529">
        <v>0</v>
      </c>
      <c r="J27" s="528">
        <v>0</v>
      </c>
      <c r="K27" s="528">
        <v>0</v>
      </c>
      <c r="L27" s="285">
        <f t="shared" si="1"/>
        <v>0</v>
      </c>
      <c r="M27" s="530">
        <v>0</v>
      </c>
      <c r="N27" s="528">
        <v>0</v>
      </c>
      <c r="O27" s="528">
        <v>0</v>
      </c>
      <c r="P27" s="284">
        <f t="shared" si="3"/>
        <v>0</v>
      </c>
      <c r="Q27" s="531">
        <v>0</v>
      </c>
      <c r="R27" s="529">
        <v>0</v>
      </c>
      <c r="S27" s="529">
        <v>0</v>
      </c>
      <c r="T27" s="529">
        <v>0</v>
      </c>
      <c r="U27" s="284">
        <f t="shared" si="4"/>
        <v>0</v>
      </c>
      <c r="V27" s="530">
        <v>0</v>
      </c>
      <c r="W27" s="528">
        <v>0</v>
      </c>
      <c r="X27" s="528">
        <v>0</v>
      </c>
      <c r="Y27" s="284">
        <f t="shared" si="5"/>
        <v>0</v>
      </c>
      <c r="Z27" s="529">
        <v>0</v>
      </c>
      <c r="AA27" s="532">
        <v>137</v>
      </c>
      <c r="AB27" s="530">
        <v>0</v>
      </c>
      <c r="AC27" s="528">
        <v>0</v>
      </c>
      <c r="AD27" s="286">
        <f t="shared" si="6"/>
        <v>0</v>
      </c>
      <c r="AE27" s="528">
        <v>102</v>
      </c>
      <c r="AF27" s="528">
        <v>0</v>
      </c>
      <c r="AG27" s="528">
        <v>0</v>
      </c>
      <c r="AH27" s="528">
        <v>0</v>
      </c>
      <c r="AI27" s="528">
        <v>0</v>
      </c>
      <c r="AJ27" s="532">
        <v>0</v>
      </c>
      <c r="AK27" s="284">
        <f t="shared" si="7"/>
        <v>102</v>
      </c>
      <c r="AL27" s="283" t="s">
        <v>115</v>
      </c>
    </row>
    <row r="28" spans="1:38" ht="24.75" customHeight="1">
      <c r="A28" s="287" t="s">
        <v>116</v>
      </c>
      <c r="B28" s="535">
        <v>2</v>
      </c>
      <c r="C28" s="533">
        <v>1</v>
      </c>
      <c r="D28" s="533">
        <v>0</v>
      </c>
      <c r="E28" s="533">
        <v>0</v>
      </c>
      <c r="F28" s="533">
        <v>0</v>
      </c>
      <c r="G28" s="533">
        <v>0</v>
      </c>
      <c r="H28" s="288">
        <f t="shared" si="2"/>
        <v>3</v>
      </c>
      <c r="I28" s="534">
        <v>0</v>
      </c>
      <c r="J28" s="533">
        <v>1</v>
      </c>
      <c r="K28" s="533">
        <v>1</v>
      </c>
      <c r="L28" s="289">
        <f t="shared" si="1"/>
        <v>2</v>
      </c>
      <c r="M28" s="535">
        <v>0</v>
      </c>
      <c r="N28" s="533">
        <v>0</v>
      </c>
      <c r="O28" s="533">
        <v>0</v>
      </c>
      <c r="P28" s="288">
        <f t="shared" si="3"/>
        <v>0</v>
      </c>
      <c r="Q28" s="536">
        <v>0</v>
      </c>
      <c r="R28" s="535">
        <v>0</v>
      </c>
      <c r="S28" s="534">
        <v>0</v>
      </c>
      <c r="T28" s="534">
        <v>0</v>
      </c>
      <c r="U28" s="288">
        <f t="shared" si="4"/>
        <v>0</v>
      </c>
      <c r="V28" s="535">
        <v>0</v>
      </c>
      <c r="W28" s="533">
        <v>1</v>
      </c>
      <c r="X28" s="533">
        <v>0</v>
      </c>
      <c r="Y28" s="288">
        <f t="shared" si="5"/>
        <v>1</v>
      </c>
      <c r="Z28" s="534">
        <v>380</v>
      </c>
      <c r="AA28" s="537">
        <v>0</v>
      </c>
      <c r="AB28" s="535">
        <v>60001</v>
      </c>
      <c r="AC28" s="533">
        <v>2228</v>
      </c>
      <c r="AD28" s="290">
        <f t="shared" si="6"/>
        <v>62229</v>
      </c>
      <c r="AE28" s="533">
        <v>0</v>
      </c>
      <c r="AF28" s="533">
        <v>0</v>
      </c>
      <c r="AG28" s="533">
        <v>0</v>
      </c>
      <c r="AH28" s="533">
        <v>0</v>
      </c>
      <c r="AI28" s="533">
        <v>0</v>
      </c>
      <c r="AJ28" s="537">
        <v>0</v>
      </c>
      <c r="AK28" s="288">
        <f t="shared" si="7"/>
        <v>62229</v>
      </c>
      <c r="AL28" s="287" t="s">
        <v>116</v>
      </c>
    </row>
    <row r="29" spans="1:38" ht="24.75" customHeight="1">
      <c r="A29" s="279" t="s">
        <v>117</v>
      </c>
      <c r="B29" s="525">
        <v>1</v>
      </c>
      <c r="C29" s="523">
        <v>1</v>
      </c>
      <c r="D29" s="523">
        <v>0</v>
      </c>
      <c r="E29" s="523">
        <v>0</v>
      </c>
      <c r="F29" s="523">
        <v>0</v>
      </c>
      <c r="G29" s="523">
        <v>2</v>
      </c>
      <c r="H29" s="280">
        <f t="shared" si="2"/>
        <v>4</v>
      </c>
      <c r="I29" s="524">
        <v>0</v>
      </c>
      <c r="J29" s="523">
        <v>0</v>
      </c>
      <c r="K29" s="523">
        <v>1</v>
      </c>
      <c r="L29" s="281">
        <f t="shared" si="1"/>
        <v>1</v>
      </c>
      <c r="M29" s="525">
        <v>0</v>
      </c>
      <c r="N29" s="523">
        <v>0</v>
      </c>
      <c r="O29" s="523">
        <v>1</v>
      </c>
      <c r="P29" s="280">
        <f t="shared" si="3"/>
        <v>1</v>
      </c>
      <c r="Q29" s="526">
        <v>4</v>
      </c>
      <c r="R29" s="538">
        <v>0</v>
      </c>
      <c r="S29" s="538">
        <v>0</v>
      </c>
      <c r="T29" s="538">
        <v>0</v>
      </c>
      <c r="U29" s="412">
        <f t="shared" si="4"/>
        <v>0</v>
      </c>
      <c r="V29" s="539">
        <v>0</v>
      </c>
      <c r="W29" s="523">
        <v>0</v>
      </c>
      <c r="X29" s="523">
        <v>0</v>
      </c>
      <c r="Y29" s="280">
        <f t="shared" si="5"/>
        <v>0</v>
      </c>
      <c r="Z29" s="524">
        <v>0</v>
      </c>
      <c r="AA29" s="527">
        <v>0</v>
      </c>
      <c r="AB29" s="525">
        <v>0</v>
      </c>
      <c r="AC29" s="523">
        <v>0</v>
      </c>
      <c r="AD29" s="282">
        <f t="shared" si="6"/>
        <v>0</v>
      </c>
      <c r="AE29" s="523">
        <v>0</v>
      </c>
      <c r="AF29" s="523">
        <v>0</v>
      </c>
      <c r="AG29" s="523">
        <v>0</v>
      </c>
      <c r="AH29" s="523">
        <v>0</v>
      </c>
      <c r="AI29" s="523">
        <v>0</v>
      </c>
      <c r="AJ29" s="527">
        <v>0</v>
      </c>
      <c r="AK29" s="280">
        <f t="shared" si="7"/>
        <v>0</v>
      </c>
      <c r="AL29" s="279" t="s">
        <v>117</v>
      </c>
    </row>
    <row r="30" spans="1:38" ht="24.75" customHeight="1">
      <c r="A30" s="283" t="s">
        <v>118</v>
      </c>
      <c r="B30" s="530">
        <v>2</v>
      </c>
      <c r="C30" s="528">
        <v>3</v>
      </c>
      <c r="D30" s="528">
        <v>0</v>
      </c>
      <c r="E30" s="528">
        <v>0</v>
      </c>
      <c r="F30" s="528">
        <v>0</v>
      </c>
      <c r="G30" s="528">
        <v>3</v>
      </c>
      <c r="H30" s="284">
        <f t="shared" si="2"/>
        <v>8</v>
      </c>
      <c r="I30" s="529">
        <v>1</v>
      </c>
      <c r="J30" s="528">
        <v>0</v>
      </c>
      <c r="K30" s="528">
        <v>1</v>
      </c>
      <c r="L30" s="285">
        <f t="shared" si="1"/>
        <v>2</v>
      </c>
      <c r="M30" s="530">
        <v>0</v>
      </c>
      <c r="N30" s="528">
        <v>0</v>
      </c>
      <c r="O30" s="528">
        <v>1</v>
      </c>
      <c r="P30" s="284">
        <f t="shared" si="3"/>
        <v>1</v>
      </c>
      <c r="Q30" s="531">
        <v>5</v>
      </c>
      <c r="R30" s="529">
        <v>0</v>
      </c>
      <c r="S30" s="529">
        <v>0</v>
      </c>
      <c r="T30" s="529">
        <v>0</v>
      </c>
      <c r="U30" s="284">
        <f t="shared" si="4"/>
        <v>0</v>
      </c>
      <c r="V30" s="530">
        <v>0</v>
      </c>
      <c r="W30" s="528">
        <v>0</v>
      </c>
      <c r="X30" s="528">
        <v>0</v>
      </c>
      <c r="Y30" s="284">
        <f t="shared" si="5"/>
        <v>0</v>
      </c>
      <c r="Z30" s="529">
        <v>9</v>
      </c>
      <c r="AA30" s="532">
        <v>3</v>
      </c>
      <c r="AB30" s="530">
        <v>158</v>
      </c>
      <c r="AC30" s="528">
        <v>65</v>
      </c>
      <c r="AD30" s="286">
        <f t="shared" si="6"/>
        <v>223</v>
      </c>
      <c r="AE30" s="528">
        <v>0</v>
      </c>
      <c r="AF30" s="528">
        <v>0</v>
      </c>
      <c r="AG30" s="528">
        <v>0</v>
      </c>
      <c r="AH30" s="528">
        <v>0</v>
      </c>
      <c r="AI30" s="528">
        <v>0</v>
      </c>
      <c r="AJ30" s="532">
        <v>0</v>
      </c>
      <c r="AK30" s="284">
        <f t="shared" si="7"/>
        <v>223</v>
      </c>
      <c r="AL30" s="283" t="s">
        <v>118</v>
      </c>
    </row>
    <row r="31" spans="1:38" ht="24.75" customHeight="1">
      <c r="A31" s="283" t="s">
        <v>119</v>
      </c>
      <c r="B31" s="530">
        <v>4</v>
      </c>
      <c r="C31" s="528">
        <v>0</v>
      </c>
      <c r="D31" s="528">
        <v>0</v>
      </c>
      <c r="E31" s="528">
        <v>0</v>
      </c>
      <c r="F31" s="528">
        <v>0</v>
      </c>
      <c r="G31" s="528">
        <v>6</v>
      </c>
      <c r="H31" s="284">
        <f t="shared" si="2"/>
        <v>10</v>
      </c>
      <c r="I31" s="529">
        <v>2</v>
      </c>
      <c r="J31" s="528">
        <v>1</v>
      </c>
      <c r="K31" s="528">
        <v>2</v>
      </c>
      <c r="L31" s="285">
        <f t="shared" si="1"/>
        <v>5</v>
      </c>
      <c r="M31" s="530">
        <v>1</v>
      </c>
      <c r="N31" s="528">
        <v>0</v>
      </c>
      <c r="O31" s="528">
        <v>2</v>
      </c>
      <c r="P31" s="284">
        <f t="shared" si="3"/>
        <v>3</v>
      </c>
      <c r="Q31" s="531">
        <v>7</v>
      </c>
      <c r="R31" s="529">
        <v>0</v>
      </c>
      <c r="S31" s="529">
        <v>0</v>
      </c>
      <c r="T31" s="529">
        <v>0</v>
      </c>
      <c r="U31" s="284">
        <f t="shared" si="4"/>
        <v>0</v>
      </c>
      <c r="V31" s="530">
        <v>0</v>
      </c>
      <c r="W31" s="528">
        <v>0</v>
      </c>
      <c r="X31" s="528">
        <v>0</v>
      </c>
      <c r="Y31" s="284">
        <f t="shared" si="5"/>
        <v>0</v>
      </c>
      <c r="Z31" s="529">
        <v>147</v>
      </c>
      <c r="AA31" s="532">
        <v>0</v>
      </c>
      <c r="AB31" s="530">
        <v>4756</v>
      </c>
      <c r="AC31" s="528">
        <v>4392</v>
      </c>
      <c r="AD31" s="286">
        <f t="shared" si="6"/>
        <v>9148</v>
      </c>
      <c r="AE31" s="528">
        <v>0</v>
      </c>
      <c r="AF31" s="528">
        <v>0</v>
      </c>
      <c r="AG31" s="528">
        <v>0</v>
      </c>
      <c r="AH31" s="528">
        <v>0</v>
      </c>
      <c r="AI31" s="528">
        <v>0</v>
      </c>
      <c r="AJ31" s="532">
        <v>0</v>
      </c>
      <c r="AK31" s="284">
        <f t="shared" si="7"/>
        <v>9148</v>
      </c>
      <c r="AL31" s="283" t="s">
        <v>119</v>
      </c>
    </row>
    <row r="32" spans="1:38" ht="24.75" customHeight="1">
      <c r="A32" s="279" t="s">
        <v>120</v>
      </c>
      <c r="B32" s="525">
        <v>3</v>
      </c>
      <c r="C32" s="523">
        <v>5</v>
      </c>
      <c r="D32" s="523">
        <v>2</v>
      </c>
      <c r="E32" s="523">
        <v>0</v>
      </c>
      <c r="F32" s="523">
        <v>0</v>
      </c>
      <c r="G32" s="523">
        <v>2</v>
      </c>
      <c r="H32" s="280">
        <f t="shared" si="2"/>
        <v>12</v>
      </c>
      <c r="I32" s="524">
        <v>2</v>
      </c>
      <c r="J32" s="523">
        <v>0</v>
      </c>
      <c r="K32" s="523">
        <v>1</v>
      </c>
      <c r="L32" s="281">
        <f>SUM(I32:K32)</f>
        <v>3</v>
      </c>
      <c r="M32" s="525">
        <v>2</v>
      </c>
      <c r="N32" s="523">
        <v>0</v>
      </c>
      <c r="O32" s="523">
        <v>1</v>
      </c>
      <c r="P32" s="280">
        <f t="shared" si="3"/>
        <v>3</v>
      </c>
      <c r="Q32" s="526">
        <v>5</v>
      </c>
      <c r="R32" s="524">
        <v>0</v>
      </c>
      <c r="S32" s="523">
        <v>0</v>
      </c>
      <c r="T32" s="523">
        <v>0</v>
      </c>
      <c r="U32" s="280">
        <f t="shared" si="4"/>
        <v>0</v>
      </c>
      <c r="V32" s="525">
        <v>0</v>
      </c>
      <c r="W32" s="523">
        <v>1</v>
      </c>
      <c r="X32" s="523">
        <v>1</v>
      </c>
      <c r="Y32" s="280">
        <f t="shared" si="5"/>
        <v>2</v>
      </c>
      <c r="Z32" s="524">
        <v>376</v>
      </c>
      <c r="AA32" s="527">
        <v>71</v>
      </c>
      <c r="AB32" s="525">
        <v>30942</v>
      </c>
      <c r="AC32" s="523">
        <v>7286</v>
      </c>
      <c r="AD32" s="282">
        <f t="shared" si="6"/>
        <v>38228</v>
      </c>
      <c r="AE32" s="523">
        <v>165</v>
      </c>
      <c r="AF32" s="523">
        <v>958</v>
      </c>
      <c r="AG32" s="523">
        <v>0</v>
      </c>
      <c r="AH32" s="523">
        <v>0</v>
      </c>
      <c r="AI32" s="523">
        <v>0</v>
      </c>
      <c r="AJ32" s="527">
        <v>0</v>
      </c>
      <c r="AK32" s="280">
        <f t="shared" si="7"/>
        <v>39351</v>
      </c>
      <c r="AL32" s="279" t="s">
        <v>120</v>
      </c>
    </row>
    <row r="33" spans="1:38" ht="24.75" customHeight="1">
      <c r="A33" s="287" t="s">
        <v>121</v>
      </c>
      <c r="B33" s="535">
        <v>2</v>
      </c>
      <c r="C33" s="533">
        <v>0</v>
      </c>
      <c r="D33" s="533">
        <v>1</v>
      </c>
      <c r="E33" s="533">
        <v>0</v>
      </c>
      <c r="F33" s="533">
        <v>0</v>
      </c>
      <c r="G33" s="533">
        <v>0</v>
      </c>
      <c r="H33" s="288">
        <f t="shared" si="2"/>
        <v>3</v>
      </c>
      <c r="I33" s="534">
        <v>1</v>
      </c>
      <c r="J33" s="533">
        <v>0</v>
      </c>
      <c r="K33" s="533">
        <v>2</v>
      </c>
      <c r="L33" s="289">
        <f>SUM(I33:K33)</f>
        <v>3</v>
      </c>
      <c r="M33" s="535">
        <v>0</v>
      </c>
      <c r="N33" s="533">
        <v>0</v>
      </c>
      <c r="O33" s="533">
        <v>0</v>
      </c>
      <c r="P33" s="288">
        <f t="shared" si="3"/>
        <v>0</v>
      </c>
      <c r="Q33" s="536">
        <v>0</v>
      </c>
      <c r="R33" s="534">
        <v>0</v>
      </c>
      <c r="S33" s="533">
        <v>0</v>
      </c>
      <c r="T33" s="533">
        <v>0</v>
      </c>
      <c r="U33" s="288">
        <f t="shared" si="4"/>
        <v>0</v>
      </c>
      <c r="V33" s="535">
        <v>0</v>
      </c>
      <c r="W33" s="533">
        <v>0</v>
      </c>
      <c r="X33" s="533">
        <v>0</v>
      </c>
      <c r="Y33" s="288">
        <f t="shared" si="5"/>
        <v>0</v>
      </c>
      <c r="Z33" s="534">
        <v>280</v>
      </c>
      <c r="AA33" s="537">
        <v>0</v>
      </c>
      <c r="AB33" s="535">
        <v>1320</v>
      </c>
      <c r="AC33" s="533">
        <v>1301</v>
      </c>
      <c r="AD33" s="290">
        <f t="shared" si="6"/>
        <v>2621</v>
      </c>
      <c r="AE33" s="533">
        <v>0</v>
      </c>
      <c r="AF33" s="533">
        <v>45</v>
      </c>
      <c r="AG33" s="533">
        <v>0</v>
      </c>
      <c r="AH33" s="533">
        <v>0</v>
      </c>
      <c r="AI33" s="533">
        <v>0</v>
      </c>
      <c r="AJ33" s="537">
        <v>0</v>
      </c>
      <c r="AK33" s="288">
        <f t="shared" si="7"/>
        <v>2666</v>
      </c>
      <c r="AL33" s="287" t="s">
        <v>121</v>
      </c>
    </row>
    <row r="34" spans="1:38" ht="24.75" customHeight="1">
      <c r="A34" s="283" t="s">
        <v>122</v>
      </c>
      <c r="B34" s="530">
        <v>0</v>
      </c>
      <c r="C34" s="528">
        <v>1</v>
      </c>
      <c r="D34" s="528">
        <v>0</v>
      </c>
      <c r="E34" s="528">
        <v>0</v>
      </c>
      <c r="F34" s="528">
        <v>0</v>
      </c>
      <c r="G34" s="528">
        <v>0</v>
      </c>
      <c r="H34" s="284">
        <f t="shared" si="2"/>
        <v>1</v>
      </c>
      <c r="I34" s="529">
        <v>0</v>
      </c>
      <c r="J34" s="528">
        <v>0</v>
      </c>
      <c r="K34" s="528">
        <v>0</v>
      </c>
      <c r="L34" s="285">
        <f>SUM(I34:K34)</f>
        <v>0</v>
      </c>
      <c r="M34" s="530">
        <v>0</v>
      </c>
      <c r="N34" s="528">
        <v>0</v>
      </c>
      <c r="O34" s="528">
        <v>0</v>
      </c>
      <c r="P34" s="284">
        <f t="shared" si="3"/>
        <v>0</v>
      </c>
      <c r="Q34" s="531">
        <v>0</v>
      </c>
      <c r="R34" s="529">
        <v>0</v>
      </c>
      <c r="S34" s="528">
        <v>0</v>
      </c>
      <c r="T34" s="528">
        <v>0</v>
      </c>
      <c r="U34" s="284">
        <f t="shared" si="4"/>
        <v>0</v>
      </c>
      <c r="V34" s="530">
        <v>0</v>
      </c>
      <c r="W34" s="528">
        <v>0</v>
      </c>
      <c r="X34" s="528">
        <v>0</v>
      </c>
      <c r="Y34" s="284">
        <f t="shared" si="5"/>
        <v>0</v>
      </c>
      <c r="Z34" s="529">
        <v>0</v>
      </c>
      <c r="AA34" s="532">
        <v>0</v>
      </c>
      <c r="AB34" s="530">
        <v>0</v>
      </c>
      <c r="AC34" s="528">
        <v>0</v>
      </c>
      <c r="AD34" s="286">
        <f t="shared" si="6"/>
        <v>0</v>
      </c>
      <c r="AE34" s="528">
        <v>0</v>
      </c>
      <c r="AF34" s="528">
        <v>0</v>
      </c>
      <c r="AG34" s="528">
        <v>0</v>
      </c>
      <c r="AH34" s="528">
        <v>0</v>
      </c>
      <c r="AI34" s="528">
        <v>0</v>
      </c>
      <c r="AJ34" s="532">
        <v>0</v>
      </c>
      <c r="AK34" s="284">
        <f t="shared" si="7"/>
        <v>0</v>
      </c>
      <c r="AL34" s="283" t="s">
        <v>122</v>
      </c>
    </row>
    <row r="35" spans="1:38" ht="24.75" customHeight="1" thickBot="1">
      <c r="A35" s="291" t="s">
        <v>123</v>
      </c>
      <c r="B35" s="542">
        <v>1</v>
      </c>
      <c r="C35" s="540">
        <v>1</v>
      </c>
      <c r="D35" s="540">
        <v>1</v>
      </c>
      <c r="E35" s="540">
        <v>0</v>
      </c>
      <c r="F35" s="540">
        <v>0</v>
      </c>
      <c r="G35" s="540">
        <v>0</v>
      </c>
      <c r="H35" s="292">
        <f t="shared" si="2"/>
        <v>3</v>
      </c>
      <c r="I35" s="541">
        <v>1</v>
      </c>
      <c r="J35" s="540">
        <v>0</v>
      </c>
      <c r="K35" s="540">
        <v>0</v>
      </c>
      <c r="L35" s="293">
        <f>SUM(I35:K35)</f>
        <v>1</v>
      </c>
      <c r="M35" s="542">
        <v>1</v>
      </c>
      <c r="N35" s="540">
        <v>0</v>
      </c>
      <c r="O35" s="540">
        <v>0</v>
      </c>
      <c r="P35" s="292">
        <f t="shared" si="3"/>
        <v>1</v>
      </c>
      <c r="Q35" s="543">
        <v>3</v>
      </c>
      <c r="R35" s="541">
        <v>0</v>
      </c>
      <c r="S35" s="540">
        <v>0</v>
      </c>
      <c r="T35" s="540">
        <v>0</v>
      </c>
      <c r="U35" s="292">
        <f t="shared" si="4"/>
        <v>0</v>
      </c>
      <c r="V35" s="542">
        <v>0</v>
      </c>
      <c r="W35" s="540">
        <v>0</v>
      </c>
      <c r="X35" s="540">
        <v>0</v>
      </c>
      <c r="Y35" s="292">
        <f t="shared" si="5"/>
        <v>0</v>
      </c>
      <c r="Z35" s="541">
        <v>170</v>
      </c>
      <c r="AA35" s="544">
        <v>30</v>
      </c>
      <c r="AB35" s="542">
        <v>7570</v>
      </c>
      <c r="AC35" s="540">
        <v>1000</v>
      </c>
      <c r="AD35" s="294">
        <f t="shared" si="6"/>
        <v>8570</v>
      </c>
      <c r="AE35" s="540">
        <v>20</v>
      </c>
      <c r="AF35" s="540">
        <v>60</v>
      </c>
      <c r="AG35" s="540">
        <v>0</v>
      </c>
      <c r="AH35" s="540">
        <v>0</v>
      </c>
      <c r="AI35" s="540">
        <v>0</v>
      </c>
      <c r="AJ35" s="544">
        <v>0</v>
      </c>
      <c r="AK35" s="292">
        <f t="shared" si="7"/>
        <v>8650</v>
      </c>
      <c r="AL35" s="291" t="s">
        <v>123</v>
      </c>
    </row>
    <row r="36" spans="22:38" ht="24.75" customHeight="1">
      <c r="V36" s="922"/>
      <c r="W36" s="923"/>
      <c r="X36" s="923"/>
      <c r="Y36" s="923"/>
      <c r="Z36" s="923"/>
      <c r="AA36" s="923"/>
      <c r="AB36" s="923"/>
      <c r="AC36" s="923"/>
      <c r="AD36" s="923"/>
      <c r="AE36" s="923"/>
      <c r="AF36" s="923"/>
      <c r="AG36" s="923"/>
      <c r="AH36" s="923"/>
      <c r="AI36" s="923"/>
      <c r="AJ36" s="923"/>
      <c r="AK36" s="923"/>
      <c r="AL36" s="923"/>
    </row>
  </sheetData>
  <mergeCells count="44">
    <mergeCell ref="V36:AL36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workbookViewId="0" topLeftCell="A1">
      <selection activeCell="H29" sqref="H29"/>
    </sheetView>
  </sheetViews>
  <sheetFormatPr defaultColWidth="9.00390625" defaultRowHeight="13.5"/>
  <cols>
    <col min="1" max="2" width="9.00390625" style="296" customWidth="1"/>
    <col min="3" max="4" width="9.625" style="296" customWidth="1"/>
    <col min="5" max="5" width="9.00390625" style="296" customWidth="1"/>
    <col min="6" max="6" width="16.25390625" style="296" customWidth="1"/>
    <col min="7" max="7" width="15.625" style="296" customWidth="1"/>
    <col min="8" max="16384" width="9.00390625" style="296" customWidth="1"/>
  </cols>
  <sheetData>
    <row r="1" spans="1:7" ht="36" customHeight="1" thickBot="1">
      <c r="A1" s="946" t="s">
        <v>23</v>
      </c>
      <c r="B1" s="946"/>
      <c r="C1" s="946"/>
      <c r="D1" s="946"/>
      <c r="E1" s="946"/>
      <c r="F1" s="946"/>
      <c r="G1" s="946"/>
    </row>
    <row r="2" spans="1:7" ht="22.5" customHeight="1" thickBot="1">
      <c r="A2" s="947" t="s">
        <v>320</v>
      </c>
      <c r="B2" s="948"/>
      <c r="C2" s="948"/>
      <c r="D2" s="949"/>
      <c r="E2" s="295" t="s">
        <v>127</v>
      </c>
      <c r="F2" s="295" t="s">
        <v>548</v>
      </c>
      <c r="G2" s="295" t="s">
        <v>430</v>
      </c>
    </row>
    <row r="3" spans="1:7" ht="22.5" customHeight="1">
      <c r="A3" s="926" t="s">
        <v>321</v>
      </c>
      <c r="B3" s="927"/>
      <c r="C3" s="930" t="s">
        <v>38</v>
      </c>
      <c r="D3" s="931"/>
      <c r="E3" s="297" t="s">
        <v>132</v>
      </c>
      <c r="F3" s="404">
        <f>8!G4/365</f>
        <v>1.936986301369863</v>
      </c>
      <c r="G3" s="404">
        <v>1.9095890410958904</v>
      </c>
    </row>
    <row r="4" spans="1:7" ht="22.5" customHeight="1">
      <c r="A4" s="936"/>
      <c r="B4" s="937"/>
      <c r="C4" s="940" t="s">
        <v>153</v>
      </c>
      <c r="D4" s="941"/>
      <c r="E4" s="298" t="s">
        <v>154</v>
      </c>
      <c r="F4" s="405">
        <f>8!G22/365</f>
        <v>2955.8</v>
      </c>
      <c r="G4" s="405">
        <v>3948.5835616438358</v>
      </c>
    </row>
    <row r="5" spans="1:7" ht="22.5" customHeight="1">
      <c r="A5" s="936"/>
      <c r="B5" s="937"/>
      <c r="C5" s="940" t="s">
        <v>322</v>
      </c>
      <c r="D5" s="941"/>
      <c r="E5" s="298" t="s">
        <v>323</v>
      </c>
      <c r="F5" s="406">
        <f>8!G11/365</f>
        <v>1.389041095890411</v>
      </c>
      <c r="G5" s="406">
        <v>1.5972602739726027</v>
      </c>
    </row>
    <row r="6" spans="1:7" ht="22.5" customHeight="1">
      <c r="A6" s="936"/>
      <c r="B6" s="937"/>
      <c r="C6" s="940" t="s">
        <v>324</v>
      </c>
      <c r="D6" s="941"/>
      <c r="E6" s="298" t="s">
        <v>325</v>
      </c>
      <c r="F6" s="406">
        <f>8!G20/365</f>
        <v>47.156164383561645</v>
      </c>
      <c r="G6" s="406">
        <v>68.66301369863014</v>
      </c>
    </row>
    <row r="7" spans="1:7" ht="22.5" customHeight="1">
      <c r="A7" s="936"/>
      <c r="B7" s="937"/>
      <c r="C7" s="940" t="s">
        <v>326</v>
      </c>
      <c r="D7" s="941"/>
      <c r="E7" s="298" t="s">
        <v>327</v>
      </c>
      <c r="F7" s="406">
        <f>8!G21/365</f>
        <v>1.6849315068493151</v>
      </c>
      <c r="G7" s="406">
        <v>1.4684931506849315</v>
      </c>
    </row>
    <row r="8" spans="1:7" ht="22.5" customHeight="1">
      <c r="A8" s="936"/>
      <c r="B8" s="937"/>
      <c r="C8" s="940" t="s">
        <v>328</v>
      </c>
      <c r="D8" s="941"/>
      <c r="E8" s="298" t="s">
        <v>145</v>
      </c>
      <c r="F8" s="406">
        <f>8!G15/365</f>
        <v>0.9068493150684932</v>
      </c>
      <c r="G8" s="406">
        <v>0.9616438356164384</v>
      </c>
    </row>
    <row r="9" spans="1:7" ht="22.5" customHeight="1">
      <c r="A9" s="936"/>
      <c r="B9" s="937"/>
      <c r="C9" s="940" t="s">
        <v>329</v>
      </c>
      <c r="D9" s="941"/>
      <c r="E9" s="298" t="s">
        <v>330</v>
      </c>
      <c r="F9" s="406">
        <f>8!G16/365</f>
        <v>2.1232876712328768</v>
      </c>
      <c r="G9" s="406">
        <v>2.350684931506849</v>
      </c>
    </row>
    <row r="10" spans="1:7" ht="22.5" customHeight="1">
      <c r="A10" s="936"/>
      <c r="B10" s="937"/>
      <c r="C10" s="940" t="s">
        <v>149</v>
      </c>
      <c r="D10" s="941"/>
      <c r="E10" s="298" t="s">
        <v>330</v>
      </c>
      <c r="F10" s="406">
        <f>8!G18/365</f>
        <v>0.09863013698630137</v>
      </c>
      <c r="G10" s="406">
        <v>0.08493150684931507</v>
      </c>
    </row>
    <row r="11" spans="1:7" ht="22.5" customHeight="1" thickBot="1">
      <c r="A11" s="938"/>
      <c r="B11" s="939"/>
      <c r="C11" s="932" t="s">
        <v>150</v>
      </c>
      <c r="D11" s="933"/>
      <c r="E11" s="299" t="s">
        <v>330</v>
      </c>
      <c r="F11" s="407">
        <f>8!G19/365</f>
        <v>0.2684931506849315</v>
      </c>
      <c r="G11" s="407">
        <v>0.24383561643835616</v>
      </c>
    </row>
    <row r="12" spans="1:7" ht="22.5" customHeight="1" thickBot="1">
      <c r="A12" s="942" t="s">
        <v>331</v>
      </c>
      <c r="B12" s="943"/>
      <c r="C12" s="944" t="s">
        <v>153</v>
      </c>
      <c r="D12" s="945"/>
      <c r="E12" s="295" t="s">
        <v>154</v>
      </c>
      <c r="F12" s="408">
        <f>8!G22/8!G4</f>
        <v>1525.978783592645</v>
      </c>
      <c r="G12" s="408">
        <v>2067.7661406025827</v>
      </c>
    </row>
    <row r="13" spans="1:7" ht="22.5" customHeight="1">
      <c r="A13" s="934" t="s">
        <v>332</v>
      </c>
      <c r="B13" s="935"/>
      <c r="C13" s="930" t="s">
        <v>153</v>
      </c>
      <c r="D13" s="931"/>
      <c r="E13" s="300" t="s">
        <v>154</v>
      </c>
      <c r="F13" s="409">
        <f>8!G23/8!G5</f>
        <v>2574.756446991404</v>
      </c>
      <c r="G13" s="409">
        <v>3396.589005235602</v>
      </c>
    </row>
    <row r="14" spans="1:7" ht="22.5" customHeight="1">
      <c r="A14" s="936"/>
      <c r="B14" s="937"/>
      <c r="C14" s="940" t="s">
        <v>324</v>
      </c>
      <c r="D14" s="941"/>
      <c r="E14" s="298" t="s">
        <v>325</v>
      </c>
      <c r="F14" s="406">
        <f>8!G20/8!G5</f>
        <v>49.31805157593123</v>
      </c>
      <c r="G14" s="406">
        <v>65.60732984293193</v>
      </c>
    </row>
    <row r="15" spans="1:7" ht="22.5" customHeight="1">
      <c r="A15" s="936"/>
      <c r="B15" s="937"/>
      <c r="C15" s="940" t="s">
        <v>322</v>
      </c>
      <c r="D15" s="941"/>
      <c r="E15" s="298" t="s">
        <v>323</v>
      </c>
      <c r="F15" s="406">
        <f>8!G11/8!G5</f>
        <v>1.4527220630372493</v>
      </c>
      <c r="G15" s="406">
        <v>1.5261780104712042</v>
      </c>
    </row>
    <row r="16" spans="1:7" ht="22.5" customHeight="1">
      <c r="A16" s="936"/>
      <c r="B16" s="937"/>
      <c r="C16" s="940" t="s">
        <v>328</v>
      </c>
      <c r="D16" s="941"/>
      <c r="E16" s="298" t="s">
        <v>145</v>
      </c>
      <c r="F16" s="406">
        <f>8!G15/8!G5</f>
        <v>0.9484240687679083</v>
      </c>
      <c r="G16" s="406">
        <v>0.918848167539267</v>
      </c>
    </row>
    <row r="17" spans="1:7" ht="22.5" customHeight="1" thickBot="1">
      <c r="A17" s="938"/>
      <c r="B17" s="939"/>
      <c r="C17" s="932" t="s">
        <v>329</v>
      </c>
      <c r="D17" s="933"/>
      <c r="E17" s="301" t="s">
        <v>330</v>
      </c>
      <c r="F17" s="410">
        <f>8!G16/8!G5</f>
        <v>2.2206303724928365</v>
      </c>
      <c r="G17" s="410">
        <v>2.2460732984293195</v>
      </c>
    </row>
    <row r="18" spans="1:7" ht="22.5" customHeight="1">
      <c r="A18" s="926" t="s">
        <v>333</v>
      </c>
      <c r="B18" s="927"/>
      <c r="C18" s="930" t="s">
        <v>153</v>
      </c>
      <c r="D18" s="931"/>
      <c r="E18" s="297" t="s">
        <v>154</v>
      </c>
      <c r="F18" s="404">
        <f>8!G24/8!G6</f>
        <v>70.9322033898305</v>
      </c>
      <c r="G18" s="404">
        <v>38.983870967741936</v>
      </c>
    </row>
    <row r="19" spans="1:7" ht="22.5" customHeight="1" thickBot="1">
      <c r="A19" s="928"/>
      <c r="B19" s="929"/>
      <c r="C19" s="932" t="s">
        <v>326</v>
      </c>
      <c r="D19" s="933"/>
      <c r="E19" s="301" t="s">
        <v>327</v>
      </c>
      <c r="F19" s="410">
        <f>8!G21/8!G6</f>
        <v>10.423728813559322</v>
      </c>
      <c r="G19" s="410">
        <v>8.64516129032258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70" zoomScaleNormal="85" zoomScaleSheetLayoutView="70" workbookViewId="0" topLeftCell="A46">
      <selection activeCell="I48" sqref="I48"/>
    </sheetView>
  </sheetViews>
  <sheetFormatPr defaultColWidth="9.00390625" defaultRowHeight="13.5"/>
  <cols>
    <col min="1" max="16384" width="9.00390625" style="388" customWidth="1"/>
  </cols>
  <sheetData>
    <row r="1" spans="2:20" ht="13.5">
      <c r="B1" s="388" t="s">
        <v>34</v>
      </c>
      <c r="E1" s="388" t="s">
        <v>35</v>
      </c>
      <c r="H1" s="388" t="s">
        <v>36</v>
      </c>
      <c r="K1" s="388" t="s">
        <v>37</v>
      </c>
      <c r="N1" s="388" t="s">
        <v>334</v>
      </c>
      <c r="Q1" s="388" t="s">
        <v>430</v>
      </c>
      <c r="T1" s="388" t="s">
        <v>548</v>
      </c>
    </row>
    <row r="2" spans="2:20" ht="13.5">
      <c r="B2" s="388" t="s">
        <v>38</v>
      </c>
      <c r="E2" s="388" t="s">
        <v>38</v>
      </c>
      <c r="H2" s="388" t="s">
        <v>38</v>
      </c>
      <c r="K2" s="388" t="s">
        <v>38</v>
      </c>
      <c r="N2" s="388" t="s">
        <v>38</v>
      </c>
      <c r="Q2" s="388" t="s">
        <v>38</v>
      </c>
      <c r="T2" s="388" t="s">
        <v>38</v>
      </c>
    </row>
    <row r="3" spans="1:20" ht="13.5">
      <c r="A3" s="388" t="s">
        <v>39</v>
      </c>
      <c r="B3" s="388">
        <v>6851</v>
      </c>
      <c r="D3" s="388" t="s">
        <v>39</v>
      </c>
      <c r="E3" s="388">
        <v>7013</v>
      </c>
      <c r="G3" s="388" t="s">
        <v>39</v>
      </c>
      <c r="H3" s="388">
        <v>7004</v>
      </c>
      <c r="J3" s="388" t="s">
        <v>39</v>
      </c>
      <c r="K3" s="388">
        <v>6745</v>
      </c>
      <c r="M3" s="388" t="s">
        <v>39</v>
      </c>
      <c r="N3" s="388">
        <v>6299</v>
      </c>
      <c r="P3" s="389" t="s">
        <v>431</v>
      </c>
      <c r="Q3" s="390">
        <v>6837</v>
      </c>
      <c r="S3" s="389" t="s">
        <v>431</v>
      </c>
      <c r="T3" s="391">
        <v>6466</v>
      </c>
    </row>
    <row r="4" spans="1:20" ht="13.5">
      <c r="A4" s="388" t="s">
        <v>40</v>
      </c>
      <c r="B4" s="388">
        <v>4122</v>
      </c>
      <c r="D4" s="388" t="s">
        <v>41</v>
      </c>
      <c r="E4" s="388">
        <v>4260</v>
      </c>
      <c r="G4" s="388" t="s">
        <v>41</v>
      </c>
      <c r="H4" s="388">
        <v>4443</v>
      </c>
      <c r="J4" s="388" t="s">
        <v>41</v>
      </c>
      <c r="K4" s="388">
        <v>4257</v>
      </c>
      <c r="M4" s="388" t="s">
        <v>40</v>
      </c>
      <c r="N4" s="388">
        <v>3986</v>
      </c>
      <c r="P4" s="389" t="s">
        <v>432</v>
      </c>
      <c r="Q4" s="390">
        <v>4042</v>
      </c>
      <c r="S4" s="389" t="s">
        <v>432</v>
      </c>
      <c r="T4" s="391">
        <v>3591</v>
      </c>
    </row>
    <row r="5" spans="1:20" ht="13.5">
      <c r="A5" s="388" t="s">
        <v>41</v>
      </c>
      <c r="B5" s="388">
        <v>3787</v>
      </c>
      <c r="D5" s="388" t="s">
        <v>40</v>
      </c>
      <c r="E5" s="388">
        <v>4212</v>
      </c>
      <c r="G5" s="388" t="s">
        <v>40</v>
      </c>
      <c r="H5" s="388">
        <v>4199</v>
      </c>
      <c r="J5" s="388" t="s">
        <v>40</v>
      </c>
      <c r="K5" s="388">
        <v>4080</v>
      </c>
      <c r="M5" s="388" t="s">
        <v>41</v>
      </c>
      <c r="N5" s="388">
        <v>3636</v>
      </c>
      <c r="P5" s="389" t="s">
        <v>433</v>
      </c>
      <c r="Q5" s="390">
        <v>3820</v>
      </c>
      <c r="S5" s="389" t="s">
        <v>433</v>
      </c>
      <c r="T5" s="391">
        <v>3567</v>
      </c>
    </row>
    <row r="6" spans="1:20" ht="13.5">
      <c r="A6" s="388" t="s">
        <v>43</v>
      </c>
      <c r="B6" s="388">
        <v>2974</v>
      </c>
      <c r="D6" s="388" t="s">
        <v>44</v>
      </c>
      <c r="E6" s="388">
        <v>3236</v>
      </c>
      <c r="G6" s="388" t="s">
        <v>42</v>
      </c>
      <c r="H6" s="388">
        <v>3346</v>
      </c>
      <c r="J6" s="388" t="s">
        <v>42</v>
      </c>
      <c r="K6" s="388">
        <v>3214</v>
      </c>
      <c r="M6" s="388" t="s">
        <v>42</v>
      </c>
      <c r="N6" s="388">
        <v>2960</v>
      </c>
      <c r="P6" s="389" t="s">
        <v>434</v>
      </c>
      <c r="Q6" s="390">
        <v>3363</v>
      </c>
      <c r="S6" s="389" t="s">
        <v>435</v>
      </c>
      <c r="T6" s="391">
        <v>3042</v>
      </c>
    </row>
    <row r="7" spans="1:20" ht="13.5">
      <c r="A7" s="388" t="s">
        <v>42</v>
      </c>
      <c r="B7" s="388">
        <v>2812</v>
      </c>
      <c r="D7" s="388" t="s">
        <v>43</v>
      </c>
      <c r="E7" s="388">
        <v>3214</v>
      </c>
      <c r="G7" s="388" t="s">
        <v>43</v>
      </c>
      <c r="H7" s="388">
        <v>3292</v>
      </c>
      <c r="J7" s="388" t="s">
        <v>44</v>
      </c>
      <c r="K7" s="388">
        <v>3123</v>
      </c>
      <c r="M7" s="388" t="s">
        <v>44</v>
      </c>
      <c r="N7" s="388">
        <v>2897</v>
      </c>
      <c r="P7" s="389" t="s">
        <v>435</v>
      </c>
      <c r="Q7" s="390">
        <v>3303</v>
      </c>
      <c r="S7" s="389" t="s">
        <v>434</v>
      </c>
      <c r="T7" s="391">
        <v>2964</v>
      </c>
    </row>
    <row r="8" spans="1:20" ht="13.5">
      <c r="A8" s="388" t="s">
        <v>44</v>
      </c>
      <c r="B8" s="388">
        <v>2799</v>
      </c>
      <c r="D8" s="388" t="s">
        <v>42</v>
      </c>
      <c r="E8" s="388">
        <v>3083</v>
      </c>
      <c r="G8" s="388" t="s">
        <v>44</v>
      </c>
      <c r="H8" s="388">
        <v>3269</v>
      </c>
      <c r="J8" s="388" t="s">
        <v>45</v>
      </c>
      <c r="K8" s="388">
        <v>3118</v>
      </c>
      <c r="M8" s="388" t="s">
        <v>45</v>
      </c>
      <c r="N8" s="388">
        <v>2616</v>
      </c>
      <c r="P8" s="389" t="s">
        <v>436</v>
      </c>
      <c r="Q8" s="390">
        <v>2935</v>
      </c>
      <c r="S8" s="389" t="s">
        <v>436</v>
      </c>
      <c r="T8" s="391">
        <v>2824</v>
      </c>
    </row>
    <row r="9" spans="1:20" ht="13.5">
      <c r="A9" s="388" t="s">
        <v>45</v>
      </c>
      <c r="B9" s="388">
        <v>2609</v>
      </c>
      <c r="D9" s="388" t="s">
        <v>45</v>
      </c>
      <c r="E9" s="388">
        <v>3078</v>
      </c>
      <c r="G9" s="388" t="s">
        <v>45</v>
      </c>
      <c r="H9" s="388">
        <v>2932</v>
      </c>
      <c r="J9" s="388" t="s">
        <v>43</v>
      </c>
      <c r="K9" s="388">
        <v>3029</v>
      </c>
      <c r="M9" s="388" t="s">
        <v>43</v>
      </c>
      <c r="N9" s="388">
        <v>2551</v>
      </c>
      <c r="P9" s="389" t="s">
        <v>437</v>
      </c>
      <c r="Q9" s="390">
        <v>2731</v>
      </c>
      <c r="S9" s="389" t="s">
        <v>437</v>
      </c>
      <c r="T9" s="391">
        <v>2748</v>
      </c>
    </row>
    <row r="10" spans="1:20" ht="13.5">
      <c r="A10" s="388" t="s">
        <v>46</v>
      </c>
      <c r="B10" s="388">
        <v>2374</v>
      </c>
      <c r="D10" s="388" t="s">
        <v>47</v>
      </c>
      <c r="E10" s="388">
        <v>2415</v>
      </c>
      <c r="G10" s="388" t="s">
        <v>46</v>
      </c>
      <c r="H10" s="388">
        <v>2492</v>
      </c>
      <c r="J10" s="388" t="s">
        <v>47</v>
      </c>
      <c r="K10" s="388">
        <v>2518</v>
      </c>
      <c r="M10" s="388" t="s">
        <v>46</v>
      </c>
      <c r="N10" s="388">
        <v>2295</v>
      </c>
      <c r="P10" s="389" t="s">
        <v>438</v>
      </c>
      <c r="Q10" s="390">
        <v>2323</v>
      </c>
      <c r="S10" s="389" t="s">
        <v>439</v>
      </c>
      <c r="T10" s="391">
        <v>2342</v>
      </c>
    </row>
    <row r="11" spans="1:20" ht="13.5">
      <c r="A11" s="388" t="s">
        <v>47</v>
      </c>
      <c r="B11" s="388">
        <v>2232</v>
      </c>
      <c r="D11" s="388" t="s">
        <v>46</v>
      </c>
      <c r="E11" s="388">
        <v>2340</v>
      </c>
      <c r="G11" s="388" t="s">
        <v>47</v>
      </c>
      <c r="H11" s="388">
        <v>2406</v>
      </c>
      <c r="J11" s="388" t="s">
        <v>46</v>
      </c>
      <c r="K11" s="388">
        <v>2290</v>
      </c>
      <c r="M11" s="388" t="s">
        <v>47</v>
      </c>
      <c r="N11" s="388">
        <v>2195</v>
      </c>
      <c r="P11" s="389" t="s">
        <v>439</v>
      </c>
      <c r="Q11" s="390">
        <v>2171</v>
      </c>
      <c r="S11" s="389" t="s">
        <v>438</v>
      </c>
      <c r="T11" s="391">
        <v>2141</v>
      </c>
    </row>
    <row r="12" spans="1:20" ht="13.5">
      <c r="A12" s="388" t="s">
        <v>48</v>
      </c>
      <c r="B12" s="388">
        <v>1876</v>
      </c>
      <c r="D12" s="388" t="s">
        <v>48</v>
      </c>
      <c r="E12" s="388">
        <v>2088</v>
      </c>
      <c r="G12" s="388" t="s">
        <v>48</v>
      </c>
      <c r="H12" s="388">
        <v>1927</v>
      </c>
      <c r="J12" s="388" t="s">
        <v>49</v>
      </c>
      <c r="K12" s="388">
        <v>2053</v>
      </c>
      <c r="M12" s="388" t="s">
        <v>48</v>
      </c>
      <c r="N12" s="388">
        <v>1690</v>
      </c>
      <c r="P12" s="389" t="s">
        <v>440</v>
      </c>
      <c r="Q12" s="390">
        <v>1770</v>
      </c>
      <c r="S12" s="389" t="s">
        <v>440</v>
      </c>
      <c r="T12" s="391">
        <v>1822</v>
      </c>
    </row>
    <row r="13" spans="1:20" ht="13.5">
      <c r="A13" s="388" t="s">
        <v>49</v>
      </c>
      <c r="B13" s="388">
        <v>1750</v>
      </c>
      <c r="D13" s="388" t="s">
        <v>49</v>
      </c>
      <c r="E13" s="388">
        <v>2049</v>
      </c>
      <c r="G13" s="388" t="s">
        <v>49</v>
      </c>
      <c r="H13" s="388">
        <v>1903</v>
      </c>
      <c r="J13" s="388" t="s">
        <v>48</v>
      </c>
      <c r="K13" s="388">
        <v>1889</v>
      </c>
      <c r="M13" s="388" t="s">
        <v>49</v>
      </c>
      <c r="N13" s="388">
        <v>1646</v>
      </c>
      <c r="P13" s="389" t="s">
        <v>441</v>
      </c>
      <c r="Q13" s="390">
        <v>1704</v>
      </c>
      <c r="S13" s="389" t="s">
        <v>441</v>
      </c>
      <c r="T13" s="391">
        <v>1732</v>
      </c>
    </row>
    <row r="14" spans="1:20" ht="13.5">
      <c r="A14" s="388" t="s">
        <v>50</v>
      </c>
      <c r="B14" s="388">
        <v>1523</v>
      </c>
      <c r="D14" s="388" t="s">
        <v>50</v>
      </c>
      <c r="E14" s="388">
        <v>1520</v>
      </c>
      <c r="G14" s="388" t="s">
        <v>50</v>
      </c>
      <c r="H14" s="388">
        <v>1624</v>
      </c>
      <c r="J14" s="388" t="s">
        <v>50</v>
      </c>
      <c r="K14" s="388">
        <v>1624</v>
      </c>
      <c r="M14" s="388" t="s">
        <v>50</v>
      </c>
      <c r="N14" s="388">
        <v>1280</v>
      </c>
      <c r="P14" s="389" t="s">
        <v>442</v>
      </c>
      <c r="Q14" s="390">
        <v>1353</v>
      </c>
      <c r="S14" s="389" t="s">
        <v>442</v>
      </c>
      <c r="T14" s="391">
        <v>1364</v>
      </c>
    </row>
    <row r="15" spans="1:20" ht="13.5">
      <c r="A15" s="388" t="s">
        <v>52</v>
      </c>
      <c r="B15" s="388">
        <v>1137</v>
      </c>
      <c r="D15" s="388" t="s">
        <v>52</v>
      </c>
      <c r="E15" s="388">
        <v>1231</v>
      </c>
      <c r="G15" s="388" t="s">
        <v>52</v>
      </c>
      <c r="H15" s="388">
        <v>1280</v>
      </c>
      <c r="J15" s="388" t="s">
        <v>53</v>
      </c>
      <c r="K15" s="388">
        <v>1346</v>
      </c>
      <c r="M15" s="388" t="s">
        <v>53</v>
      </c>
      <c r="N15" s="388">
        <v>1219</v>
      </c>
      <c r="P15" s="389" t="s">
        <v>443</v>
      </c>
      <c r="Q15" s="390">
        <v>1259</v>
      </c>
      <c r="S15" s="389" t="s">
        <v>444</v>
      </c>
      <c r="T15" s="391">
        <v>1150</v>
      </c>
    </row>
    <row r="16" spans="1:20" ht="13.5">
      <c r="A16" s="388" t="s">
        <v>51</v>
      </c>
      <c r="B16" s="388">
        <v>1092</v>
      </c>
      <c r="D16" s="388" t="s">
        <v>51</v>
      </c>
      <c r="E16" s="388">
        <v>1127</v>
      </c>
      <c r="G16" s="388" t="s">
        <v>51</v>
      </c>
      <c r="H16" s="388">
        <v>1258</v>
      </c>
      <c r="J16" s="388" t="s">
        <v>52</v>
      </c>
      <c r="K16" s="388">
        <v>1224</v>
      </c>
      <c r="M16" s="388" t="s">
        <v>51</v>
      </c>
      <c r="N16" s="388">
        <v>1147</v>
      </c>
      <c r="P16" s="389" t="s">
        <v>444</v>
      </c>
      <c r="Q16" s="390">
        <v>1230</v>
      </c>
      <c r="S16" s="389" t="s">
        <v>443</v>
      </c>
      <c r="T16" s="391">
        <v>1121</v>
      </c>
    </row>
    <row r="17" spans="1:20" ht="13.5">
      <c r="A17" s="388" t="s">
        <v>53</v>
      </c>
      <c r="B17" s="388">
        <v>1074</v>
      </c>
      <c r="D17" s="388" t="s">
        <v>55</v>
      </c>
      <c r="E17" s="388">
        <v>1125</v>
      </c>
      <c r="G17" s="388" t="s">
        <v>55</v>
      </c>
      <c r="H17" s="388">
        <v>1186</v>
      </c>
      <c r="J17" s="388" t="s">
        <v>51</v>
      </c>
      <c r="K17" s="388">
        <v>1186</v>
      </c>
      <c r="M17" s="388" t="s">
        <v>52</v>
      </c>
      <c r="N17" s="388">
        <v>1081</v>
      </c>
      <c r="P17" s="389" t="s">
        <v>445</v>
      </c>
      <c r="Q17" s="390">
        <v>1205</v>
      </c>
      <c r="S17" s="389" t="s">
        <v>446</v>
      </c>
      <c r="T17" s="391">
        <v>1112</v>
      </c>
    </row>
    <row r="18" spans="1:20" ht="13.5">
      <c r="A18" s="388" t="s">
        <v>55</v>
      </c>
      <c r="B18" s="388">
        <v>1071</v>
      </c>
      <c r="D18" s="388" t="s">
        <v>56</v>
      </c>
      <c r="E18" s="388">
        <v>1097</v>
      </c>
      <c r="G18" s="388" t="s">
        <v>54</v>
      </c>
      <c r="H18" s="388">
        <v>1160</v>
      </c>
      <c r="J18" s="388" t="s">
        <v>56</v>
      </c>
      <c r="K18" s="388">
        <v>1163</v>
      </c>
      <c r="M18" s="388" t="s">
        <v>56</v>
      </c>
      <c r="N18" s="388">
        <v>1051</v>
      </c>
      <c r="P18" s="389" t="s">
        <v>446</v>
      </c>
      <c r="Q18" s="390">
        <v>1178</v>
      </c>
      <c r="S18" s="389" t="s">
        <v>450</v>
      </c>
      <c r="T18" s="391">
        <v>1085</v>
      </c>
    </row>
    <row r="19" spans="1:20" ht="13.5">
      <c r="A19" s="388" t="s">
        <v>57</v>
      </c>
      <c r="B19" s="388">
        <v>1027</v>
      </c>
      <c r="D19" s="388" t="s">
        <v>53</v>
      </c>
      <c r="E19" s="388">
        <v>1086</v>
      </c>
      <c r="G19" s="388" t="s">
        <v>53</v>
      </c>
      <c r="H19" s="388">
        <v>1108</v>
      </c>
      <c r="J19" s="388" t="s">
        <v>55</v>
      </c>
      <c r="K19" s="388">
        <v>1135</v>
      </c>
      <c r="M19" s="388" t="s">
        <v>57</v>
      </c>
      <c r="N19" s="388">
        <v>1037</v>
      </c>
      <c r="P19" s="389" t="s">
        <v>447</v>
      </c>
      <c r="Q19" s="390">
        <v>1072</v>
      </c>
      <c r="S19" s="389" t="s">
        <v>451</v>
      </c>
      <c r="T19" s="391">
        <v>1014</v>
      </c>
    </row>
    <row r="20" spans="1:20" ht="13.5">
      <c r="A20" s="388" t="s">
        <v>56</v>
      </c>
      <c r="B20" s="388">
        <v>972</v>
      </c>
      <c r="D20" s="388" t="s">
        <v>57</v>
      </c>
      <c r="E20" s="388">
        <v>1051</v>
      </c>
      <c r="G20" s="388" t="s">
        <v>57</v>
      </c>
      <c r="H20" s="388">
        <v>1061</v>
      </c>
      <c r="J20" s="388" t="s">
        <v>57</v>
      </c>
      <c r="K20" s="388">
        <v>1119</v>
      </c>
      <c r="M20" s="388" t="s">
        <v>58</v>
      </c>
      <c r="N20" s="388">
        <v>957</v>
      </c>
      <c r="P20" s="389" t="s">
        <v>448</v>
      </c>
      <c r="Q20" s="390">
        <v>1053</v>
      </c>
      <c r="S20" s="389" t="s">
        <v>449</v>
      </c>
      <c r="T20" s="391">
        <v>989</v>
      </c>
    </row>
    <row r="21" spans="1:20" ht="13.5">
      <c r="A21" s="388" t="s">
        <v>54</v>
      </c>
      <c r="B21" s="388">
        <v>946</v>
      </c>
      <c r="D21" s="388" t="s">
        <v>54</v>
      </c>
      <c r="E21" s="388">
        <v>1024</v>
      </c>
      <c r="G21" s="388" t="s">
        <v>58</v>
      </c>
      <c r="H21" s="388">
        <v>1037</v>
      </c>
      <c r="J21" s="388" t="s">
        <v>54</v>
      </c>
      <c r="K21" s="388">
        <v>1112</v>
      </c>
      <c r="M21" s="388" t="s">
        <v>55</v>
      </c>
      <c r="N21" s="388">
        <v>942</v>
      </c>
      <c r="P21" s="389" t="s">
        <v>449</v>
      </c>
      <c r="Q21" s="390">
        <v>1044</v>
      </c>
      <c r="S21" s="389" t="s">
        <v>448</v>
      </c>
      <c r="T21" s="391">
        <v>969</v>
      </c>
    </row>
    <row r="22" spans="1:20" ht="13.5">
      <c r="A22" s="388" t="s">
        <v>58</v>
      </c>
      <c r="B22" s="388">
        <v>920</v>
      </c>
      <c r="D22" s="388" t="s">
        <v>58</v>
      </c>
      <c r="E22" s="388">
        <v>972</v>
      </c>
      <c r="G22" s="388" t="s">
        <v>56</v>
      </c>
      <c r="H22" s="388">
        <v>1026</v>
      </c>
      <c r="J22" s="388" t="s">
        <v>58</v>
      </c>
      <c r="K22" s="388">
        <v>1063</v>
      </c>
      <c r="M22" s="388" t="s">
        <v>54</v>
      </c>
      <c r="N22" s="388">
        <v>942</v>
      </c>
      <c r="P22" s="389" t="s">
        <v>450</v>
      </c>
      <c r="Q22" s="392">
        <v>991</v>
      </c>
      <c r="S22" s="389" t="s">
        <v>447</v>
      </c>
      <c r="T22" s="391">
        <v>945</v>
      </c>
    </row>
    <row r="23" spans="1:20" ht="13.5">
      <c r="A23" s="388" t="s">
        <v>59</v>
      </c>
      <c r="B23" s="388">
        <v>867</v>
      </c>
      <c r="D23" s="388" t="s">
        <v>59</v>
      </c>
      <c r="E23" s="388">
        <v>936</v>
      </c>
      <c r="G23" s="388" t="s">
        <v>60</v>
      </c>
      <c r="H23" s="388">
        <v>989</v>
      </c>
      <c r="J23" s="388" t="s">
        <v>59</v>
      </c>
      <c r="K23" s="388">
        <v>1014</v>
      </c>
      <c r="M23" s="388" t="s">
        <v>59</v>
      </c>
      <c r="N23" s="388">
        <v>923</v>
      </c>
      <c r="P23" s="389" t="s">
        <v>451</v>
      </c>
      <c r="Q23" s="392">
        <v>949</v>
      </c>
      <c r="S23" s="389" t="s">
        <v>445</v>
      </c>
      <c r="T23" s="391">
        <v>915</v>
      </c>
    </row>
    <row r="24" spans="1:20" ht="13.5">
      <c r="A24" s="388" t="s">
        <v>60</v>
      </c>
      <c r="B24" s="388">
        <v>857</v>
      </c>
      <c r="D24" s="388" t="s">
        <v>60</v>
      </c>
      <c r="E24" s="388">
        <v>925</v>
      </c>
      <c r="G24" s="388" t="s">
        <v>59</v>
      </c>
      <c r="H24" s="388">
        <v>982</v>
      </c>
      <c r="J24" s="388" t="s">
        <v>61</v>
      </c>
      <c r="K24" s="388">
        <v>917</v>
      </c>
      <c r="M24" s="388" t="s">
        <v>60</v>
      </c>
      <c r="N24" s="388">
        <v>849</v>
      </c>
      <c r="P24" s="389" t="s">
        <v>452</v>
      </c>
      <c r="Q24" s="392">
        <v>872</v>
      </c>
      <c r="S24" s="389" t="s">
        <v>452</v>
      </c>
      <c r="T24" s="391">
        <v>851</v>
      </c>
    </row>
    <row r="25" spans="1:20" ht="13.5">
      <c r="A25" s="388" t="s">
        <v>62</v>
      </c>
      <c r="B25" s="388">
        <v>799</v>
      </c>
      <c r="D25" s="388" t="s">
        <v>62</v>
      </c>
      <c r="E25" s="388">
        <v>848</v>
      </c>
      <c r="G25" s="388" t="s">
        <v>62</v>
      </c>
      <c r="H25" s="388">
        <v>856</v>
      </c>
      <c r="J25" s="388" t="s">
        <v>62</v>
      </c>
      <c r="K25" s="388">
        <v>869</v>
      </c>
      <c r="M25" s="388" t="s">
        <v>62</v>
      </c>
      <c r="N25" s="388">
        <v>760</v>
      </c>
      <c r="P25" s="389" t="s">
        <v>453</v>
      </c>
      <c r="Q25" s="392">
        <v>858</v>
      </c>
      <c r="S25" s="389" t="s">
        <v>454</v>
      </c>
      <c r="T25" s="391">
        <v>792</v>
      </c>
    </row>
    <row r="26" spans="1:20" ht="13.5">
      <c r="A26" s="388" t="s">
        <v>61</v>
      </c>
      <c r="B26" s="388">
        <v>742</v>
      </c>
      <c r="D26" s="388" t="s">
        <v>63</v>
      </c>
      <c r="E26" s="388">
        <v>796</v>
      </c>
      <c r="G26" s="388" t="s">
        <v>63</v>
      </c>
      <c r="H26" s="388">
        <v>835</v>
      </c>
      <c r="J26" s="388" t="s">
        <v>60</v>
      </c>
      <c r="K26" s="388">
        <v>866</v>
      </c>
      <c r="M26" s="388" t="s">
        <v>63</v>
      </c>
      <c r="N26" s="388">
        <v>737</v>
      </c>
      <c r="P26" s="389" t="s">
        <v>454</v>
      </c>
      <c r="Q26" s="392">
        <v>760</v>
      </c>
      <c r="S26" s="389" t="s">
        <v>453</v>
      </c>
      <c r="T26" s="391">
        <v>728</v>
      </c>
    </row>
    <row r="27" spans="1:20" ht="13.5">
      <c r="A27" s="388" t="s">
        <v>63</v>
      </c>
      <c r="B27" s="388">
        <v>734</v>
      </c>
      <c r="D27" s="388" t="s">
        <v>61</v>
      </c>
      <c r="E27" s="388">
        <v>775</v>
      </c>
      <c r="G27" s="388" t="s">
        <v>61</v>
      </c>
      <c r="H27" s="388">
        <v>744</v>
      </c>
      <c r="J27" s="388" t="s">
        <v>63</v>
      </c>
      <c r="K27" s="388">
        <v>850</v>
      </c>
      <c r="M27" s="388" t="s">
        <v>64</v>
      </c>
      <c r="N27" s="388">
        <v>666</v>
      </c>
      <c r="P27" s="389" t="s">
        <v>455</v>
      </c>
      <c r="Q27" s="392">
        <v>728</v>
      </c>
      <c r="S27" s="389" t="s">
        <v>456</v>
      </c>
      <c r="T27" s="391">
        <v>715</v>
      </c>
    </row>
    <row r="28" spans="1:20" ht="13.5">
      <c r="A28" s="388" t="s">
        <v>65</v>
      </c>
      <c r="B28" s="388">
        <v>669</v>
      </c>
      <c r="D28" s="388" t="s">
        <v>65</v>
      </c>
      <c r="E28" s="388">
        <v>705</v>
      </c>
      <c r="G28" s="388" t="s">
        <v>64</v>
      </c>
      <c r="H28" s="388">
        <v>698</v>
      </c>
      <c r="J28" s="388" t="s">
        <v>66</v>
      </c>
      <c r="K28" s="388">
        <v>775</v>
      </c>
      <c r="M28" s="388" t="s">
        <v>61</v>
      </c>
      <c r="N28" s="388">
        <v>654</v>
      </c>
      <c r="P28" s="389" t="s">
        <v>456</v>
      </c>
      <c r="Q28" s="392">
        <v>702</v>
      </c>
      <c r="S28" s="46" t="s">
        <v>457</v>
      </c>
      <c r="T28" s="393">
        <v>707</v>
      </c>
    </row>
    <row r="29" spans="1:20" ht="13.5">
      <c r="A29" s="388" t="s">
        <v>66</v>
      </c>
      <c r="B29" s="388">
        <v>656</v>
      </c>
      <c r="D29" s="388" t="s">
        <v>67</v>
      </c>
      <c r="E29" s="388">
        <v>627</v>
      </c>
      <c r="G29" s="388" t="s">
        <v>67</v>
      </c>
      <c r="H29" s="388">
        <v>664</v>
      </c>
      <c r="J29" s="388" t="s">
        <v>65</v>
      </c>
      <c r="K29" s="388">
        <v>775</v>
      </c>
      <c r="M29" s="388" t="s">
        <v>66</v>
      </c>
      <c r="N29" s="388">
        <v>626</v>
      </c>
      <c r="P29" s="389" t="s">
        <v>457</v>
      </c>
      <c r="Q29" s="392">
        <v>697</v>
      </c>
      <c r="S29" s="389" t="s">
        <v>461</v>
      </c>
      <c r="T29" s="391">
        <v>654</v>
      </c>
    </row>
    <row r="30" spans="1:20" ht="13.5">
      <c r="A30" s="388" t="s">
        <v>64</v>
      </c>
      <c r="B30" s="388">
        <v>634</v>
      </c>
      <c r="D30" s="388" t="s">
        <v>66</v>
      </c>
      <c r="E30" s="388">
        <v>626</v>
      </c>
      <c r="G30" s="388" t="s">
        <v>66</v>
      </c>
      <c r="H30" s="388">
        <v>661</v>
      </c>
      <c r="J30" s="388" t="s">
        <v>64</v>
      </c>
      <c r="K30" s="388">
        <v>703</v>
      </c>
      <c r="M30" s="388" t="s">
        <v>65</v>
      </c>
      <c r="N30" s="388">
        <v>601</v>
      </c>
      <c r="P30" s="389" t="s">
        <v>458</v>
      </c>
      <c r="Q30" s="392">
        <v>630</v>
      </c>
      <c r="S30" s="389" t="s">
        <v>459</v>
      </c>
      <c r="T30" s="391">
        <v>653</v>
      </c>
    </row>
    <row r="31" spans="1:20" ht="13.5">
      <c r="A31" s="388" t="s">
        <v>69</v>
      </c>
      <c r="B31" s="388">
        <v>606</v>
      </c>
      <c r="D31" s="388" t="s">
        <v>64</v>
      </c>
      <c r="E31" s="388">
        <v>606</v>
      </c>
      <c r="G31" s="388" t="s">
        <v>65</v>
      </c>
      <c r="H31" s="388">
        <v>658</v>
      </c>
      <c r="J31" s="388" t="s">
        <v>67</v>
      </c>
      <c r="K31" s="388">
        <v>683</v>
      </c>
      <c r="M31" s="388" t="s">
        <v>70</v>
      </c>
      <c r="N31" s="388">
        <v>599</v>
      </c>
      <c r="P31" s="389" t="s">
        <v>459</v>
      </c>
      <c r="Q31" s="392">
        <v>627</v>
      </c>
      <c r="S31" s="389" t="s">
        <v>455</v>
      </c>
      <c r="T31" s="391">
        <v>651</v>
      </c>
    </row>
    <row r="32" spans="1:20" ht="13.5">
      <c r="A32" s="388" t="s">
        <v>67</v>
      </c>
      <c r="B32" s="388">
        <v>556</v>
      </c>
      <c r="D32" s="388" t="s">
        <v>51</v>
      </c>
      <c r="E32" s="388">
        <v>601</v>
      </c>
      <c r="G32" s="388" t="s">
        <v>70</v>
      </c>
      <c r="H32" s="388">
        <v>637</v>
      </c>
      <c r="J32" s="388" t="s">
        <v>71</v>
      </c>
      <c r="K32" s="388">
        <v>656</v>
      </c>
      <c r="M32" s="388" t="s">
        <v>73</v>
      </c>
      <c r="N32" s="388">
        <v>551</v>
      </c>
      <c r="P32" s="389" t="s">
        <v>460</v>
      </c>
      <c r="Q32" s="392">
        <v>582</v>
      </c>
      <c r="S32" s="389" t="s">
        <v>458</v>
      </c>
      <c r="T32" s="391">
        <v>630</v>
      </c>
    </row>
    <row r="33" spans="1:20" ht="13.5">
      <c r="A33" s="388" t="s">
        <v>51</v>
      </c>
      <c r="B33" s="388">
        <v>555</v>
      </c>
      <c r="D33" s="388" t="s">
        <v>72</v>
      </c>
      <c r="E33" s="388">
        <v>598</v>
      </c>
      <c r="G33" s="388" t="s">
        <v>72</v>
      </c>
      <c r="H33" s="388">
        <v>617</v>
      </c>
      <c r="J33" s="388" t="s">
        <v>73</v>
      </c>
      <c r="K33" s="388">
        <v>647</v>
      </c>
      <c r="M33" s="388" t="s">
        <v>72</v>
      </c>
      <c r="N33" s="388">
        <v>547</v>
      </c>
      <c r="P33" s="389" t="s">
        <v>461</v>
      </c>
      <c r="Q33" s="392">
        <v>567</v>
      </c>
      <c r="S33" s="389" t="s">
        <v>464</v>
      </c>
      <c r="T33" s="391">
        <v>551</v>
      </c>
    </row>
    <row r="34" spans="1:20" ht="13.5">
      <c r="A34" s="388" t="s">
        <v>74</v>
      </c>
      <c r="B34" s="388">
        <v>553</v>
      </c>
      <c r="D34" s="388" t="s">
        <v>69</v>
      </c>
      <c r="E34" s="388">
        <v>559</v>
      </c>
      <c r="G34" s="388" t="s">
        <v>75</v>
      </c>
      <c r="H34" s="388">
        <v>612</v>
      </c>
      <c r="J34" s="388" t="s">
        <v>69</v>
      </c>
      <c r="K34" s="388">
        <v>618</v>
      </c>
      <c r="M34" s="388" t="s">
        <v>71</v>
      </c>
      <c r="N34" s="388">
        <v>535</v>
      </c>
      <c r="P34" s="389" t="s">
        <v>462</v>
      </c>
      <c r="Q34" s="392">
        <v>566</v>
      </c>
      <c r="S34" s="389" t="s">
        <v>462</v>
      </c>
      <c r="T34" s="391">
        <v>531</v>
      </c>
    </row>
    <row r="35" spans="1:20" ht="13.5">
      <c r="A35" s="388" t="s">
        <v>70</v>
      </c>
      <c r="B35" s="388">
        <v>544</v>
      </c>
      <c r="D35" s="388" t="s">
        <v>76</v>
      </c>
      <c r="E35" s="388">
        <v>546</v>
      </c>
      <c r="G35" s="388" t="s">
        <v>74</v>
      </c>
      <c r="H35" s="388">
        <v>563</v>
      </c>
      <c r="J35" s="388" t="s">
        <v>72</v>
      </c>
      <c r="K35" s="388">
        <v>612</v>
      </c>
      <c r="M35" s="388" t="s">
        <v>75</v>
      </c>
      <c r="N35" s="388">
        <v>491</v>
      </c>
      <c r="P35" s="389" t="s">
        <v>463</v>
      </c>
      <c r="Q35" s="392">
        <v>548</v>
      </c>
      <c r="S35" s="389" t="s">
        <v>465</v>
      </c>
      <c r="T35" s="391">
        <v>496</v>
      </c>
    </row>
    <row r="36" spans="1:20" ht="13.5">
      <c r="A36" s="388" t="s">
        <v>75</v>
      </c>
      <c r="B36" s="388">
        <v>540</v>
      </c>
      <c r="D36" s="388" t="s">
        <v>71</v>
      </c>
      <c r="E36" s="388">
        <v>536</v>
      </c>
      <c r="G36" s="388" t="s">
        <v>69</v>
      </c>
      <c r="H36" s="388">
        <v>563</v>
      </c>
      <c r="J36" s="388" t="s">
        <v>70</v>
      </c>
      <c r="K36" s="388">
        <v>605</v>
      </c>
      <c r="M36" s="388" t="s">
        <v>69</v>
      </c>
      <c r="N36" s="388">
        <v>477</v>
      </c>
      <c r="P36" s="389" t="s">
        <v>464</v>
      </c>
      <c r="Q36" s="392">
        <v>545</v>
      </c>
      <c r="S36" s="389" t="s">
        <v>463</v>
      </c>
      <c r="T36" s="391">
        <v>485</v>
      </c>
    </row>
    <row r="37" spans="1:20" ht="13.5">
      <c r="A37" s="388" t="s">
        <v>72</v>
      </c>
      <c r="B37" s="388">
        <v>531</v>
      </c>
      <c r="D37" s="388" t="s">
        <v>77</v>
      </c>
      <c r="E37" s="388">
        <v>524</v>
      </c>
      <c r="G37" s="388" t="s">
        <v>71</v>
      </c>
      <c r="H37" s="388">
        <v>563</v>
      </c>
      <c r="J37" s="388" t="s">
        <v>77</v>
      </c>
      <c r="K37" s="388">
        <v>566</v>
      </c>
      <c r="M37" s="388" t="s">
        <v>76</v>
      </c>
      <c r="N37" s="388">
        <v>467</v>
      </c>
      <c r="P37" s="389" t="s">
        <v>465</v>
      </c>
      <c r="Q37" s="389">
        <v>528</v>
      </c>
      <c r="S37" s="389" t="s">
        <v>470</v>
      </c>
      <c r="T37" s="391">
        <v>484</v>
      </c>
    </row>
    <row r="38" spans="1:20" ht="13.5">
      <c r="A38" s="388" t="s">
        <v>76</v>
      </c>
      <c r="B38" s="388">
        <v>508</v>
      </c>
      <c r="D38" s="388" t="s">
        <v>79</v>
      </c>
      <c r="E38" s="388">
        <v>521</v>
      </c>
      <c r="G38" s="388" t="s">
        <v>76</v>
      </c>
      <c r="H38" s="388">
        <v>551</v>
      </c>
      <c r="J38" s="388" t="s">
        <v>80</v>
      </c>
      <c r="K38" s="388">
        <v>542</v>
      </c>
      <c r="M38" s="388" t="s">
        <v>74</v>
      </c>
      <c r="N38" s="388">
        <v>462</v>
      </c>
      <c r="P38" s="389" t="s">
        <v>466</v>
      </c>
      <c r="Q38" s="392">
        <v>511</v>
      </c>
      <c r="S38" s="389" t="s">
        <v>468</v>
      </c>
      <c r="T38" s="391">
        <v>471</v>
      </c>
    </row>
    <row r="39" spans="1:20" ht="13.5">
      <c r="A39" s="388" t="s">
        <v>81</v>
      </c>
      <c r="B39" s="388">
        <v>490</v>
      </c>
      <c r="D39" s="388" t="s">
        <v>74</v>
      </c>
      <c r="E39" s="388">
        <v>519</v>
      </c>
      <c r="G39" s="388" t="s">
        <v>73</v>
      </c>
      <c r="H39" s="388">
        <v>532</v>
      </c>
      <c r="J39" s="388" t="s">
        <v>74</v>
      </c>
      <c r="K39" s="388">
        <v>526</v>
      </c>
      <c r="M39" s="388" t="s">
        <v>67</v>
      </c>
      <c r="N39" s="388">
        <v>461</v>
      </c>
      <c r="P39" s="389" t="s">
        <v>467</v>
      </c>
      <c r="Q39" s="392">
        <v>505</v>
      </c>
      <c r="S39" s="389" t="s">
        <v>471</v>
      </c>
      <c r="T39" s="391">
        <v>469</v>
      </c>
    </row>
    <row r="40" spans="1:20" ht="13.5">
      <c r="A40" s="388" t="s">
        <v>80</v>
      </c>
      <c r="B40" s="388">
        <v>488</v>
      </c>
      <c r="D40" s="388" t="s">
        <v>70</v>
      </c>
      <c r="E40" s="388">
        <v>517</v>
      </c>
      <c r="G40" s="388" t="s">
        <v>80</v>
      </c>
      <c r="H40" s="388">
        <v>514</v>
      </c>
      <c r="J40" s="388" t="s">
        <v>76</v>
      </c>
      <c r="K40" s="388">
        <v>526</v>
      </c>
      <c r="M40" s="388" t="s">
        <v>80</v>
      </c>
      <c r="N40" s="388">
        <v>441</v>
      </c>
      <c r="P40" s="389" t="s">
        <v>468</v>
      </c>
      <c r="Q40" s="389">
        <v>503</v>
      </c>
      <c r="S40" s="389" t="s">
        <v>460</v>
      </c>
      <c r="T40" s="391">
        <v>459</v>
      </c>
    </row>
    <row r="41" spans="1:20" ht="13.5">
      <c r="A41" s="388" t="s">
        <v>71</v>
      </c>
      <c r="B41" s="388">
        <v>484</v>
      </c>
      <c r="D41" s="388" t="s">
        <v>81</v>
      </c>
      <c r="E41" s="388">
        <v>481</v>
      </c>
      <c r="G41" s="388" t="s">
        <v>81</v>
      </c>
      <c r="H41" s="388">
        <v>494</v>
      </c>
      <c r="J41" s="388" t="s">
        <v>79</v>
      </c>
      <c r="K41" s="388">
        <v>492</v>
      </c>
      <c r="M41" s="388" t="s">
        <v>81</v>
      </c>
      <c r="N41" s="388">
        <v>431</v>
      </c>
      <c r="P41" s="389" t="s">
        <v>469</v>
      </c>
      <c r="Q41" s="392">
        <v>500</v>
      </c>
      <c r="S41" s="389" t="s">
        <v>466</v>
      </c>
      <c r="T41" s="391">
        <v>451</v>
      </c>
    </row>
    <row r="42" spans="1:20" ht="13.5">
      <c r="A42" s="388" t="s">
        <v>77</v>
      </c>
      <c r="B42" s="388">
        <v>462</v>
      </c>
      <c r="D42" s="388" t="s">
        <v>75</v>
      </c>
      <c r="E42" s="388">
        <v>475</v>
      </c>
      <c r="G42" s="388" t="s">
        <v>77</v>
      </c>
      <c r="H42" s="388">
        <v>478</v>
      </c>
      <c r="J42" s="388" t="s">
        <v>75</v>
      </c>
      <c r="K42" s="388">
        <v>476</v>
      </c>
      <c r="M42" s="388" t="s">
        <v>77</v>
      </c>
      <c r="N42" s="388">
        <v>413</v>
      </c>
      <c r="P42" s="389" t="s">
        <v>470</v>
      </c>
      <c r="Q42" s="392">
        <v>465</v>
      </c>
      <c r="S42" s="389" t="s">
        <v>469</v>
      </c>
      <c r="T42" s="391">
        <v>428</v>
      </c>
    </row>
    <row r="43" spans="1:20" ht="13.5">
      <c r="A43" s="388" t="s">
        <v>79</v>
      </c>
      <c r="B43" s="388">
        <v>415</v>
      </c>
      <c r="D43" s="388" t="s">
        <v>80</v>
      </c>
      <c r="E43" s="388">
        <v>455</v>
      </c>
      <c r="G43" s="388" t="s">
        <v>79</v>
      </c>
      <c r="H43" s="388">
        <v>423</v>
      </c>
      <c r="J43" s="388" t="s">
        <v>81</v>
      </c>
      <c r="K43" s="388">
        <v>471</v>
      </c>
      <c r="M43" s="388" t="s">
        <v>79</v>
      </c>
      <c r="N43" s="388">
        <v>396</v>
      </c>
      <c r="P43" s="389" t="s">
        <v>471</v>
      </c>
      <c r="Q43" s="392">
        <v>432</v>
      </c>
      <c r="S43" s="389" t="s">
        <v>467</v>
      </c>
      <c r="T43" s="391">
        <v>414</v>
      </c>
    </row>
    <row r="44" spans="1:20" ht="13.5">
      <c r="A44" s="388" t="s">
        <v>82</v>
      </c>
      <c r="B44" s="388">
        <v>394</v>
      </c>
      <c r="D44" s="388" t="s">
        <v>83</v>
      </c>
      <c r="E44" s="388">
        <v>424</v>
      </c>
      <c r="G44" s="388" t="s">
        <v>83</v>
      </c>
      <c r="H44" s="388">
        <v>415</v>
      </c>
      <c r="J44" s="388" t="s">
        <v>83</v>
      </c>
      <c r="K44" s="388">
        <v>417</v>
      </c>
      <c r="M44" s="388" t="s">
        <v>82</v>
      </c>
      <c r="N44" s="388">
        <v>371</v>
      </c>
      <c r="P44" s="389" t="s">
        <v>472</v>
      </c>
      <c r="Q44" s="392">
        <v>403</v>
      </c>
      <c r="S44" s="389" t="s">
        <v>472</v>
      </c>
      <c r="T44" s="391">
        <v>401</v>
      </c>
    </row>
    <row r="45" spans="1:20" ht="13.5">
      <c r="A45" s="388" t="s">
        <v>83</v>
      </c>
      <c r="B45" s="388">
        <v>379</v>
      </c>
      <c r="D45" s="388" t="s">
        <v>82</v>
      </c>
      <c r="E45" s="388">
        <v>386</v>
      </c>
      <c r="G45" s="388" t="s">
        <v>82</v>
      </c>
      <c r="H45" s="388">
        <v>415</v>
      </c>
      <c r="J45" s="388" t="s">
        <v>82</v>
      </c>
      <c r="K45" s="388">
        <v>398</v>
      </c>
      <c r="M45" s="388" t="s">
        <v>83</v>
      </c>
      <c r="N45" s="388">
        <v>356</v>
      </c>
      <c r="P45" s="389" t="s">
        <v>473</v>
      </c>
      <c r="Q45" s="392">
        <v>357</v>
      </c>
      <c r="S45" s="389" t="s">
        <v>473</v>
      </c>
      <c r="T45" s="391">
        <v>358</v>
      </c>
    </row>
    <row r="46" spans="1:20" ht="13.5">
      <c r="A46" s="388" t="s">
        <v>84</v>
      </c>
      <c r="B46" s="388">
        <v>324</v>
      </c>
      <c r="D46" s="388" t="s">
        <v>84</v>
      </c>
      <c r="E46" s="388">
        <v>345</v>
      </c>
      <c r="G46" s="388" t="s">
        <v>84</v>
      </c>
      <c r="H46" s="388">
        <v>334</v>
      </c>
      <c r="J46" s="388" t="s">
        <v>84</v>
      </c>
      <c r="K46" s="388">
        <v>369</v>
      </c>
      <c r="M46" s="388" t="s">
        <v>84</v>
      </c>
      <c r="N46" s="388">
        <v>306</v>
      </c>
      <c r="P46" s="389" t="s">
        <v>474</v>
      </c>
      <c r="Q46" s="389">
        <v>313</v>
      </c>
      <c r="S46" s="389" t="s">
        <v>474</v>
      </c>
      <c r="T46" s="391">
        <v>334</v>
      </c>
    </row>
    <row r="47" spans="1:20" ht="13.5">
      <c r="A47" s="388" t="s">
        <v>85</v>
      </c>
      <c r="B47" s="388">
        <v>279</v>
      </c>
      <c r="D47" s="388" t="s">
        <v>86</v>
      </c>
      <c r="E47" s="388">
        <v>310</v>
      </c>
      <c r="G47" s="388" t="s">
        <v>87</v>
      </c>
      <c r="H47" s="388">
        <v>286</v>
      </c>
      <c r="J47" s="388" t="s">
        <v>85</v>
      </c>
      <c r="K47" s="388">
        <v>320</v>
      </c>
      <c r="M47" s="388" t="s">
        <v>87</v>
      </c>
      <c r="N47" s="388">
        <v>265</v>
      </c>
      <c r="P47" s="389" t="s">
        <v>475</v>
      </c>
      <c r="Q47" s="392">
        <v>304</v>
      </c>
      <c r="S47" s="389" t="s">
        <v>476</v>
      </c>
      <c r="T47" s="391">
        <v>299</v>
      </c>
    </row>
    <row r="48" spans="1:20" ht="13.5">
      <c r="A48" s="388" t="s">
        <v>86</v>
      </c>
      <c r="B48" s="388">
        <v>271</v>
      </c>
      <c r="D48" s="388" t="s">
        <v>85</v>
      </c>
      <c r="E48" s="388">
        <v>298</v>
      </c>
      <c r="G48" s="388" t="s">
        <v>85</v>
      </c>
      <c r="H48" s="388">
        <v>281</v>
      </c>
      <c r="J48" s="388" t="s">
        <v>87</v>
      </c>
      <c r="K48" s="388">
        <v>310</v>
      </c>
      <c r="M48" s="388" t="s">
        <v>85</v>
      </c>
      <c r="N48" s="388">
        <v>264</v>
      </c>
      <c r="P48" s="389" t="s">
        <v>476</v>
      </c>
      <c r="Q48" s="389">
        <v>291</v>
      </c>
      <c r="S48" s="389" t="s">
        <v>475</v>
      </c>
      <c r="T48" s="391">
        <v>275</v>
      </c>
    </row>
    <row r="49" spans="1:20" ht="13.5">
      <c r="A49" s="388" t="s">
        <v>87</v>
      </c>
      <c r="B49" s="388">
        <v>249</v>
      </c>
      <c r="D49" s="388" t="s">
        <v>87</v>
      </c>
      <c r="E49" s="388">
        <v>258</v>
      </c>
      <c r="G49" s="388" t="s">
        <v>86</v>
      </c>
      <c r="H49" s="388">
        <v>251</v>
      </c>
      <c r="J49" s="388" t="s">
        <v>86</v>
      </c>
      <c r="K49" s="388">
        <v>284</v>
      </c>
      <c r="M49" s="388" t="s">
        <v>86</v>
      </c>
      <c r="N49" s="388">
        <v>254</v>
      </c>
      <c r="P49" s="389" t="s">
        <v>477</v>
      </c>
      <c r="Q49" s="392">
        <v>260</v>
      </c>
      <c r="S49" s="389" t="s">
        <v>477</v>
      </c>
      <c r="T49" s="391">
        <v>270</v>
      </c>
    </row>
    <row r="50" spans="17:20" ht="13.5">
      <c r="Q50" s="388">
        <f>SUM(Q3:Q49)</f>
        <v>60387</v>
      </c>
      <c r="T50" s="388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70" workbookViewId="0" topLeftCell="A1">
      <selection activeCell="P25" sqref="P25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25390625" style="47" customWidth="1"/>
    <col min="14" max="16384" width="9.00390625" style="47" customWidth="1"/>
  </cols>
  <sheetData>
    <row r="1" spans="1:13" ht="19.5" customHeight="1">
      <c r="A1" s="825" t="s">
        <v>361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27" customHeight="1">
      <c r="A3" s="830"/>
      <c r="B3" s="831"/>
      <c r="C3" s="812" t="s">
        <v>304</v>
      </c>
      <c r="D3" s="811"/>
      <c r="E3" s="811"/>
      <c r="F3" s="811"/>
      <c r="G3" s="811"/>
      <c r="H3" s="812" t="s">
        <v>305</v>
      </c>
      <c r="I3" s="811"/>
      <c r="J3" s="811"/>
      <c r="K3" s="811"/>
      <c r="L3" s="811"/>
      <c r="M3" s="813"/>
    </row>
    <row r="4" spans="1:13" ht="27" customHeight="1">
      <c r="A4" s="832"/>
      <c r="B4" s="833"/>
      <c r="C4" s="955" t="s">
        <v>131</v>
      </c>
      <c r="D4" s="957" t="s">
        <v>306</v>
      </c>
      <c r="E4" s="958" t="s">
        <v>307</v>
      </c>
      <c r="F4" s="959"/>
      <c r="G4" s="959"/>
      <c r="H4" s="960" t="s">
        <v>308</v>
      </c>
      <c r="I4" s="959"/>
      <c r="J4" s="961"/>
      <c r="K4" s="958" t="s">
        <v>309</v>
      </c>
      <c r="L4" s="959"/>
      <c r="M4" s="962"/>
    </row>
    <row r="5" spans="1:13" ht="27" customHeight="1">
      <c r="A5" s="832"/>
      <c r="B5" s="833"/>
      <c r="C5" s="955"/>
      <c r="D5" s="957"/>
      <c r="E5" s="302"/>
      <c r="F5" s="963" t="s">
        <v>310</v>
      </c>
      <c r="G5" s="964"/>
      <c r="H5" s="303"/>
      <c r="I5" s="963" t="s">
        <v>310</v>
      </c>
      <c r="J5" s="965"/>
      <c r="K5" s="302"/>
      <c r="L5" s="963" t="s">
        <v>310</v>
      </c>
      <c r="M5" s="966"/>
    </row>
    <row r="6" spans="1:13" ht="27" customHeight="1" thickBot="1">
      <c r="A6" s="834"/>
      <c r="B6" s="835"/>
      <c r="C6" s="956"/>
      <c r="D6" s="767"/>
      <c r="E6" s="304"/>
      <c r="F6" s="305"/>
      <c r="G6" s="306" t="s">
        <v>311</v>
      </c>
      <c r="H6" s="307"/>
      <c r="I6" s="305"/>
      <c r="J6" s="308" t="s">
        <v>311</v>
      </c>
      <c r="K6" s="304"/>
      <c r="L6" s="305"/>
      <c r="M6" s="309" t="s">
        <v>311</v>
      </c>
    </row>
    <row r="7" spans="1:13" ht="27" customHeight="1">
      <c r="A7" s="800" t="s">
        <v>179</v>
      </c>
      <c r="B7" s="801"/>
      <c r="C7" s="310">
        <f aca="true" t="shared" si="0" ref="C7:C18">SUM(D7:E7)</f>
        <v>25</v>
      </c>
      <c r="D7" s="311">
        <v>3</v>
      </c>
      <c r="E7" s="312">
        <v>22</v>
      </c>
      <c r="F7" s="313">
        <v>19</v>
      </c>
      <c r="G7" s="314">
        <v>17</v>
      </c>
      <c r="H7" s="315">
        <v>7</v>
      </c>
      <c r="I7" s="313">
        <v>5</v>
      </c>
      <c r="J7" s="316">
        <v>5</v>
      </c>
      <c r="K7" s="312">
        <v>15</v>
      </c>
      <c r="L7" s="313">
        <v>14</v>
      </c>
      <c r="M7" s="317">
        <v>12</v>
      </c>
    </row>
    <row r="8" spans="1:13" ht="27" customHeight="1">
      <c r="A8" s="800" t="s">
        <v>180</v>
      </c>
      <c r="B8" s="801"/>
      <c r="C8" s="310">
        <f t="shared" si="0"/>
        <v>18</v>
      </c>
      <c r="D8" s="311">
        <v>4</v>
      </c>
      <c r="E8" s="312">
        <v>14</v>
      </c>
      <c r="F8" s="313">
        <v>10</v>
      </c>
      <c r="G8" s="314">
        <v>8</v>
      </c>
      <c r="H8" s="315">
        <v>6</v>
      </c>
      <c r="I8" s="313">
        <v>4</v>
      </c>
      <c r="J8" s="316">
        <v>3</v>
      </c>
      <c r="K8" s="312">
        <v>8</v>
      </c>
      <c r="L8" s="313">
        <v>6</v>
      </c>
      <c r="M8" s="317">
        <v>5</v>
      </c>
    </row>
    <row r="9" spans="1:13" ht="27" customHeight="1">
      <c r="A9" s="800" t="s">
        <v>181</v>
      </c>
      <c r="B9" s="801"/>
      <c r="C9" s="310">
        <f t="shared" si="0"/>
        <v>33</v>
      </c>
      <c r="D9" s="311">
        <v>9</v>
      </c>
      <c r="E9" s="312">
        <v>24</v>
      </c>
      <c r="F9" s="313">
        <v>21</v>
      </c>
      <c r="G9" s="314">
        <v>17</v>
      </c>
      <c r="H9" s="315">
        <v>13</v>
      </c>
      <c r="I9" s="313">
        <v>10</v>
      </c>
      <c r="J9" s="316">
        <v>8</v>
      </c>
      <c r="K9" s="312">
        <v>11</v>
      </c>
      <c r="L9" s="313">
        <v>8</v>
      </c>
      <c r="M9" s="317">
        <v>7</v>
      </c>
    </row>
    <row r="10" spans="1:13" ht="27" customHeight="1">
      <c r="A10" s="800" t="s">
        <v>182</v>
      </c>
      <c r="B10" s="801"/>
      <c r="C10" s="310">
        <f t="shared" si="0"/>
        <v>42</v>
      </c>
      <c r="D10" s="311">
        <v>12</v>
      </c>
      <c r="E10" s="312">
        <v>30</v>
      </c>
      <c r="F10" s="313">
        <v>27</v>
      </c>
      <c r="G10" s="314">
        <v>24</v>
      </c>
      <c r="H10" s="315">
        <v>14</v>
      </c>
      <c r="I10" s="313">
        <v>12</v>
      </c>
      <c r="J10" s="316">
        <v>11</v>
      </c>
      <c r="K10" s="312">
        <v>16</v>
      </c>
      <c r="L10" s="313">
        <v>14</v>
      </c>
      <c r="M10" s="317">
        <v>13</v>
      </c>
    </row>
    <row r="11" spans="1:13" ht="27" customHeight="1">
      <c r="A11" s="800" t="s">
        <v>183</v>
      </c>
      <c r="B11" s="801"/>
      <c r="C11" s="310">
        <f t="shared" si="0"/>
        <v>28</v>
      </c>
      <c r="D11" s="311">
        <v>9</v>
      </c>
      <c r="E11" s="312">
        <v>19</v>
      </c>
      <c r="F11" s="313">
        <v>14</v>
      </c>
      <c r="G11" s="314">
        <v>13</v>
      </c>
      <c r="H11" s="315">
        <v>6</v>
      </c>
      <c r="I11" s="313">
        <v>4</v>
      </c>
      <c r="J11" s="316">
        <v>3</v>
      </c>
      <c r="K11" s="312">
        <v>13</v>
      </c>
      <c r="L11" s="313">
        <v>10</v>
      </c>
      <c r="M11" s="317">
        <v>10</v>
      </c>
    </row>
    <row r="12" spans="1:13" ht="27" customHeight="1">
      <c r="A12" s="800" t="s">
        <v>184</v>
      </c>
      <c r="B12" s="801"/>
      <c r="C12" s="310">
        <f t="shared" si="0"/>
        <v>19</v>
      </c>
      <c r="D12" s="311">
        <v>6</v>
      </c>
      <c r="E12" s="312">
        <v>13</v>
      </c>
      <c r="F12" s="313">
        <v>9</v>
      </c>
      <c r="G12" s="314">
        <v>7</v>
      </c>
      <c r="H12" s="315">
        <v>6</v>
      </c>
      <c r="I12" s="313">
        <v>4</v>
      </c>
      <c r="J12" s="316">
        <v>3</v>
      </c>
      <c r="K12" s="312">
        <v>7</v>
      </c>
      <c r="L12" s="313">
        <v>5</v>
      </c>
      <c r="M12" s="317">
        <v>4</v>
      </c>
    </row>
    <row r="13" spans="1:13" ht="27" customHeight="1">
      <c r="A13" s="800" t="s">
        <v>185</v>
      </c>
      <c r="B13" s="801"/>
      <c r="C13" s="310">
        <f t="shared" si="0"/>
        <v>21</v>
      </c>
      <c r="D13" s="311">
        <v>9</v>
      </c>
      <c r="E13" s="312">
        <v>12</v>
      </c>
      <c r="F13" s="313">
        <v>8</v>
      </c>
      <c r="G13" s="314">
        <v>8</v>
      </c>
      <c r="H13" s="315">
        <v>4</v>
      </c>
      <c r="I13" s="313">
        <v>1</v>
      </c>
      <c r="J13" s="316">
        <v>1</v>
      </c>
      <c r="K13" s="312">
        <v>8</v>
      </c>
      <c r="L13" s="313">
        <v>7</v>
      </c>
      <c r="M13" s="317">
        <v>7</v>
      </c>
    </row>
    <row r="14" spans="1:13" ht="27" customHeight="1">
      <c r="A14" s="821" t="s">
        <v>187</v>
      </c>
      <c r="B14" s="822"/>
      <c r="C14" s="310">
        <f t="shared" si="0"/>
        <v>49</v>
      </c>
      <c r="D14" s="311">
        <v>19</v>
      </c>
      <c r="E14" s="312">
        <v>30</v>
      </c>
      <c r="F14" s="313">
        <v>26</v>
      </c>
      <c r="G14" s="314">
        <v>25</v>
      </c>
      <c r="H14" s="315">
        <v>18</v>
      </c>
      <c r="I14" s="313">
        <v>16</v>
      </c>
      <c r="J14" s="316">
        <v>15</v>
      </c>
      <c r="K14" s="312">
        <v>12</v>
      </c>
      <c r="L14" s="313">
        <v>10</v>
      </c>
      <c r="M14" s="317">
        <v>10</v>
      </c>
    </row>
    <row r="15" spans="1:13" ht="27" customHeight="1">
      <c r="A15" s="823" t="s">
        <v>428</v>
      </c>
      <c r="B15" s="824"/>
      <c r="C15" s="318">
        <f t="shared" si="0"/>
        <v>31</v>
      </c>
      <c r="D15" s="319">
        <v>14</v>
      </c>
      <c r="E15" s="320">
        <v>17</v>
      </c>
      <c r="F15" s="321">
        <v>14</v>
      </c>
      <c r="G15" s="322">
        <v>14</v>
      </c>
      <c r="H15" s="323">
        <v>8</v>
      </c>
      <c r="I15" s="321">
        <v>6</v>
      </c>
      <c r="J15" s="324">
        <v>6</v>
      </c>
      <c r="K15" s="320">
        <v>9</v>
      </c>
      <c r="L15" s="321">
        <v>8</v>
      </c>
      <c r="M15" s="325">
        <v>8</v>
      </c>
    </row>
    <row r="16" spans="1:13" ht="27" customHeight="1" thickBot="1">
      <c r="A16" s="816" t="s">
        <v>429</v>
      </c>
      <c r="B16" s="817"/>
      <c r="C16" s="318">
        <f t="shared" si="0"/>
        <v>31</v>
      </c>
      <c r="D16" s="326">
        <v>9</v>
      </c>
      <c r="E16" s="327">
        <v>22</v>
      </c>
      <c r="F16" s="328">
        <v>17</v>
      </c>
      <c r="G16" s="329">
        <v>15</v>
      </c>
      <c r="H16" s="330">
        <v>11</v>
      </c>
      <c r="I16" s="328">
        <v>8</v>
      </c>
      <c r="J16" s="331">
        <v>7</v>
      </c>
      <c r="K16" s="327">
        <v>11</v>
      </c>
      <c r="L16" s="328">
        <v>9</v>
      </c>
      <c r="M16" s="332">
        <v>8</v>
      </c>
    </row>
    <row r="17" spans="1:13" ht="27" customHeight="1" thickBot="1" thickTop="1">
      <c r="A17" s="805" t="s">
        <v>186</v>
      </c>
      <c r="B17" s="806"/>
      <c r="C17" s="333">
        <f>SUM(C7:C16)/10</f>
        <v>29.7</v>
      </c>
      <c r="D17" s="334">
        <f aca="true" t="shared" si="1" ref="D17:M17">SUM(D7:D16)/10</f>
        <v>9.4</v>
      </c>
      <c r="E17" s="335">
        <f t="shared" si="1"/>
        <v>20.3</v>
      </c>
      <c r="F17" s="336">
        <f t="shared" si="1"/>
        <v>16.5</v>
      </c>
      <c r="G17" s="337">
        <f t="shared" si="1"/>
        <v>14.8</v>
      </c>
      <c r="H17" s="338">
        <f t="shared" si="1"/>
        <v>9.3</v>
      </c>
      <c r="I17" s="336">
        <f t="shared" si="1"/>
        <v>7</v>
      </c>
      <c r="J17" s="339">
        <f t="shared" si="1"/>
        <v>6.2</v>
      </c>
      <c r="K17" s="335">
        <f t="shared" si="1"/>
        <v>11</v>
      </c>
      <c r="L17" s="336">
        <f t="shared" si="1"/>
        <v>9.1</v>
      </c>
      <c r="M17" s="337">
        <f t="shared" si="1"/>
        <v>8.4</v>
      </c>
    </row>
    <row r="18" spans="1:13" ht="27" customHeight="1" thickBot="1">
      <c r="A18" s="950" t="s">
        <v>550</v>
      </c>
      <c r="B18" s="951"/>
      <c r="C18" s="340">
        <f t="shared" si="0"/>
        <v>36</v>
      </c>
      <c r="D18" s="636">
        <v>5</v>
      </c>
      <c r="E18" s="637">
        <v>31</v>
      </c>
      <c r="F18" s="456">
        <v>27</v>
      </c>
      <c r="G18" s="457">
        <v>25</v>
      </c>
      <c r="H18" s="638">
        <v>9</v>
      </c>
      <c r="I18" s="456">
        <v>6</v>
      </c>
      <c r="J18" s="639">
        <v>6</v>
      </c>
      <c r="K18" s="637">
        <v>22</v>
      </c>
      <c r="L18" s="456">
        <v>21</v>
      </c>
      <c r="M18" s="640">
        <v>19</v>
      </c>
    </row>
    <row r="20" ht="22.5" customHeight="1"/>
    <row r="21" spans="1:13" ht="19.5" customHeight="1">
      <c r="A21" s="825" t="s">
        <v>362</v>
      </c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</row>
    <row r="22" ht="19.5" customHeight="1" thickBot="1"/>
    <row r="23" spans="1:13" ht="27" customHeight="1">
      <c r="A23" s="830"/>
      <c r="B23" s="831"/>
      <c r="C23" s="952" t="s">
        <v>312</v>
      </c>
      <c r="D23" s="954" t="s">
        <v>313</v>
      </c>
      <c r="E23" s="793" t="s">
        <v>314</v>
      </c>
      <c r="F23" s="811"/>
      <c r="G23" s="811"/>
      <c r="H23" s="811"/>
      <c r="I23" s="811"/>
      <c r="J23" s="811"/>
      <c r="K23" s="811"/>
      <c r="L23" s="811"/>
      <c r="M23" s="813"/>
    </row>
    <row r="24" spans="1:13" ht="27" customHeight="1" thickBot="1">
      <c r="A24" s="834"/>
      <c r="B24" s="835"/>
      <c r="C24" s="953"/>
      <c r="D24" s="765"/>
      <c r="E24" s="341" t="s">
        <v>546</v>
      </c>
      <c r="F24" s="341" t="s">
        <v>315</v>
      </c>
      <c r="G24" s="341" t="s">
        <v>316</v>
      </c>
      <c r="H24" s="342" t="s">
        <v>317</v>
      </c>
      <c r="I24" s="342" t="s">
        <v>318</v>
      </c>
      <c r="J24" s="342" t="s">
        <v>319</v>
      </c>
      <c r="K24" s="341" t="s">
        <v>245</v>
      </c>
      <c r="L24" s="341" t="s">
        <v>244</v>
      </c>
      <c r="M24" s="343" t="s">
        <v>138</v>
      </c>
    </row>
    <row r="25" spans="1:13" ht="27" customHeight="1">
      <c r="A25" s="800" t="s">
        <v>179</v>
      </c>
      <c r="B25" s="801"/>
      <c r="C25" s="315">
        <v>876</v>
      </c>
      <c r="D25" s="310">
        <f aca="true" t="shared" si="2" ref="D25:D33">SUM(E25:M25)</f>
        <v>271</v>
      </c>
      <c r="E25" s="344">
        <v>64</v>
      </c>
      <c r="F25" s="344">
        <v>26</v>
      </c>
      <c r="G25" s="344">
        <v>20</v>
      </c>
      <c r="H25" s="344">
        <v>18</v>
      </c>
      <c r="I25" s="344">
        <v>7</v>
      </c>
      <c r="J25" s="344">
        <v>11</v>
      </c>
      <c r="K25" s="344">
        <v>13</v>
      </c>
      <c r="L25" s="344">
        <v>6</v>
      </c>
      <c r="M25" s="345">
        <v>106</v>
      </c>
    </row>
    <row r="26" spans="1:13" ht="27" customHeight="1">
      <c r="A26" s="800" t="s">
        <v>180</v>
      </c>
      <c r="B26" s="801"/>
      <c r="C26" s="315">
        <v>810</v>
      </c>
      <c r="D26" s="310">
        <f t="shared" si="2"/>
        <v>248</v>
      </c>
      <c r="E26" s="344">
        <v>56</v>
      </c>
      <c r="F26" s="344">
        <v>26</v>
      </c>
      <c r="G26" s="344">
        <v>25</v>
      </c>
      <c r="H26" s="344">
        <v>15</v>
      </c>
      <c r="I26" s="344">
        <v>8</v>
      </c>
      <c r="J26" s="344">
        <v>19</v>
      </c>
      <c r="K26" s="344">
        <v>10</v>
      </c>
      <c r="L26" s="344">
        <v>1</v>
      </c>
      <c r="M26" s="345">
        <v>88</v>
      </c>
    </row>
    <row r="27" spans="1:13" ht="27" customHeight="1">
      <c r="A27" s="800" t="s">
        <v>181</v>
      </c>
      <c r="B27" s="801"/>
      <c r="C27" s="315">
        <v>789</v>
      </c>
      <c r="D27" s="310">
        <f t="shared" si="2"/>
        <v>250</v>
      </c>
      <c r="E27" s="344">
        <v>63</v>
      </c>
      <c r="F27" s="344">
        <v>19</v>
      </c>
      <c r="G27" s="344">
        <v>29</v>
      </c>
      <c r="H27" s="344">
        <v>10</v>
      </c>
      <c r="I27" s="344">
        <v>8</v>
      </c>
      <c r="J27" s="344">
        <v>17</v>
      </c>
      <c r="K27" s="344">
        <v>17</v>
      </c>
      <c r="L27" s="344">
        <v>2</v>
      </c>
      <c r="M27" s="345">
        <v>85</v>
      </c>
    </row>
    <row r="28" spans="1:13" ht="27" customHeight="1">
      <c r="A28" s="800" t="s">
        <v>182</v>
      </c>
      <c r="B28" s="801"/>
      <c r="C28" s="315">
        <v>701</v>
      </c>
      <c r="D28" s="310">
        <f t="shared" si="2"/>
        <v>248</v>
      </c>
      <c r="E28" s="344">
        <v>62</v>
      </c>
      <c r="F28" s="344">
        <v>18</v>
      </c>
      <c r="G28" s="344">
        <v>26</v>
      </c>
      <c r="H28" s="344">
        <v>10</v>
      </c>
      <c r="I28" s="344">
        <v>6</v>
      </c>
      <c r="J28" s="344">
        <v>19</v>
      </c>
      <c r="K28" s="344">
        <v>4</v>
      </c>
      <c r="L28" s="344">
        <v>22</v>
      </c>
      <c r="M28" s="345">
        <v>81</v>
      </c>
    </row>
    <row r="29" spans="1:13" ht="27" customHeight="1">
      <c r="A29" s="800" t="s">
        <v>183</v>
      </c>
      <c r="B29" s="801"/>
      <c r="C29" s="315">
        <v>742</v>
      </c>
      <c r="D29" s="310">
        <f t="shared" si="2"/>
        <v>241</v>
      </c>
      <c r="E29" s="344">
        <v>56</v>
      </c>
      <c r="F29" s="344">
        <v>26</v>
      </c>
      <c r="G29" s="344">
        <v>26</v>
      </c>
      <c r="H29" s="344">
        <v>16</v>
      </c>
      <c r="I29" s="344">
        <v>5</v>
      </c>
      <c r="J29" s="344">
        <v>22</v>
      </c>
      <c r="K29" s="344">
        <v>12</v>
      </c>
      <c r="L29" s="344">
        <v>3</v>
      </c>
      <c r="M29" s="345">
        <v>75</v>
      </c>
    </row>
    <row r="30" spans="1:13" ht="27" customHeight="1">
      <c r="A30" s="800" t="s">
        <v>184</v>
      </c>
      <c r="B30" s="801"/>
      <c r="C30" s="315">
        <v>775</v>
      </c>
      <c r="D30" s="310">
        <f t="shared" si="2"/>
        <v>225</v>
      </c>
      <c r="E30" s="344">
        <v>54</v>
      </c>
      <c r="F30" s="344">
        <v>26</v>
      </c>
      <c r="G30" s="344">
        <v>17</v>
      </c>
      <c r="H30" s="344">
        <v>10</v>
      </c>
      <c r="I30" s="344">
        <v>12</v>
      </c>
      <c r="J30" s="344">
        <v>23</v>
      </c>
      <c r="K30" s="344">
        <v>1</v>
      </c>
      <c r="L30" s="344">
        <v>3</v>
      </c>
      <c r="M30" s="345">
        <v>79</v>
      </c>
    </row>
    <row r="31" spans="1:13" ht="27" customHeight="1">
      <c r="A31" s="800" t="s">
        <v>185</v>
      </c>
      <c r="B31" s="801"/>
      <c r="C31" s="315">
        <v>744</v>
      </c>
      <c r="D31" s="310">
        <f t="shared" si="2"/>
        <v>261</v>
      </c>
      <c r="E31" s="344">
        <v>53</v>
      </c>
      <c r="F31" s="344">
        <v>26</v>
      </c>
      <c r="G31" s="344">
        <v>28</v>
      </c>
      <c r="H31" s="344">
        <v>10</v>
      </c>
      <c r="I31" s="344">
        <v>6</v>
      </c>
      <c r="J31" s="344">
        <v>30</v>
      </c>
      <c r="K31" s="344">
        <v>9</v>
      </c>
      <c r="L31" s="344">
        <v>4</v>
      </c>
      <c r="M31" s="345">
        <v>95</v>
      </c>
    </row>
    <row r="32" spans="1:13" ht="27" customHeight="1">
      <c r="A32" s="821" t="s">
        <v>187</v>
      </c>
      <c r="B32" s="822"/>
      <c r="C32" s="315">
        <v>917</v>
      </c>
      <c r="D32" s="310">
        <f t="shared" si="2"/>
        <v>227</v>
      </c>
      <c r="E32" s="344">
        <v>57</v>
      </c>
      <c r="F32" s="344">
        <v>20</v>
      </c>
      <c r="G32" s="344">
        <v>28</v>
      </c>
      <c r="H32" s="344">
        <v>10</v>
      </c>
      <c r="I32" s="344">
        <v>5</v>
      </c>
      <c r="J32" s="344">
        <v>16</v>
      </c>
      <c r="K32" s="344">
        <v>8</v>
      </c>
      <c r="L32" s="344">
        <v>4</v>
      </c>
      <c r="M32" s="345">
        <v>79</v>
      </c>
    </row>
    <row r="33" spans="1:13" ht="27" customHeight="1">
      <c r="A33" s="823" t="s">
        <v>428</v>
      </c>
      <c r="B33" s="824"/>
      <c r="C33" s="323">
        <v>654</v>
      </c>
      <c r="D33" s="318">
        <f t="shared" si="2"/>
        <v>253</v>
      </c>
      <c r="E33" s="346">
        <v>51</v>
      </c>
      <c r="F33" s="346">
        <v>21</v>
      </c>
      <c r="G33" s="346">
        <v>21</v>
      </c>
      <c r="H33" s="346">
        <v>5</v>
      </c>
      <c r="I33" s="346">
        <v>2</v>
      </c>
      <c r="J33" s="346">
        <v>42</v>
      </c>
      <c r="K33" s="346">
        <v>10</v>
      </c>
      <c r="L33" s="346">
        <v>6</v>
      </c>
      <c r="M33" s="347">
        <v>95</v>
      </c>
    </row>
    <row r="34" spans="1:13" ht="27" customHeight="1" thickBot="1">
      <c r="A34" s="816" t="s">
        <v>429</v>
      </c>
      <c r="B34" s="817"/>
      <c r="C34" s="330">
        <v>697</v>
      </c>
      <c r="D34" s="348">
        <f>SUM(E34:M34)</f>
        <v>231</v>
      </c>
      <c r="E34" s="349">
        <v>53</v>
      </c>
      <c r="F34" s="349">
        <v>15</v>
      </c>
      <c r="G34" s="349">
        <v>24</v>
      </c>
      <c r="H34" s="349">
        <v>9</v>
      </c>
      <c r="I34" s="349">
        <v>2</v>
      </c>
      <c r="J34" s="349">
        <v>20</v>
      </c>
      <c r="K34" s="349">
        <v>9</v>
      </c>
      <c r="L34" s="349">
        <v>4</v>
      </c>
      <c r="M34" s="350">
        <v>95</v>
      </c>
    </row>
    <row r="35" spans="1:13" ht="27" customHeight="1" thickBot="1" thickTop="1">
      <c r="A35" s="805" t="s">
        <v>186</v>
      </c>
      <c r="B35" s="806"/>
      <c r="C35" s="351">
        <f>SUM(C25:C34)/10</f>
        <v>770.5</v>
      </c>
      <c r="D35" s="352">
        <f>SUM(D25:D34)/10</f>
        <v>245.5</v>
      </c>
      <c r="E35" s="353">
        <f>SUM(E25:E34)/10</f>
        <v>56.9</v>
      </c>
      <c r="F35" s="353">
        <f aca="true" t="shared" si="3" ref="F35:M35">SUM(F25:F34)/10</f>
        <v>22.3</v>
      </c>
      <c r="G35" s="353">
        <f t="shared" si="3"/>
        <v>24.4</v>
      </c>
      <c r="H35" s="353">
        <f t="shared" si="3"/>
        <v>11.3</v>
      </c>
      <c r="I35" s="353">
        <f t="shared" si="3"/>
        <v>6.1</v>
      </c>
      <c r="J35" s="353">
        <f t="shared" si="3"/>
        <v>21.9</v>
      </c>
      <c r="K35" s="353">
        <f t="shared" si="3"/>
        <v>9.3</v>
      </c>
      <c r="L35" s="353">
        <f t="shared" si="3"/>
        <v>5.5</v>
      </c>
      <c r="M35" s="354">
        <f t="shared" si="3"/>
        <v>87.8</v>
      </c>
    </row>
    <row r="36" spans="1:13" ht="27" customHeight="1" thickBot="1">
      <c r="A36" s="950" t="s">
        <v>550</v>
      </c>
      <c r="B36" s="951"/>
      <c r="C36" s="638">
        <v>707</v>
      </c>
      <c r="D36" s="340">
        <f>SUM(E36:M36)</f>
        <v>207</v>
      </c>
      <c r="E36" s="641">
        <v>47</v>
      </c>
      <c r="F36" s="641">
        <v>25</v>
      </c>
      <c r="G36" s="641">
        <v>20</v>
      </c>
      <c r="H36" s="641">
        <v>6</v>
      </c>
      <c r="I36" s="641">
        <v>3</v>
      </c>
      <c r="J36" s="641">
        <v>14</v>
      </c>
      <c r="K36" s="641">
        <v>3</v>
      </c>
      <c r="L36" s="641">
        <v>6</v>
      </c>
      <c r="M36" s="642">
        <v>83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60" zoomScaleNormal="85" workbookViewId="0" topLeftCell="A1">
      <selection activeCell="A2" sqref="A2"/>
    </sheetView>
  </sheetViews>
  <sheetFormatPr defaultColWidth="9.00390625" defaultRowHeight="13.5"/>
  <cols>
    <col min="1" max="1" width="15.625" style="47" bestFit="1" customWidth="1"/>
    <col min="2" max="11" width="7.625" style="47" customWidth="1"/>
    <col min="12" max="13" width="8.25390625" style="47" customWidth="1"/>
    <col min="14" max="16384" width="9.00390625" style="47" customWidth="1"/>
  </cols>
  <sheetData>
    <row r="1" spans="1:11" s="355" customFormat="1" ht="18" customHeight="1">
      <c r="A1" s="993" t="s">
        <v>704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</row>
    <row r="2" s="296" customFormat="1" ht="13.5" customHeight="1" thickBot="1"/>
    <row r="3" spans="1:11" s="296" customFormat="1" ht="20.2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560</v>
      </c>
    </row>
    <row r="4" spans="1:11" s="296" customFormat="1" ht="20.25" customHeight="1" thickTop="1">
      <c r="A4" s="360" t="s">
        <v>399</v>
      </c>
      <c r="B4" s="361">
        <v>810</v>
      </c>
      <c r="C4" s="361">
        <v>789</v>
      </c>
      <c r="D4" s="361">
        <v>701</v>
      </c>
      <c r="E4" s="361">
        <v>742</v>
      </c>
      <c r="F4" s="361">
        <v>775</v>
      </c>
      <c r="G4" s="361">
        <v>744</v>
      </c>
      <c r="H4" s="361">
        <v>917</v>
      </c>
      <c r="I4" s="361">
        <v>654</v>
      </c>
      <c r="J4" s="362">
        <v>697</v>
      </c>
      <c r="K4" s="643">
        <v>707</v>
      </c>
    </row>
    <row r="5" spans="1:11" s="296" customFormat="1" ht="20.25" customHeight="1">
      <c r="A5" s="363" t="s">
        <v>400</v>
      </c>
      <c r="B5" s="364">
        <f>36+32</f>
        <v>68</v>
      </c>
      <c r="C5" s="364">
        <f>37+24</f>
        <v>61</v>
      </c>
      <c r="D5" s="364">
        <f>54+39</f>
        <v>93</v>
      </c>
      <c r="E5" s="364">
        <f>39+35</f>
        <v>74</v>
      </c>
      <c r="F5" s="364">
        <f>34+45</f>
        <v>79</v>
      </c>
      <c r="G5" s="364">
        <f>49+41</f>
        <v>90</v>
      </c>
      <c r="H5" s="364">
        <f>53+47</f>
        <v>100</v>
      </c>
      <c r="I5" s="364">
        <v>101</v>
      </c>
      <c r="J5" s="365">
        <v>71</v>
      </c>
      <c r="K5" s="644">
        <v>58</v>
      </c>
    </row>
    <row r="6" spans="1:11" s="296" customFormat="1" ht="20.25" customHeight="1" thickBot="1">
      <c r="A6" s="366" t="s">
        <v>401</v>
      </c>
      <c r="B6" s="367">
        <f aca="true" t="shared" si="0" ref="B6:J6">B5/B4*100</f>
        <v>8.395061728395062</v>
      </c>
      <c r="C6" s="367">
        <f t="shared" si="0"/>
        <v>7.731305449936629</v>
      </c>
      <c r="D6" s="367">
        <f t="shared" si="0"/>
        <v>13.266761768901569</v>
      </c>
      <c r="E6" s="367">
        <f t="shared" si="0"/>
        <v>9.973045822102426</v>
      </c>
      <c r="F6" s="367">
        <f t="shared" si="0"/>
        <v>10.193548387096774</v>
      </c>
      <c r="G6" s="367">
        <f t="shared" si="0"/>
        <v>12.096774193548388</v>
      </c>
      <c r="H6" s="367">
        <f t="shared" si="0"/>
        <v>10.905125408942203</v>
      </c>
      <c r="I6" s="367">
        <f t="shared" si="0"/>
        <v>15.443425076452598</v>
      </c>
      <c r="J6" s="368">
        <f t="shared" si="0"/>
        <v>10.186513629842182</v>
      </c>
      <c r="K6" s="369">
        <f>K5/K4*100</f>
        <v>8.203677510608204</v>
      </c>
    </row>
    <row r="7" s="296" customFormat="1" ht="16.5" customHeight="1"/>
    <row r="8" s="296" customFormat="1" ht="16.5" customHeight="1"/>
    <row r="9" s="296" customFormat="1" ht="16.5" customHeight="1"/>
    <row r="10" spans="1:11" s="355" customFormat="1" ht="18" customHeight="1">
      <c r="A10" s="997" t="s">
        <v>561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</row>
    <row r="11" s="296" customFormat="1" ht="13.5" customHeight="1" thickBot="1"/>
    <row r="12" spans="1:11" s="296" customFormat="1" ht="20.25" customHeight="1">
      <c r="A12" s="370" t="s">
        <v>402</v>
      </c>
      <c r="B12" s="371" t="s">
        <v>403</v>
      </c>
      <c r="C12" s="372" t="s">
        <v>404</v>
      </c>
      <c r="D12" s="372" t="s">
        <v>405</v>
      </c>
      <c r="E12" s="372" t="s">
        <v>406</v>
      </c>
      <c r="F12" s="372" t="s">
        <v>407</v>
      </c>
      <c r="G12" s="372" t="s">
        <v>408</v>
      </c>
      <c r="H12" s="372" t="s">
        <v>409</v>
      </c>
      <c r="I12" s="372" t="s">
        <v>410</v>
      </c>
      <c r="J12" s="372" t="s">
        <v>96</v>
      </c>
      <c r="K12" s="373" t="s">
        <v>163</v>
      </c>
    </row>
    <row r="13" spans="1:11" s="296" customFormat="1" ht="20.25" customHeight="1" thickBot="1">
      <c r="A13" s="374" t="s">
        <v>341</v>
      </c>
      <c r="B13" s="645">
        <v>6</v>
      </c>
      <c r="C13" s="646">
        <v>14</v>
      </c>
      <c r="D13" s="646">
        <v>5</v>
      </c>
      <c r="E13" s="646">
        <v>2</v>
      </c>
      <c r="F13" s="646">
        <v>6</v>
      </c>
      <c r="G13" s="646">
        <v>9</v>
      </c>
      <c r="H13" s="646">
        <v>5</v>
      </c>
      <c r="I13" s="646">
        <v>7</v>
      </c>
      <c r="J13" s="646">
        <v>4</v>
      </c>
      <c r="K13" s="375">
        <f>SUM(B13:J13)</f>
        <v>58</v>
      </c>
    </row>
    <row r="14" s="296" customFormat="1" ht="16.5" customHeight="1"/>
    <row r="15" s="296" customFormat="1" ht="16.5" customHeight="1"/>
    <row r="16" s="296" customFormat="1" ht="16.5" customHeight="1"/>
    <row r="17" spans="1:11" s="355" customFormat="1" ht="18" customHeight="1">
      <c r="A17" s="997" t="s">
        <v>562</v>
      </c>
      <c r="B17" s="997"/>
      <c r="C17" s="997"/>
      <c r="D17" s="997"/>
      <c r="E17" s="997"/>
      <c r="F17" s="997"/>
      <c r="G17" s="997"/>
      <c r="H17" s="997"/>
      <c r="I17" s="997"/>
      <c r="J17" s="997"/>
      <c r="K17" s="997"/>
    </row>
    <row r="18" s="296" customFormat="1" ht="13.5" customHeight="1" thickBot="1"/>
    <row r="19" spans="1:7" s="296" customFormat="1" ht="20.25" customHeight="1" thickBot="1">
      <c r="A19" s="982" t="s">
        <v>533</v>
      </c>
      <c r="B19" s="983"/>
      <c r="C19" s="983"/>
      <c r="D19" s="998"/>
      <c r="E19" s="984">
        <v>53</v>
      </c>
      <c r="F19" s="985"/>
      <c r="G19" s="986"/>
    </row>
    <row r="20" spans="1:7" s="296" customFormat="1" ht="20.25" customHeight="1" thickBot="1">
      <c r="A20" s="982" t="s">
        <v>534</v>
      </c>
      <c r="B20" s="983"/>
      <c r="C20" s="983"/>
      <c r="D20" s="983"/>
      <c r="E20" s="974">
        <v>0</v>
      </c>
      <c r="F20" s="975"/>
      <c r="G20" s="976"/>
    </row>
    <row r="21" spans="1:7" s="296" customFormat="1" ht="20.25" customHeight="1">
      <c r="A21" s="994" t="s">
        <v>535</v>
      </c>
      <c r="B21" s="995"/>
      <c r="C21" s="995"/>
      <c r="D21" s="996"/>
      <c r="E21" s="987">
        <v>7</v>
      </c>
      <c r="F21" s="988"/>
      <c r="G21" s="989"/>
    </row>
    <row r="22" spans="1:7" s="296" customFormat="1" ht="20.25" customHeight="1" thickBot="1">
      <c r="A22" s="376"/>
      <c r="B22" s="970" t="s">
        <v>536</v>
      </c>
      <c r="C22" s="970"/>
      <c r="D22" s="971"/>
      <c r="E22" s="977">
        <v>0</v>
      </c>
      <c r="F22" s="978"/>
      <c r="G22" s="979"/>
    </row>
    <row r="23" spans="1:7" s="296" customFormat="1" ht="20.25" customHeight="1" thickBot="1">
      <c r="A23" s="980" t="s">
        <v>537</v>
      </c>
      <c r="B23" s="981"/>
      <c r="C23" s="981"/>
      <c r="D23" s="981"/>
      <c r="E23" s="990">
        <v>31743</v>
      </c>
      <c r="F23" s="991"/>
      <c r="G23" s="992"/>
    </row>
    <row r="24" spans="1:7" s="296" customFormat="1" ht="20.25" customHeight="1" thickBot="1">
      <c r="A24" s="982" t="s">
        <v>538</v>
      </c>
      <c r="B24" s="983"/>
      <c r="C24" s="983"/>
      <c r="D24" s="983"/>
      <c r="E24" s="990">
        <f>E23/E19</f>
        <v>598.9245283018868</v>
      </c>
      <c r="F24" s="991"/>
      <c r="G24" s="992"/>
    </row>
    <row r="25" spans="1:7" s="296" customFormat="1" ht="20.25" customHeight="1">
      <c r="A25" s="994" t="s">
        <v>539</v>
      </c>
      <c r="B25" s="995"/>
      <c r="C25" s="995"/>
      <c r="D25" s="996"/>
      <c r="E25" s="987">
        <f>SUM(E26:E29)</f>
        <v>30</v>
      </c>
      <c r="F25" s="988"/>
      <c r="G25" s="989"/>
    </row>
    <row r="26" spans="1:7" s="296" customFormat="1" ht="20.25" customHeight="1">
      <c r="A26" s="377"/>
      <c r="B26" s="972" t="s">
        <v>540</v>
      </c>
      <c r="C26" s="972"/>
      <c r="D26" s="973"/>
      <c r="E26" s="967">
        <v>5</v>
      </c>
      <c r="F26" s="968"/>
      <c r="G26" s="969"/>
    </row>
    <row r="27" spans="1:7" s="296" customFormat="1" ht="20.25" customHeight="1">
      <c r="A27" s="377"/>
      <c r="B27" s="972" t="s">
        <v>541</v>
      </c>
      <c r="C27" s="972"/>
      <c r="D27" s="973"/>
      <c r="E27" s="967">
        <v>2</v>
      </c>
      <c r="F27" s="968"/>
      <c r="G27" s="969"/>
    </row>
    <row r="28" spans="1:7" s="296" customFormat="1" ht="20.25" customHeight="1">
      <c r="A28" s="377"/>
      <c r="B28" s="972" t="s">
        <v>542</v>
      </c>
      <c r="C28" s="972"/>
      <c r="D28" s="973"/>
      <c r="E28" s="967">
        <v>8</v>
      </c>
      <c r="F28" s="968"/>
      <c r="G28" s="969"/>
    </row>
    <row r="29" spans="1:7" s="296" customFormat="1" ht="20.25" customHeight="1" thickBot="1">
      <c r="A29" s="376"/>
      <c r="B29" s="970" t="s">
        <v>17</v>
      </c>
      <c r="C29" s="970"/>
      <c r="D29" s="971"/>
      <c r="E29" s="977">
        <v>15</v>
      </c>
      <c r="F29" s="978"/>
      <c r="G29" s="979"/>
    </row>
    <row r="30" spans="1:7" s="296" customFormat="1" ht="20.25" customHeight="1" thickBot="1">
      <c r="A30" s="980" t="s">
        <v>543</v>
      </c>
      <c r="B30" s="981"/>
      <c r="C30" s="981"/>
      <c r="D30" s="981"/>
      <c r="E30" s="974">
        <v>23</v>
      </c>
      <c r="F30" s="975"/>
      <c r="G30" s="976"/>
    </row>
    <row r="31" spans="1:7" s="296" customFormat="1" ht="20.25" customHeight="1" thickBot="1">
      <c r="A31" s="982" t="s">
        <v>544</v>
      </c>
      <c r="B31" s="983"/>
      <c r="C31" s="983"/>
      <c r="D31" s="983"/>
      <c r="E31" s="974">
        <v>61</v>
      </c>
      <c r="F31" s="975"/>
      <c r="G31" s="976"/>
    </row>
    <row r="32" spans="2:4" s="296" customFormat="1" ht="12" customHeight="1">
      <c r="B32" s="378"/>
      <c r="C32" s="378"/>
      <c r="D32" s="378"/>
    </row>
    <row r="33" s="296" customFormat="1" ht="20.25" customHeight="1">
      <c r="B33" s="379" t="s">
        <v>545</v>
      </c>
    </row>
    <row r="34" s="296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7" sqref="D7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563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337</v>
      </c>
      <c r="C4" s="135">
        <v>5</v>
      </c>
    </row>
    <row r="5" spans="2:3" ht="13.5">
      <c r="B5" s="380" t="s">
        <v>342</v>
      </c>
      <c r="C5" s="135">
        <v>10</v>
      </c>
    </row>
    <row r="6" spans="2:3" ht="13.5">
      <c r="B6" s="380" t="s">
        <v>338</v>
      </c>
      <c r="C6" s="135">
        <v>10</v>
      </c>
    </row>
    <row r="7" spans="2:3" ht="13.5">
      <c r="B7" s="380" t="s">
        <v>339</v>
      </c>
      <c r="C7" s="135">
        <v>3</v>
      </c>
    </row>
    <row r="8" spans="2:3" ht="13.5">
      <c r="B8" s="380" t="s">
        <v>340</v>
      </c>
      <c r="C8" s="135">
        <v>3</v>
      </c>
    </row>
    <row r="9" spans="2:3" ht="13.5">
      <c r="B9" s="380" t="s">
        <v>138</v>
      </c>
      <c r="C9" s="135">
        <v>16</v>
      </c>
    </row>
    <row r="10" spans="2:3" ht="13.5">
      <c r="B10" s="380" t="s">
        <v>163</v>
      </c>
      <c r="C10" s="296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view="pageBreakPreview" zoomScale="60" workbookViewId="0" topLeftCell="A1">
      <selection activeCell="D35" sqref="D35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564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344</v>
      </c>
      <c r="C4" s="135">
        <v>66</v>
      </c>
    </row>
    <row r="5" spans="2:3" ht="13.5">
      <c r="B5" s="380" t="s">
        <v>345</v>
      </c>
      <c r="C5" s="135">
        <v>32</v>
      </c>
    </row>
    <row r="6" spans="2:3" ht="13.5">
      <c r="B6" s="380" t="s">
        <v>346</v>
      </c>
      <c r="C6" s="135">
        <v>36</v>
      </c>
    </row>
    <row r="7" spans="2:3" ht="13.5">
      <c r="B7" s="380" t="s">
        <v>138</v>
      </c>
      <c r="C7" s="135">
        <v>19</v>
      </c>
    </row>
    <row r="8" spans="2:3" ht="13.5">
      <c r="B8" s="380" t="s">
        <v>163</v>
      </c>
      <c r="C8" s="296">
        <f>SUM(C4:C7)</f>
        <v>153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39" sqref="D39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565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349</v>
      </c>
      <c r="C4" s="135">
        <v>13</v>
      </c>
    </row>
    <row r="5" spans="2:3" ht="13.5">
      <c r="B5" s="380" t="s">
        <v>347</v>
      </c>
      <c r="C5" s="135">
        <v>25</v>
      </c>
    </row>
    <row r="6" spans="2:3" ht="13.5">
      <c r="B6" s="380" t="s">
        <v>346</v>
      </c>
      <c r="C6" s="135">
        <v>14</v>
      </c>
    </row>
    <row r="7" spans="2:3" ht="13.5">
      <c r="B7" s="380" t="s">
        <v>350</v>
      </c>
      <c r="C7" s="135">
        <v>6</v>
      </c>
    </row>
    <row r="8" spans="2:3" ht="13.5">
      <c r="B8" s="380" t="s">
        <v>348</v>
      </c>
      <c r="C8" s="135">
        <v>2</v>
      </c>
    </row>
    <row r="9" spans="2:3" ht="13.5">
      <c r="B9" s="380" t="s">
        <v>138</v>
      </c>
      <c r="C9" s="135">
        <v>17</v>
      </c>
    </row>
    <row r="10" spans="2:3" ht="13.5">
      <c r="B10" s="380" t="s">
        <v>163</v>
      </c>
      <c r="C10" s="296">
        <f>SUM(C4:C9)</f>
        <v>77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workbookViewId="0" topLeftCell="A1">
      <selection activeCell="M30" sqref="M30"/>
    </sheetView>
  </sheetViews>
  <sheetFormatPr defaultColWidth="9.00390625" defaultRowHeight="13.5"/>
  <cols>
    <col min="1" max="1" width="15.125" style="296" customWidth="1"/>
    <col min="2" max="11" width="5.00390625" style="296" customWidth="1"/>
    <col min="12" max="16384" width="9.00390625" style="296" customWidth="1"/>
  </cols>
  <sheetData>
    <row r="1" spans="1:11" ht="18" customHeight="1">
      <c r="A1" s="1010" t="s">
        <v>397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</row>
    <row r="2" ht="8.25" customHeight="1" thickBot="1"/>
    <row r="3" spans="1:11" ht="16.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566</v>
      </c>
    </row>
    <row r="4" spans="1:11" ht="16.5" customHeight="1" thickTop="1">
      <c r="A4" s="360" t="s">
        <v>399</v>
      </c>
      <c r="B4" s="666">
        <v>810</v>
      </c>
      <c r="C4" s="666">
        <v>789</v>
      </c>
      <c r="D4" s="666">
        <v>701</v>
      </c>
      <c r="E4" s="666">
        <v>742</v>
      </c>
      <c r="F4" s="666">
        <v>775</v>
      </c>
      <c r="G4" s="666">
        <v>744</v>
      </c>
      <c r="H4" s="666">
        <v>917</v>
      </c>
      <c r="I4" s="666">
        <v>654</v>
      </c>
      <c r="J4" s="667">
        <v>697</v>
      </c>
      <c r="K4" s="672">
        <f>'20'!K4</f>
        <v>707</v>
      </c>
    </row>
    <row r="5" spans="1:11" ht="16.5" customHeight="1">
      <c r="A5" s="363" t="s">
        <v>400</v>
      </c>
      <c r="B5" s="668">
        <f>36+32</f>
        <v>68</v>
      </c>
      <c r="C5" s="668">
        <f>37+24</f>
        <v>61</v>
      </c>
      <c r="D5" s="668">
        <f>54+39</f>
        <v>93</v>
      </c>
      <c r="E5" s="668">
        <f>39+35</f>
        <v>74</v>
      </c>
      <c r="F5" s="668">
        <f>34+45</f>
        <v>79</v>
      </c>
      <c r="G5" s="668">
        <f>49+41</f>
        <v>90</v>
      </c>
      <c r="H5" s="668">
        <f>53+47</f>
        <v>100</v>
      </c>
      <c r="I5" s="668">
        <v>101</v>
      </c>
      <c r="J5" s="669">
        <v>71</v>
      </c>
      <c r="K5" s="672">
        <f>'20'!K5</f>
        <v>58</v>
      </c>
    </row>
    <row r="6" spans="1:11" ht="16.5" customHeight="1" thickBot="1">
      <c r="A6" s="366" t="s">
        <v>401</v>
      </c>
      <c r="B6" s="670">
        <f aca="true" t="shared" si="0" ref="B6:J6">B5/B4*100</f>
        <v>8.395061728395062</v>
      </c>
      <c r="C6" s="670">
        <f t="shared" si="0"/>
        <v>7.731305449936629</v>
      </c>
      <c r="D6" s="670">
        <f t="shared" si="0"/>
        <v>13.266761768901569</v>
      </c>
      <c r="E6" s="670">
        <f t="shared" si="0"/>
        <v>9.973045822102426</v>
      </c>
      <c r="F6" s="670">
        <f t="shared" si="0"/>
        <v>10.193548387096774</v>
      </c>
      <c r="G6" s="670">
        <f t="shared" si="0"/>
        <v>12.096774193548388</v>
      </c>
      <c r="H6" s="670">
        <f t="shared" si="0"/>
        <v>10.905125408942203</v>
      </c>
      <c r="I6" s="670">
        <f t="shared" si="0"/>
        <v>15.443425076452598</v>
      </c>
      <c r="J6" s="671">
        <f t="shared" si="0"/>
        <v>10.186513629842182</v>
      </c>
      <c r="K6" s="672">
        <f>'20'!K6</f>
        <v>8.203677510608204</v>
      </c>
    </row>
    <row r="7" ht="16.5" customHeight="1"/>
    <row r="8" ht="16.5" customHeight="1"/>
    <row r="9" spans="1:11" ht="18" customHeight="1">
      <c r="A9" s="1011" t="s">
        <v>561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</row>
    <row r="10" ht="8.25" customHeight="1" thickBot="1"/>
    <row r="11" spans="1:11" ht="16.5" customHeight="1">
      <c r="A11" s="370" t="s">
        <v>402</v>
      </c>
      <c r="B11" s="381" t="s">
        <v>403</v>
      </c>
      <c r="C11" s="382" t="s">
        <v>404</v>
      </c>
      <c r="D11" s="382" t="s">
        <v>405</v>
      </c>
      <c r="E11" s="382" t="s">
        <v>406</v>
      </c>
      <c r="F11" s="382" t="s">
        <v>407</v>
      </c>
      <c r="G11" s="382" t="s">
        <v>408</v>
      </c>
      <c r="H11" s="382" t="s">
        <v>409</v>
      </c>
      <c r="I11" s="382" t="s">
        <v>410</v>
      </c>
      <c r="J11" s="372" t="s">
        <v>96</v>
      </c>
      <c r="K11" s="373" t="s">
        <v>163</v>
      </c>
    </row>
    <row r="12" spans="1:11" ht="16.5" customHeight="1" thickBot="1">
      <c r="A12" s="374" t="s">
        <v>341</v>
      </c>
      <c r="B12" s="645">
        <f>'20'!B13</f>
        <v>6</v>
      </c>
      <c r="C12" s="645">
        <f>'20'!C13</f>
        <v>14</v>
      </c>
      <c r="D12" s="645">
        <f>'20'!D13</f>
        <v>5</v>
      </c>
      <c r="E12" s="645">
        <f>'20'!E13</f>
        <v>2</v>
      </c>
      <c r="F12" s="645">
        <f>'20'!F13</f>
        <v>6</v>
      </c>
      <c r="G12" s="645">
        <f>'20'!G13</f>
        <v>9</v>
      </c>
      <c r="H12" s="645">
        <f>'20'!H13</f>
        <v>5</v>
      </c>
      <c r="I12" s="645">
        <f>'20'!I13</f>
        <v>7</v>
      </c>
      <c r="J12" s="645">
        <f>'20'!J13</f>
        <v>4</v>
      </c>
      <c r="K12" s="375">
        <f>SUM(B12:J12)</f>
        <v>58</v>
      </c>
    </row>
    <row r="13" ht="16.5" customHeight="1"/>
    <row r="14" ht="16.5" customHeight="1"/>
    <row r="15" spans="1:11" ht="13.5">
      <c r="A15" s="1011" t="s">
        <v>562</v>
      </c>
      <c r="B15" s="999"/>
      <c r="C15" s="999"/>
      <c r="D15" s="999"/>
      <c r="E15" s="999"/>
      <c r="F15" s="999"/>
      <c r="G15" s="999"/>
      <c r="H15" s="45"/>
      <c r="I15" s="45"/>
      <c r="J15" s="45"/>
      <c r="K15" s="45"/>
    </row>
    <row r="16" ht="14.25" thickBot="1"/>
    <row r="17" spans="2:4" ht="17.25" customHeight="1" thickBot="1">
      <c r="B17" s="1006" t="s">
        <v>7</v>
      </c>
      <c r="C17" s="1007"/>
      <c r="D17" s="673">
        <v>53</v>
      </c>
    </row>
    <row r="18" spans="2:4" ht="17.25" customHeight="1" thickBot="1">
      <c r="B18" s="1002" t="s">
        <v>8</v>
      </c>
      <c r="C18" s="1003"/>
      <c r="D18" s="673">
        <v>0</v>
      </c>
    </row>
    <row r="19" spans="2:4" ht="17.25" customHeight="1" thickBot="1">
      <c r="B19" s="1000" t="s">
        <v>9</v>
      </c>
      <c r="C19" s="1001"/>
      <c r="D19" s="673">
        <v>7</v>
      </c>
    </row>
    <row r="20" spans="2:4" ht="17.25" customHeight="1" thickBot="1">
      <c r="B20" s="383"/>
      <c r="C20" s="385" t="s">
        <v>10</v>
      </c>
      <c r="D20" s="673">
        <v>0</v>
      </c>
    </row>
    <row r="21" spans="2:4" ht="17.25" customHeight="1">
      <c r="B21" s="1006" t="s">
        <v>11</v>
      </c>
      <c r="C21" s="1007"/>
      <c r="D21" s="674">
        <v>31743</v>
      </c>
    </row>
    <row r="22" spans="2:4" ht="17.25" customHeight="1" thickBot="1">
      <c r="B22" s="1008" t="s">
        <v>12</v>
      </c>
      <c r="C22" s="1009"/>
      <c r="D22" s="386">
        <f>D21/D17</f>
        <v>598.9245283018868</v>
      </c>
    </row>
    <row r="23" spans="2:4" ht="17.25" customHeight="1">
      <c r="B23" s="1000" t="s">
        <v>13</v>
      </c>
      <c r="C23" s="1001"/>
      <c r="D23" s="384">
        <f>SUM(D24:D27)</f>
        <v>30</v>
      </c>
    </row>
    <row r="24" spans="2:4" ht="17.25" customHeight="1">
      <c r="B24" s="383"/>
      <c r="C24" s="387" t="s">
        <v>14</v>
      </c>
      <c r="D24" s="675">
        <v>5</v>
      </c>
    </row>
    <row r="25" spans="2:4" ht="17.25" customHeight="1">
      <c r="B25" s="383"/>
      <c r="C25" s="387" t="s">
        <v>15</v>
      </c>
      <c r="D25" s="675">
        <v>2</v>
      </c>
    </row>
    <row r="26" spans="2:4" ht="17.25" customHeight="1">
      <c r="B26" s="383"/>
      <c r="C26" s="387" t="s">
        <v>16</v>
      </c>
      <c r="D26" s="675">
        <v>8</v>
      </c>
    </row>
    <row r="27" spans="2:4" ht="17.25" customHeight="1" thickBot="1">
      <c r="B27" s="383"/>
      <c r="C27" s="385" t="s">
        <v>17</v>
      </c>
      <c r="D27" s="676">
        <v>15</v>
      </c>
    </row>
    <row r="28" spans="2:4" ht="17.25" customHeight="1" thickBot="1">
      <c r="B28" s="1002" t="s">
        <v>18</v>
      </c>
      <c r="C28" s="1003"/>
      <c r="D28" s="677">
        <v>23</v>
      </c>
    </row>
    <row r="29" spans="2:4" ht="17.25" customHeight="1" thickBot="1">
      <c r="B29" s="1004" t="s">
        <v>19</v>
      </c>
      <c r="C29" s="1005"/>
      <c r="D29" s="678">
        <v>61</v>
      </c>
    </row>
    <row r="30" spans="2:4" ht="13.5">
      <c r="B30" s="378" t="s">
        <v>20</v>
      </c>
      <c r="C30" s="378"/>
      <c r="D30" s="378"/>
    </row>
  </sheetData>
  <mergeCells count="11">
    <mergeCell ref="A1:K1"/>
    <mergeCell ref="A9:K9"/>
    <mergeCell ref="B17:C17"/>
    <mergeCell ref="A15:G15"/>
    <mergeCell ref="B23:C23"/>
    <mergeCell ref="B28:C28"/>
    <mergeCell ref="B29:C29"/>
    <mergeCell ref="B18:C18"/>
    <mergeCell ref="B19:C19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C1" sqref="C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J38" sqref="J38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30" sqref="K3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60" zoomScaleNormal="70" workbookViewId="0" topLeftCell="A52">
      <selection activeCell="I51" sqref="I51"/>
    </sheetView>
  </sheetViews>
  <sheetFormatPr defaultColWidth="9.00390625" defaultRowHeight="13.5"/>
  <cols>
    <col min="1" max="1" width="9.00390625" style="296" customWidth="1"/>
    <col min="2" max="3" width="9.125" style="296" bestFit="1" customWidth="1"/>
    <col min="4" max="4" width="13.625" style="296" bestFit="1" customWidth="1"/>
    <col min="5" max="5" width="6.25390625" style="296" customWidth="1"/>
    <col min="6" max="6" width="8.00390625" style="388" customWidth="1"/>
    <col min="7" max="7" width="9.125" style="296" bestFit="1" customWidth="1"/>
    <col min="8" max="9" width="9.00390625" style="296" customWidth="1"/>
    <col min="10" max="10" width="9.125" style="296" bestFit="1" customWidth="1"/>
    <col min="11" max="12" width="9.00390625" style="296" customWidth="1"/>
    <col min="13" max="13" width="9.125" style="296" bestFit="1" customWidth="1"/>
    <col min="14" max="15" width="9.00390625" style="296" customWidth="1"/>
    <col min="16" max="16" width="9.125" style="296" bestFit="1" customWidth="1"/>
    <col min="17" max="18" width="9.00390625" style="296" customWidth="1"/>
    <col min="19" max="19" width="9.125" style="296" bestFit="1" customWidth="1"/>
    <col min="20" max="16384" width="9.00390625" style="296" customWidth="1"/>
  </cols>
  <sheetData>
    <row r="1" spans="1:22" ht="13.5">
      <c r="A1" s="388" t="s">
        <v>88</v>
      </c>
      <c r="B1" s="388" t="s">
        <v>89</v>
      </c>
      <c r="C1" s="388" t="s">
        <v>38</v>
      </c>
      <c r="D1" s="296" t="s">
        <v>90</v>
      </c>
      <c r="G1" s="296" t="s">
        <v>35</v>
      </c>
      <c r="J1" s="296" t="s">
        <v>91</v>
      </c>
      <c r="M1" s="296" t="s">
        <v>37</v>
      </c>
      <c r="P1" s="296" t="s">
        <v>334</v>
      </c>
      <c r="S1" s="296" t="s">
        <v>430</v>
      </c>
      <c r="V1" s="296" t="s">
        <v>548</v>
      </c>
    </row>
    <row r="2" spans="1:22" ht="13.5">
      <c r="A2" s="388" t="s">
        <v>39</v>
      </c>
      <c r="B2" s="394">
        <f>C2/D2*10000</f>
        <v>5.603550295857988</v>
      </c>
      <c r="C2" s="388">
        <v>6629</v>
      </c>
      <c r="D2" s="388">
        <v>11830000</v>
      </c>
      <c r="G2" s="296" t="s">
        <v>92</v>
      </c>
      <c r="J2" s="296" t="s">
        <v>92</v>
      </c>
      <c r="M2" s="296" t="s">
        <v>92</v>
      </c>
      <c r="P2" s="296" t="s">
        <v>92</v>
      </c>
      <c r="S2" s="296" t="s">
        <v>92</v>
      </c>
      <c r="V2" s="296" t="s">
        <v>92</v>
      </c>
    </row>
    <row r="3" spans="1:22" ht="13.5">
      <c r="A3" s="388" t="s">
        <v>72</v>
      </c>
      <c r="B3" s="394">
        <f aca="true" t="shared" si="0" ref="B3:B48">C3/D3*10000</f>
        <v>5.3475336322869955</v>
      </c>
      <c r="C3" s="388">
        <v>477</v>
      </c>
      <c r="D3" s="388">
        <v>892000</v>
      </c>
      <c r="F3" s="388" t="s">
        <v>49</v>
      </c>
      <c r="G3" s="395">
        <v>6.8</v>
      </c>
      <c r="I3" s="388" t="s">
        <v>72</v>
      </c>
      <c r="J3" s="395">
        <v>7</v>
      </c>
      <c r="K3" s="395"/>
      <c r="L3" s="388" t="s">
        <v>72</v>
      </c>
      <c r="M3" s="395">
        <v>6.9</v>
      </c>
      <c r="N3" s="395"/>
      <c r="O3" s="388" t="s">
        <v>72</v>
      </c>
      <c r="P3" s="395">
        <v>6.2</v>
      </c>
      <c r="Q3" s="395"/>
      <c r="R3" s="389" t="s">
        <v>444</v>
      </c>
      <c r="S3" s="296">
        <v>6.9</v>
      </c>
      <c r="U3" s="389" t="s">
        <v>444</v>
      </c>
      <c r="V3" s="396">
        <v>6.52</v>
      </c>
    </row>
    <row r="4" spans="1:22" ht="13.5">
      <c r="A4" s="388" t="s">
        <v>79</v>
      </c>
      <c r="B4" s="394">
        <f t="shared" si="0"/>
        <v>5.274151436031331</v>
      </c>
      <c r="C4" s="388">
        <v>404</v>
      </c>
      <c r="D4" s="388">
        <v>766000</v>
      </c>
      <c r="F4" s="388" t="s">
        <v>72</v>
      </c>
      <c r="G4" s="395">
        <v>6.8</v>
      </c>
      <c r="I4" s="388" t="s">
        <v>49</v>
      </c>
      <c r="J4" s="296">
        <v>6.4</v>
      </c>
      <c r="L4" s="388" t="s">
        <v>49</v>
      </c>
      <c r="M4" s="395">
        <v>6.9</v>
      </c>
      <c r="N4" s="395"/>
      <c r="O4" s="388" t="s">
        <v>56</v>
      </c>
      <c r="P4" s="395">
        <v>5.9</v>
      </c>
      <c r="Q4" s="395"/>
      <c r="R4" s="389" t="s">
        <v>462</v>
      </c>
      <c r="S4" s="296">
        <v>6.4</v>
      </c>
      <c r="U4" s="389" t="s">
        <v>440</v>
      </c>
      <c r="V4" s="396">
        <v>6.1</v>
      </c>
    </row>
    <row r="5" spans="1:22" ht="13.5">
      <c r="A5" s="388" t="s">
        <v>50</v>
      </c>
      <c r="B5" s="394">
        <f t="shared" si="0"/>
        <v>5.204576976421636</v>
      </c>
      <c r="C5" s="388">
        <v>1501</v>
      </c>
      <c r="D5" s="388">
        <v>2884000</v>
      </c>
      <c r="F5" s="388" t="s">
        <v>79</v>
      </c>
      <c r="G5" s="395">
        <v>6.8</v>
      </c>
      <c r="I5" s="388" t="s">
        <v>52</v>
      </c>
      <c r="J5" s="296">
        <v>6.4</v>
      </c>
      <c r="L5" s="388" t="s">
        <v>56</v>
      </c>
      <c r="M5" s="395">
        <v>6.5</v>
      </c>
      <c r="N5" s="395"/>
      <c r="O5" s="388" t="s">
        <v>53</v>
      </c>
      <c r="P5" s="395">
        <v>5.7</v>
      </c>
      <c r="Q5" s="395"/>
      <c r="R5" s="389" t="s">
        <v>468</v>
      </c>
      <c r="S5" s="296">
        <v>6.2</v>
      </c>
      <c r="U5" s="389" t="s">
        <v>462</v>
      </c>
      <c r="V5" s="396">
        <v>6.03</v>
      </c>
    </row>
    <row r="6" spans="1:22" ht="13.5">
      <c r="A6" s="388" t="s">
        <v>82</v>
      </c>
      <c r="B6" s="394">
        <f t="shared" si="0"/>
        <v>5.024630541871922</v>
      </c>
      <c r="C6" s="388">
        <v>408</v>
      </c>
      <c r="D6" s="388">
        <v>812000</v>
      </c>
      <c r="F6" s="388" t="s">
        <v>52</v>
      </c>
      <c r="G6" s="395">
        <v>6.2</v>
      </c>
      <c r="I6" s="388" t="s">
        <v>41</v>
      </c>
      <c r="J6" s="296">
        <v>6.4</v>
      </c>
      <c r="L6" s="388" t="s">
        <v>79</v>
      </c>
      <c r="M6" s="395">
        <v>6.5</v>
      </c>
      <c r="N6" s="395"/>
      <c r="O6" s="388" t="s">
        <v>57</v>
      </c>
      <c r="P6" s="395">
        <v>5.6</v>
      </c>
      <c r="Q6" s="395"/>
      <c r="R6" s="389" t="s">
        <v>440</v>
      </c>
      <c r="S6" s="296">
        <v>5.9</v>
      </c>
      <c r="U6" s="389" t="s">
        <v>468</v>
      </c>
      <c r="V6" s="396">
        <v>5.85</v>
      </c>
    </row>
    <row r="7" spans="1:22" ht="13.5">
      <c r="A7" s="388" t="s">
        <v>51</v>
      </c>
      <c r="B7" s="394">
        <f t="shared" si="0"/>
        <v>4.997876857749469</v>
      </c>
      <c r="C7" s="388">
        <v>1177</v>
      </c>
      <c r="D7" s="388">
        <v>2355000</v>
      </c>
      <c r="F7" s="388" t="s">
        <v>41</v>
      </c>
      <c r="G7" s="395">
        <v>6.2</v>
      </c>
      <c r="I7" s="388" t="s">
        <v>39</v>
      </c>
      <c r="J7" s="296">
        <v>5.9</v>
      </c>
      <c r="L7" s="388" t="s">
        <v>53</v>
      </c>
      <c r="M7" s="395">
        <v>6.3</v>
      </c>
      <c r="N7" s="395"/>
      <c r="O7" s="388" t="s">
        <v>49</v>
      </c>
      <c r="P7" s="395">
        <v>5.5</v>
      </c>
      <c r="Q7" s="395"/>
      <c r="R7" s="389" t="s">
        <v>446</v>
      </c>
      <c r="S7" s="296">
        <v>5.9</v>
      </c>
      <c r="U7" s="389" t="s">
        <v>446</v>
      </c>
      <c r="V7" s="396">
        <v>5.54</v>
      </c>
    </row>
    <row r="8" spans="1:22" ht="13.5">
      <c r="A8" s="388" t="s">
        <v>85</v>
      </c>
      <c r="B8" s="394">
        <f t="shared" si="0"/>
        <v>4.943089430894309</v>
      </c>
      <c r="C8" s="388">
        <v>304</v>
      </c>
      <c r="D8" s="388">
        <v>615000</v>
      </c>
      <c r="F8" s="388" t="s">
        <v>56</v>
      </c>
      <c r="G8" s="395">
        <v>6.1</v>
      </c>
      <c r="I8" s="388" t="s">
        <v>56</v>
      </c>
      <c r="J8" s="296">
        <v>5.8</v>
      </c>
      <c r="L8" s="388" t="s">
        <v>52</v>
      </c>
      <c r="M8" s="395">
        <v>6.1</v>
      </c>
      <c r="N8" s="395"/>
      <c r="O8" s="388" t="s">
        <v>52</v>
      </c>
      <c r="P8" s="395">
        <v>5.4</v>
      </c>
      <c r="Q8" s="395"/>
      <c r="R8" s="389" t="s">
        <v>432</v>
      </c>
      <c r="S8" s="296">
        <v>5.8</v>
      </c>
      <c r="U8" s="389" t="s">
        <v>458</v>
      </c>
      <c r="V8" s="396">
        <v>5.37</v>
      </c>
    </row>
    <row r="9" spans="1:22" ht="13.5">
      <c r="A9" s="388" t="s">
        <v>41</v>
      </c>
      <c r="B9" s="394">
        <f t="shared" si="0"/>
        <v>4.902494981359334</v>
      </c>
      <c r="C9" s="388">
        <v>3419</v>
      </c>
      <c r="D9" s="388">
        <v>6974000</v>
      </c>
      <c r="F9" s="388" t="s">
        <v>39</v>
      </c>
      <c r="G9" s="395">
        <v>6</v>
      </c>
      <c r="I9" s="388" t="s">
        <v>57</v>
      </c>
      <c r="J9" s="296">
        <v>5.7</v>
      </c>
      <c r="L9" s="388" t="s">
        <v>41</v>
      </c>
      <c r="M9" s="395">
        <v>6.1</v>
      </c>
      <c r="N9" s="395"/>
      <c r="O9" s="388" t="s">
        <v>39</v>
      </c>
      <c r="P9" s="395">
        <v>5.3</v>
      </c>
      <c r="Q9" s="395"/>
      <c r="R9" s="389" t="s">
        <v>445</v>
      </c>
      <c r="S9" s="296">
        <v>5.7</v>
      </c>
      <c r="U9" s="389" t="s">
        <v>471</v>
      </c>
      <c r="V9" s="396">
        <v>5.37</v>
      </c>
    </row>
    <row r="10" spans="1:22" ht="13.5">
      <c r="A10" s="388" t="s">
        <v>56</v>
      </c>
      <c r="B10" s="394">
        <f t="shared" si="0"/>
        <v>4.818537130094919</v>
      </c>
      <c r="C10" s="388">
        <v>863</v>
      </c>
      <c r="D10" s="388">
        <v>1791000</v>
      </c>
      <c r="F10" s="388" t="s">
        <v>57</v>
      </c>
      <c r="G10" s="395">
        <v>5.7</v>
      </c>
      <c r="I10" s="388" t="s">
        <v>50</v>
      </c>
      <c r="J10" s="296">
        <v>5.7</v>
      </c>
      <c r="L10" s="388" t="s">
        <v>57</v>
      </c>
      <c r="M10" s="395">
        <v>6</v>
      </c>
      <c r="N10" s="395"/>
      <c r="O10" s="388" t="s">
        <v>79</v>
      </c>
      <c r="P10" s="395">
        <v>5.2</v>
      </c>
      <c r="Q10" s="395"/>
      <c r="R10" s="389" t="s">
        <v>431</v>
      </c>
      <c r="S10" s="296">
        <v>5.7</v>
      </c>
      <c r="U10" s="389" t="s">
        <v>472</v>
      </c>
      <c r="V10" s="396">
        <v>5.36</v>
      </c>
    </row>
    <row r="11" spans="1:22" ht="13.5">
      <c r="A11" s="388" t="s">
        <v>68</v>
      </c>
      <c r="B11" s="394">
        <f t="shared" si="0"/>
        <v>4.812925170068027</v>
      </c>
      <c r="C11" s="388">
        <v>566</v>
      </c>
      <c r="D11" s="388">
        <v>1176000</v>
      </c>
      <c r="F11" s="388" t="s">
        <v>48</v>
      </c>
      <c r="G11" s="395">
        <v>5.6</v>
      </c>
      <c r="I11" s="388" t="s">
        <v>43</v>
      </c>
      <c r="J11" s="296">
        <v>5.6</v>
      </c>
      <c r="L11" s="388" t="s">
        <v>61</v>
      </c>
      <c r="M11" s="395">
        <v>6</v>
      </c>
      <c r="N11" s="395"/>
      <c r="O11" s="388" t="s">
        <v>41</v>
      </c>
      <c r="P11" s="395">
        <v>5.2</v>
      </c>
      <c r="Q11" s="395"/>
      <c r="R11" s="389" t="s">
        <v>449</v>
      </c>
      <c r="S11" s="296">
        <v>5.6</v>
      </c>
      <c r="U11" s="389" t="s">
        <v>461</v>
      </c>
      <c r="V11" s="396">
        <v>5.34</v>
      </c>
    </row>
    <row r="12" spans="1:22" ht="13.5">
      <c r="A12" s="388" t="s">
        <v>81</v>
      </c>
      <c r="B12" s="394">
        <f t="shared" si="0"/>
        <v>4.796380090497737</v>
      </c>
      <c r="C12" s="388">
        <v>424</v>
      </c>
      <c r="D12" s="388">
        <v>884000</v>
      </c>
      <c r="F12" s="388" t="s">
        <v>45</v>
      </c>
      <c r="G12" s="395">
        <v>5.6</v>
      </c>
      <c r="I12" s="388" t="s">
        <v>79</v>
      </c>
      <c r="J12" s="296">
        <v>5.6</v>
      </c>
      <c r="L12" s="388" t="s">
        <v>39</v>
      </c>
      <c r="M12" s="395">
        <v>5.7</v>
      </c>
      <c r="N12" s="395"/>
      <c r="O12" s="388" t="s">
        <v>58</v>
      </c>
      <c r="P12" s="395">
        <v>4.9</v>
      </c>
      <c r="Q12" s="395"/>
      <c r="R12" s="389" t="s">
        <v>443</v>
      </c>
      <c r="S12" s="296">
        <v>5.4</v>
      </c>
      <c r="U12" s="389" t="s">
        <v>449</v>
      </c>
      <c r="V12" s="396">
        <v>5.32</v>
      </c>
    </row>
    <row r="13" spans="1:22" ht="13.5">
      <c r="A13" s="388" t="s">
        <v>77</v>
      </c>
      <c r="B13" s="394">
        <f t="shared" si="0"/>
        <v>4.7133138969873665</v>
      </c>
      <c r="C13" s="388">
        <v>485</v>
      </c>
      <c r="D13" s="388">
        <v>1029000</v>
      </c>
      <c r="F13" s="388" t="s">
        <v>43</v>
      </c>
      <c r="G13" s="395">
        <v>5.5</v>
      </c>
      <c r="I13" s="388" t="s">
        <v>81</v>
      </c>
      <c r="J13" s="296">
        <v>5.6</v>
      </c>
      <c r="L13" s="388" t="s">
        <v>50</v>
      </c>
      <c r="M13" s="395">
        <v>5.7</v>
      </c>
      <c r="N13" s="395"/>
      <c r="O13" s="388" t="s">
        <v>81</v>
      </c>
      <c r="P13" s="395">
        <v>4.9</v>
      </c>
      <c r="Q13" s="395"/>
      <c r="R13" s="389" t="s">
        <v>472</v>
      </c>
      <c r="S13" s="296">
        <v>5.4</v>
      </c>
      <c r="U13" s="389" t="s">
        <v>431</v>
      </c>
      <c r="V13" s="396">
        <v>5.31</v>
      </c>
    </row>
    <row r="14" spans="1:22" ht="13.5">
      <c r="A14" s="388" t="s">
        <v>49</v>
      </c>
      <c r="B14" s="394">
        <f t="shared" si="0"/>
        <v>4.662883845126836</v>
      </c>
      <c r="C14" s="388">
        <v>1397</v>
      </c>
      <c r="D14" s="388">
        <v>2996000</v>
      </c>
      <c r="F14" s="388" t="s">
        <v>81</v>
      </c>
      <c r="G14" s="395">
        <v>5.4</v>
      </c>
      <c r="I14" s="388" t="s">
        <v>54</v>
      </c>
      <c r="J14" s="296">
        <v>5.5</v>
      </c>
      <c r="L14" s="388" t="s">
        <v>45</v>
      </c>
      <c r="M14" s="395">
        <v>5.6</v>
      </c>
      <c r="N14" s="395"/>
      <c r="O14" s="388" t="s">
        <v>51</v>
      </c>
      <c r="P14" s="395">
        <v>4.9</v>
      </c>
      <c r="Q14" s="395"/>
      <c r="R14" s="389" t="s">
        <v>458</v>
      </c>
      <c r="S14" s="296">
        <v>5.4</v>
      </c>
      <c r="U14" s="389" t="s">
        <v>454</v>
      </c>
      <c r="V14" s="396">
        <v>5.27</v>
      </c>
    </row>
    <row r="15" spans="1:22" ht="13.5">
      <c r="A15" s="388" t="s">
        <v>54</v>
      </c>
      <c r="B15" s="394">
        <f t="shared" si="0"/>
        <v>4.66193853427896</v>
      </c>
      <c r="C15" s="388">
        <v>986</v>
      </c>
      <c r="D15" s="388">
        <v>2115000</v>
      </c>
      <c r="F15" s="388" t="s">
        <v>50</v>
      </c>
      <c r="G15" s="395">
        <v>5.3</v>
      </c>
      <c r="I15" s="388" t="s">
        <v>51</v>
      </c>
      <c r="J15" s="296">
        <v>5.4</v>
      </c>
      <c r="L15" s="388" t="s">
        <v>77</v>
      </c>
      <c r="M15" s="395">
        <v>5.5</v>
      </c>
      <c r="N15" s="395"/>
      <c r="O15" s="388" t="s">
        <v>45</v>
      </c>
      <c r="P15" s="395">
        <v>4.7</v>
      </c>
      <c r="Q15" s="395"/>
      <c r="R15" s="389" t="s">
        <v>447</v>
      </c>
      <c r="S15" s="296">
        <v>5.3</v>
      </c>
      <c r="U15" s="389" t="s">
        <v>451</v>
      </c>
      <c r="V15" s="396">
        <v>5.19</v>
      </c>
    </row>
    <row r="16" spans="1:22" ht="13.5">
      <c r="A16" s="388" t="s">
        <v>57</v>
      </c>
      <c r="B16" s="394">
        <f t="shared" si="0"/>
        <v>4.631918323481999</v>
      </c>
      <c r="C16" s="388">
        <v>862</v>
      </c>
      <c r="D16" s="388">
        <v>1861000</v>
      </c>
      <c r="F16" s="388" t="s">
        <v>53</v>
      </c>
      <c r="G16" s="395">
        <v>5.1</v>
      </c>
      <c r="I16" s="388" t="s">
        <v>55</v>
      </c>
      <c r="J16" s="296">
        <v>5.4</v>
      </c>
      <c r="L16" s="388" t="s">
        <v>73</v>
      </c>
      <c r="M16" s="395">
        <v>5.5</v>
      </c>
      <c r="N16" s="395"/>
      <c r="O16" s="388" t="s">
        <v>73</v>
      </c>
      <c r="P16" s="395">
        <v>4.7</v>
      </c>
      <c r="Q16" s="395"/>
      <c r="R16" s="389" t="s">
        <v>448</v>
      </c>
      <c r="S16" s="296">
        <v>5</v>
      </c>
      <c r="U16" s="389" t="s">
        <v>432</v>
      </c>
      <c r="V16" s="396">
        <v>5.08</v>
      </c>
    </row>
    <row r="17" spans="1:22" ht="13.5">
      <c r="A17" s="388" t="s">
        <v>45</v>
      </c>
      <c r="B17" s="394">
        <f t="shared" si="0"/>
        <v>4.599890130012818</v>
      </c>
      <c r="C17" s="388">
        <v>2512</v>
      </c>
      <c r="D17" s="388">
        <v>5461000</v>
      </c>
      <c r="F17" s="388" t="s">
        <v>55</v>
      </c>
      <c r="G17" s="395">
        <v>5.1</v>
      </c>
      <c r="I17" s="388" t="s">
        <v>45</v>
      </c>
      <c r="J17" s="296">
        <v>5.3</v>
      </c>
      <c r="L17" s="388" t="s">
        <v>58</v>
      </c>
      <c r="M17" s="395">
        <v>5.4</v>
      </c>
      <c r="N17" s="395"/>
      <c r="O17" s="388" t="s">
        <v>59</v>
      </c>
      <c r="P17" s="395">
        <v>4.6</v>
      </c>
      <c r="Q17" s="395"/>
      <c r="R17" s="389" t="s">
        <v>454</v>
      </c>
      <c r="S17" s="296">
        <v>5</v>
      </c>
      <c r="U17" s="389" t="s">
        <v>450</v>
      </c>
      <c r="V17" s="396">
        <v>4.95</v>
      </c>
    </row>
    <row r="18" spans="1:22" ht="13.5">
      <c r="A18" s="388" t="s">
        <v>47</v>
      </c>
      <c r="B18" s="394">
        <f t="shared" si="0"/>
        <v>4.552927024859663</v>
      </c>
      <c r="C18" s="388">
        <v>2271</v>
      </c>
      <c r="D18" s="388">
        <v>4988000</v>
      </c>
      <c r="F18" s="388" t="s">
        <v>61</v>
      </c>
      <c r="G18" s="395">
        <v>5.1</v>
      </c>
      <c r="I18" s="388" t="s">
        <v>58</v>
      </c>
      <c r="J18" s="296">
        <v>5.3</v>
      </c>
      <c r="L18" s="388" t="s">
        <v>81</v>
      </c>
      <c r="M18" s="395">
        <v>5.3</v>
      </c>
      <c r="N18" s="395"/>
      <c r="O18" s="388" t="s">
        <v>82</v>
      </c>
      <c r="P18" s="395">
        <v>4.6</v>
      </c>
      <c r="Q18" s="395"/>
      <c r="R18" s="389" t="s">
        <v>455</v>
      </c>
      <c r="S18" s="296">
        <v>4.9</v>
      </c>
      <c r="U18" s="389" t="s">
        <v>437</v>
      </c>
      <c r="V18" s="396">
        <v>4.93</v>
      </c>
    </row>
    <row r="19" spans="1:22" ht="13.5">
      <c r="A19" s="388" t="s">
        <v>61</v>
      </c>
      <c r="B19" s="394">
        <f t="shared" si="0"/>
        <v>4.543097861309138</v>
      </c>
      <c r="C19" s="388">
        <v>701</v>
      </c>
      <c r="D19" s="388">
        <v>1543000</v>
      </c>
      <c r="F19" s="388" t="s">
        <v>77</v>
      </c>
      <c r="G19" s="395">
        <v>5.1</v>
      </c>
      <c r="I19" s="388" t="s">
        <v>53</v>
      </c>
      <c r="J19" s="296">
        <v>5.2</v>
      </c>
      <c r="L19" s="388" t="s">
        <v>54</v>
      </c>
      <c r="M19" s="395">
        <v>5.3</v>
      </c>
      <c r="N19" s="395"/>
      <c r="O19" s="388" t="s">
        <v>40</v>
      </c>
      <c r="P19" s="395">
        <v>4.6</v>
      </c>
      <c r="Q19" s="395"/>
      <c r="R19" s="389" t="s">
        <v>436</v>
      </c>
      <c r="S19" s="296">
        <v>4.9</v>
      </c>
      <c r="U19" s="389" t="s">
        <v>443</v>
      </c>
      <c r="V19" s="396">
        <v>4.77</v>
      </c>
    </row>
    <row r="20" spans="1:22" ht="13.5">
      <c r="A20" s="388" t="s">
        <v>76</v>
      </c>
      <c r="B20" s="394">
        <f t="shared" si="0"/>
        <v>4.526022304832714</v>
      </c>
      <c r="C20" s="388">
        <v>487</v>
      </c>
      <c r="D20" s="388">
        <v>1076000</v>
      </c>
      <c r="F20" s="388" t="s">
        <v>51</v>
      </c>
      <c r="G20" s="395">
        <v>5.1</v>
      </c>
      <c r="I20" s="388" t="s">
        <v>75</v>
      </c>
      <c r="J20" s="296">
        <v>5.1</v>
      </c>
      <c r="L20" s="388" t="s">
        <v>71</v>
      </c>
      <c r="M20" s="395">
        <v>5.3</v>
      </c>
      <c r="N20" s="395"/>
      <c r="O20" s="388" t="s">
        <v>50</v>
      </c>
      <c r="P20" s="395">
        <v>4.5</v>
      </c>
      <c r="Q20" s="395"/>
      <c r="R20" s="389" t="s">
        <v>437</v>
      </c>
      <c r="S20" s="296">
        <v>4.9</v>
      </c>
      <c r="U20" s="389" t="s">
        <v>442</v>
      </c>
      <c r="V20" s="396">
        <v>4.76</v>
      </c>
    </row>
    <row r="21" spans="1:22" ht="13.5">
      <c r="A21" s="388" t="s">
        <v>52</v>
      </c>
      <c r="B21" s="394">
        <f t="shared" si="0"/>
        <v>4.521912350597609</v>
      </c>
      <c r="C21" s="388">
        <v>908</v>
      </c>
      <c r="D21" s="388">
        <v>2008000</v>
      </c>
      <c r="F21" s="388" t="s">
        <v>76</v>
      </c>
      <c r="G21" s="395">
        <v>5</v>
      </c>
      <c r="I21" s="388" t="s">
        <v>48</v>
      </c>
      <c r="J21" s="296">
        <v>5.1</v>
      </c>
      <c r="L21" s="388" t="s">
        <v>55</v>
      </c>
      <c r="M21" s="395">
        <v>5.2</v>
      </c>
      <c r="N21" s="395"/>
      <c r="O21" s="388" t="s">
        <v>54</v>
      </c>
      <c r="P21" s="395">
        <v>4.5</v>
      </c>
      <c r="Q21" s="395"/>
      <c r="R21" s="389" t="s">
        <v>465</v>
      </c>
      <c r="S21" s="296">
        <v>4.9</v>
      </c>
      <c r="U21" s="389" t="s">
        <v>470</v>
      </c>
      <c r="V21" s="396">
        <v>4.71</v>
      </c>
    </row>
    <row r="22" spans="1:22" ht="13.5">
      <c r="A22" s="388" t="s">
        <v>58</v>
      </c>
      <c r="B22" s="394">
        <f t="shared" si="0"/>
        <v>4.438202247191011</v>
      </c>
      <c r="C22" s="388">
        <v>869</v>
      </c>
      <c r="D22" s="388">
        <v>1958000</v>
      </c>
      <c r="F22" s="388" t="s">
        <v>58</v>
      </c>
      <c r="G22" s="395">
        <v>5</v>
      </c>
      <c r="I22" s="388" t="s">
        <v>76</v>
      </c>
      <c r="J22" s="296">
        <v>5.1</v>
      </c>
      <c r="L22" s="388" t="s">
        <v>85</v>
      </c>
      <c r="M22" s="395">
        <v>5.2</v>
      </c>
      <c r="N22" s="395"/>
      <c r="O22" s="388" t="s">
        <v>48</v>
      </c>
      <c r="P22" s="395">
        <v>4.5</v>
      </c>
      <c r="Q22" s="395"/>
      <c r="R22" s="389" t="s">
        <v>471</v>
      </c>
      <c r="S22" s="296">
        <v>4.9</v>
      </c>
      <c r="U22" s="389" t="s">
        <v>436</v>
      </c>
      <c r="V22" s="396">
        <v>4.7</v>
      </c>
    </row>
    <row r="23" spans="1:22" ht="13.5">
      <c r="A23" s="388" t="s">
        <v>46</v>
      </c>
      <c r="B23" s="394">
        <f t="shared" si="0"/>
        <v>4.435087719298245</v>
      </c>
      <c r="C23" s="388">
        <v>2528</v>
      </c>
      <c r="D23" s="388">
        <v>5700000</v>
      </c>
      <c r="F23" s="388" t="s">
        <v>54</v>
      </c>
      <c r="G23" s="395">
        <v>4.9</v>
      </c>
      <c r="I23" s="388" t="s">
        <v>82</v>
      </c>
      <c r="J23" s="296">
        <v>5.1</v>
      </c>
      <c r="L23" s="388" t="s">
        <v>43</v>
      </c>
      <c r="M23" s="395">
        <v>5.1</v>
      </c>
      <c r="N23" s="395"/>
      <c r="O23" s="388" t="s">
        <v>64</v>
      </c>
      <c r="P23" s="395">
        <v>4.5</v>
      </c>
      <c r="Q23" s="395"/>
      <c r="R23" s="389" t="s">
        <v>451</v>
      </c>
      <c r="S23" s="296">
        <v>4.8</v>
      </c>
      <c r="U23" s="46" t="s">
        <v>457</v>
      </c>
      <c r="V23" s="396">
        <v>4.7</v>
      </c>
    </row>
    <row r="24" spans="1:22" ht="13.5">
      <c r="A24" s="388" t="s">
        <v>53</v>
      </c>
      <c r="B24" s="394">
        <f t="shared" si="0"/>
        <v>4.398689751988769</v>
      </c>
      <c r="C24" s="388">
        <v>940</v>
      </c>
      <c r="D24" s="388">
        <v>2137000</v>
      </c>
      <c r="F24" s="388" t="s">
        <v>40</v>
      </c>
      <c r="G24" s="395">
        <v>4.9</v>
      </c>
      <c r="I24" s="388" t="s">
        <v>59</v>
      </c>
      <c r="J24" s="296">
        <v>4.9</v>
      </c>
      <c r="L24" s="388" t="s">
        <v>51</v>
      </c>
      <c r="M24" s="395">
        <v>5.1</v>
      </c>
      <c r="N24" s="395"/>
      <c r="O24" s="388" t="s">
        <v>71</v>
      </c>
      <c r="P24" s="395">
        <v>4.4</v>
      </c>
      <c r="Q24" s="395"/>
      <c r="R24" s="389" t="s">
        <v>435</v>
      </c>
      <c r="S24" s="296">
        <v>4.7</v>
      </c>
      <c r="U24" s="389" t="s">
        <v>447</v>
      </c>
      <c r="V24" s="396">
        <v>4.68</v>
      </c>
    </row>
    <row r="25" spans="1:22" ht="13.5">
      <c r="A25" s="388" t="s">
        <v>55</v>
      </c>
      <c r="B25" s="394">
        <f t="shared" si="0"/>
        <v>4.36936936936937</v>
      </c>
      <c r="C25" s="388">
        <v>970</v>
      </c>
      <c r="D25" s="388">
        <v>2220000</v>
      </c>
      <c r="F25" s="388" t="s">
        <v>47</v>
      </c>
      <c r="G25" s="395">
        <v>4.9</v>
      </c>
      <c r="I25" s="388" t="s">
        <v>40</v>
      </c>
      <c r="J25" s="296">
        <v>4.9</v>
      </c>
      <c r="L25" s="388" t="s">
        <v>66</v>
      </c>
      <c r="M25" s="395">
        <v>5.1</v>
      </c>
      <c r="N25" s="395"/>
      <c r="O25" s="388" t="s">
        <v>47</v>
      </c>
      <c r="P25" s="395">
        <v>4.4</v>
      </c>
      <c r="Q25" s="395"/>
      <c r="R25" s="389" t="s">
        <v>442</v>
      </c>
      <c r="S25" s="296">
        <v>4.7</v>
      </c>
      <c r="U25" s="389" t="s">
        <v>439</v>
      </c>
      <c r="V25" s="396">
        <v>4.67</v>
      </c>
    </row>
    <row r="26" spans="1:22" ht="13.5">
      <c r="A26" s="388" t="s">
        <v>43</v>
      </c>
      <c r="B26" s="394">
        <f t="shared" si="0"/>
        <v>4.355359266179717</v>
      </c>
      <c r="C26" s="388">
        <v>2564</v>
      </c>
      <c r="D26" s="388">
        <v>5887000</v>
      </c>
      <c r="F26" s="388" t="s">
        <v>51</v>
      </c>
      <c r="G26" s="395">
        <v>4.8</v>
      </c>
      <c r="I26" s="388" t="s">
        <v>61</v>
      </c>
      <c r="J26" s="296">
        <v>4.9</v>
      </c>
      <c r="L26" s="388" t="s">
        <v>65</v>
      </c>
      <c r="M26" s="395">
        <v>5.1</v>
      </c>
      <c r="N26" s="395"/>
      <c r="O26" s="388" t="s">
        <v>61</v>
      </c>
      <c r="P26" s="395">
        <v>4.3</v>
      </c>
      <c r="Q26" s="395"/>
      <c r="R26" s="389" t="s">
        <v>452</v>
      </c>
      <c r="S26" s="296">
        <v>4.7</v>
      </c>
      <c r="U26" s="389" t="s">
        <v>465</v>
      </c>
      <c r="V26" s="396">
        <v>4.65</v>
      </c>
    </row>
    <row r="27" spans="1:22" ht="13.5">
      <c r="A27" s="388" t="s">
        <v>48</v>
      </c>
      <c r="B27" s="394">
        <f t="shared" si="0"/>
        <v>4.347480106100796</v>
      </c>
      <c r="C27" s="388">
        <v>1639</v>
      </c>
      <c r="D27" s="388">
        <v>3770000</v>
      </c>
      <c r="F27" s="388" t="s">
        <v>85</v>
      </c>
      <c r="G27" s="395">
        <v>4.8</v>
      </c>
      <c r="I27" s="388" t="s">
        <v>47</v>
      </c>
      <c r="J27" s="296">
        <v>4.8</v>
      </c>
      <c r="L27" s="388" t="s">
        <v>48</v>
      </c>
      <c r="M27" s="395">
        <v>5</v>
      </c>
      <c r="N27" s="395"/>
      <c r="O27" s="388" t="s">
        <v>55</v>
      </c>
      <c r="P27" s="395">
        <v>4.3</v>
      </c>
      <c r="Q27" s="395"/>
      <c r="R27" s="389" t="s">
        <v>457</v>
      </c>
      <c r="S27" s="296">
        <v>4.6</v>
      </c>
      <c r="U27" s="389" t="s">
        <v>448</v>
      </c>
      <c r="V27" s="396">
        <v>4.6</v>
      </c>
    </row>
    <row r="28" spans="1:22" ht="13.5">
      <c r="A28" s="388" t="s">
        <v>64</v>
      </c>
      <c r="B28" s="394">
        <f t="shared" si="0"/>
        <v>4.2625169147496615</v>
      </c>
      <c r="C28" s="388">
        <v>630</v>
      </c>
      <c r="D28" s="388">
        <v>1478000</v>
      </c>
      <c r="F28" s="388" t="s">
        <v>44</v>
      </c>
      <c r="G28" s="395">
        <v>4.7</v>
      </c>
      <c r="I28" s="388" t="s">
        <v>64</v>
      </c>
      <c r="J28" s="296">
        <v>4.7</v>
      </c>
      <c r="L28" s="388" t="s">
        <v>59</v>
      </c>
      <c r="M28" s="395">
        <v>5</v>
      </c>
      <c r="N28" s="395"/>
      <c r="O28" s="388" t="s">
        <v>85</v>
      </c>
      <c r="P28" s="395">
        <v>4.3</v>
      </c>
      <c r="Q28" s="395"/>
      <c r="R28" s="389" t="s">
        <v>461</v>
      </c>
      <c r="S28" s="296">
        <v>4.6</v>
      </c>
      <c r="U28" s="389" t="s">
        <v>441</v>
      </c>
      <c r="V28" s="396">
        <v>4.59</v>
      </c>
    </row>
    <row r="29" spans="1:22" ht="13.5">
      <c r="A29" s="388" t="s">
        <v>62</v>
      </c>
      <c r="B29" s="394">
        <f t="shared" si="0"/>
        <v>4.214477211796247</v>
      </c>
      <c r="C29" s="388">
        <v>786</v>
      </c>
      <c r="D29" s="388">
        <v>1865000</v>
      </c>
      <c r="F29" s="388" t="s">
        <v>82</v>
      </c>
      <c r="G29" s="395">
        <v>4.7</v>
      </c>
      <c r="I29" s="388" t="s">
        <v>44</v>
      </c>
      <c r="J29" s="296">
        <v>4.7</v>
      </c>
      <c r="L29" s="388" t="s">
        <v>47</v>
      </c>
      <c r="M29" s="395">
        <v>5</v>
      </c>
      <c r="N29" s="395"/>
      <c r="O29" s="388" t="s">
        <v>43</v>
      </c>
      <c r="P29" s="395">
        <v>4.3</v>
      </c>
      <c r="Q29" s="395"/>
      <c r="R29" s="389" t="s">
        <v>450</v>
      </c>
      <c r="S29" s="296">
        <v>4.5</v>
      </c>
      <c r="U29" s="389" t="s">
        <v>452</v>
      </c>
      <c r="V29" s="396">
        <v>4.58</v>
      </c>
    </row>
    <row r="30" spans="1:22" ht="13.5">
      <c r="A30" s="388" t="s">
        <v>59</v>
      </c>
      <c r="B30" s="394">
        <f t="shared" si="0"/>
        <v>4.162962962962963</v>
      </c>
      <c r="C30" s="388">
        <v>843</v>
      </c>
      <c r="D30" s="388">
        <v>2025000</v>
      </c>
      <c r="F30" s="388" t="s">
        <v>59</v>
      </c>
      <c r="G30" s="395">
        <v>4.6</v>
      </c>
      <c r="I30" s="388" t="s">
        <v>67</v>
      </c>
      <c r="J30" s="296">
        <v>4.6</v>
      </c>
      <c r="L30" s="388" t="s">
        <v>76</v>
      </c>
      <c r="M30" s="395">
        <v>4.9</v>
      </c>
      <c r="N30" s="395"/>
      <c r="O30" s="388" t="s">
        <v>76</v>
      </c>
      <c r="P30" s="395">
        <v>4.3</v>
      </c>
      <c r="Q30" s="395"/>
      <c r="R30" s="389" t="s">
        <v>441</v>
      </c>
      <c r="S30" s="296">
        <v>4.5</v>
      </c>
      <c r="U30" s="389" t="s">
        <v>455</v>
      </c>
      <c r="V30" s="396">
        <v>4.43</v>
      </c>
    </row>
    <row r="31" spans="1:22" ht="13.5">
      <c r="A31" s="388" t="s">
        <v>40</v>
      </c>
      <c r="B31" s="394">
        <f t="shared" si="0"/>
        <v>4.116310767832803</v>
      </c>
      <c r="C31" s="388">
        <v>3624</v>
      </c>
      <c r="D31" s="388">
        <v>8804000</v>
      </c>
      <c r="F31" s="388" t="s">
        <v>65</v>
      </c>
      <c r="G31" s="395">
        <v>4.6</v>
      </c>
      <c r="I31" s="388" t="s">
        <v>85</v>
      </c>
      <c r="J31" s="296">
        <v>4.6</v>
      </c>
      <c r="L31" s="388" t="s">
        <v>82</v>
      </c>
      <c r="M31" s="395">
        <v>4.9</v>
      </c>
      <c r="N31" s="395"/>
      <c r="O31" s="388" t="s">
        <v>66</v>
      </c>
      <c r="P31" s="395">
        <v>4.2</v>
      </c>
      <c r="Q31" s="395"/>
      <c r="R31" s="389" t="s">
        <v>470</v>
      </c>
      <c r="S31" s="296">
        <v>4.5</v>
      </c>
      <c r="U31" s="389" t="s">
        <v>477</v>
      </c>
      <c r="V31" s="396">
        <v>4.41</v>
      </c>
    </row>
    <row r="32" spans="1:22" ht="13.5">
      <c r="A32" s="388" t="s">
        <v>84</v>
      </c>
      <c r="B32" s="394">
        <f t="shared" si="0"/>
        <v>4.07942238267148</v>
      </c>
      <c r="C32" s="388">
        <v>339</v>
      </c>
      <c r="D32" s="388">
        <v>831000</v>
      </c>
      <c r="F32" s="388" t="s">
        <v>62</v>
      </c>
      <c r="G32" s="395">
        <v>4.5</v>
      </c>
      <c r="I32" s="388" t="s">
        <v>77</v>
      </c>
      <c r="J32" s="296">
        <v>4.6</v>
      </c>
      <c r="L32" s="388" t="s">
        <v>40</v>
      </c>
      <c r="M32" s="395">
        <v>4.7</v>
      </c>
      <c r="N32" s="395"/>
      <c r="O32" s="388" t="s">
        <v>44</v>
      </c>
      <c r="P32" s="395">
        <v>4.2</v>
      </c>
      <c r="Q32" s="395"/>
      <c r="R32" s="389" t="s">
        <v>433</v>
      </c>
      <c r="S32" s="296">
        <v>4.4</v>
      </c>
      <c r="U32" s="389" t="s">
        <v>459</v>
      </c>
      <c r="V32" s="396">
        <v>4.38</v>
      </c>
    </row>
    <row r="33" spans="1:22" ht="13.5">
      <c r="A33" s="388" t="s">
        <v>74</v>
      </c>
      <c r="B33" s="394">
        <f t="shared" si="0"/>
        <v>3.9664804469273744</v>
      </c>
      <c r="C33" s="388">
        <v>497</v>
      </c>
      <c r="D33" s="388">
        <v>1253000</v>
      </c>
      <c r="F33" s="388" t="s">
        <v>67</v>
      </c>
      <c r="G33" s="395">
        <v>4.3</v>
      </c>
      <c r="I33" s="388" t="s">
        <v>62</v>
      </c>
      <c r="J33" s="296">
        <v>4.6</v>
      </c>
      <c r="L33" s="388" t="s">
        <v>64</v>
      </c>
      <c r="M33" s="395">
        <v>4.7</v>
      </c>
      <c r="N33" s="395"/>
      <c r="O33" s="388" t="s">
        <v>70</v>
      </c>
      <c r="P33" s="395">
        <v>4.2</v>
      </c>
      <c r="Q33" s="395"/>
      <c r="R33" s="389" t="s">
        <v>467</v>
      </c>
      <c r="S33" s="296">
        <v>4.3</v>
      </c>
      <c r="U33" s="389" t="s">
        <v>435</v>
      </c>
      <c r="V33" s="396">
        <v>4.35</v>
      </c>
    </row>
    <row r="34" spans="1:22" ht="13.5">
      <c r="A34" s="388" t="s">
        <v>65</v>
      </c>
      <c r="B34" s="394">
        <f t="shared" si="0"/>
        <v>3.849673202614379</v>
      </c>
      <c r="C34" s="388">
        <v>589</v>
      </c>
      <c r="D34" s="388">
        <v>1530000</v>
      </c>
      <c r="F34" s="388" t="s">
        <v>71</v>
      </c>
      <c r="G34" s="395">
        <v>4.3</v>
      </c>
      <c r="I34" s="388" t="s">
        <v>71</v>
      </c>
      <c r="J34" s="296">
        <v>4.6</v>
      </c>
      <c r="L34" s="388" t="s">
        <v>67</v>
      </c>
      <c r="M34" s="395">
        <v>4.7</v>
      </c>
      <c r="N34" s="395"/>
      <c r="O34" s="388" t="s">
        <v>75</v>
      </c>
      <c r="P34" s="395">
        <v>4.2</v>
      </c>
      <c r="Q34" s="395"/>
      <c r="R34" s="389" t="s">
        <v>439</v>
      </c>
      <c r="S34" s="296">
        <v>4.3</v>
      </c>
      <c r="U34" s="389" t="s">
        <v>445</v>
      </c>
      <c r="V34" s="396">
        <v>4.34</v>
      </c>
    </row>
    <row r="35" spans="1:22" ht="13.5">
      <c r="A35" s="388" t="s">
        <v>44</v>
      </c>
      <c r="B35" s="394">
        <f t="shared" si="0"/>
        <v>3.804757760371337</v>
      </c>
      <c r="C35" s="388">
        <v>2623</v>
      </c>
      <c r="D35" s="388">
        <v>6894000</v>
      </c>
      <c r="F35" s="388" t="s">
        <v>74</v>
      </c>
      <c r="G35" s="395">
        <v>4.2</v>
      </c>
      <c r="I35" s="388" t="s">
        <v>70</v>
      </c>
      <c r="J35" s="296">
        <v>4.5</v>
      </c>
      <c r="L35" s="388" t="s">
        <v>62</v>
      </c>
      <c r="M35" s="395">
        <v>4.6</v>
      </c>
      <c r="N35" s="395"/>
      <c r="O35" s="388" t="s">
        <v>62</v>
      </c>
      <c r="P35" s="395">
        <v>4.1</v>
      </c>
      <c r="Q35" s="395"/>
      <c r="R35" s="389" t="s">
        <v>466</v>
      </c>
      <c r="S35" s="296">
        <v>4.2</v>
      </c>
      <c r="U35" s="389" t="s">
        <v>433</v>
      </c>
      <c r="V35" s="396">
        <v>4.12</v>
      </c>
    </row>
    <row r="36" spans="1:22" ht="13.5">
      <c r="A36" s="388" t="s">
        <v>42</v>
      </c>
      <c r="B36" s="394">
        <f t="shared" si="0"/>
        <v>3.7940896091515732</v>
      </c>
      <c r="C36" s="388">
        <v>3184</v>
      </c>
      <c r="D36" s="388">
        <v>8392000</v>
      </c>
      <c r="F36" s="388" t="s">
        <v>69</v>
      </c>
      <c r="G36" s="395">
        <v>4.2</v>
      </c>
      <c r="I36" s="388" t="s">
        <v>74</v>
      </c>
      <c r="J36" s="296">
        <v>4.5</v>
      </c>
      <c r="L36" s="388" t="s">
        <v>69</v>
      </c>
      <c r="M36" s="395">
        <v>4.6</v>
      </c>
      <c r="N36" s="395"/>
      <c r="O36" s="388" t="s">
        <v>46</v>
      </c>
      <c r="P36" s="395">
        <v>4.1</v>
      </c>
      <c r="Q36" s="395"/>
      <c r="R36" s="389" t="s">
        <v>477</v>
      </c>
      <c r="S36" s="296">
        <v>4.2</v>
      </c>
      <c r="U36" s="389" t="s">
        <v>474</v>
      </c>
      <c r="V36" s="396">
        <v>4.08</v>
      </c>
    </row>
    <row r="37" spans="1:22" ht="13.5">
      <c r="A37" s="388" t="s">
        <v>66</v>
      </c>
      <c r="B37" s="394">
        <f t="shared" si="0"/>
        <v>3.7616511318242343</v>
      </c>
      <c r="C37" s="388">
        <v>565</v>
      </c>
      <c r="D37" s="388">
        <v>1502000</v>
      </c>
      <c r="F37" s="388" t="s">
        <v>46</v>
      </c>
      <c r="G37" s="395">
        <v>4.1</v>
      </c>
      <c r="I37" s="388" t="s">
        <v>73</v>
      </c>
      <c r="J37" s="296">
        <v>4.5</v>
      </c>
      <c r="L37" s="388" t="s">
        <v>44</v>
      </c>
      <c r="M37" s="395">
        <v>4.5</v>
      </c>
      <c r="N37" s="395"/>
      <c r="O37" s="388" t="s">
        <v>77</v>
      </c>
      <c r="P37" s="395">
        <v>4</v>
      </c>
      <c r="Q37" s="395"/>
      <c r="R37" s="389" t="s">
        <v>459</v>
      </c>
      <c r="S37" s="296">
        <v>4.2</v>
      </c>
      <c r="U37" s="389" t="s">
        <v>464</v>
      </c>
      <c r="V37" s="396">
        <v>4.05</v>
      </c>
    </row>
    <row r="38" spans="1:22" ht="13.5">
      <c r="A38" s="388" t="s">
        <v>75</v>
      </c>
      <c r="B38" s="394">
        <f t="shared" si="0"/>
        <v>3.6386344712739382</v>
      </c>
      <c r="C38" s="388">
        <v>437</v>
      </c>
      <c r="D38" s="388">
        <v>1201000</v>
      </c>
      <c r="F38" s="388" t="s">
        <v>84</v>
      </c>
      <c r="G38" s="395">
        <v>4.1</v>
      </c>
      <c r="I38" s="388" t="s">
        <v>46</v>
      </c>
      <c r="J38" s="296">
        <v>4.4</v>
      </c>
      <c r="K38" s="395"/>
      <c r="L38" s="388" t="s">
        <v>84</v>
      </c>
      <c r="M38" s="395">
        <v>4.5</v>
      </c>
      <c r="N38" s="395"/>
      <c r="O38" s="388" t="s">
        <v>65</v>
      </c>
      <c r="P38" s="395">
        <v>4</v>
      </c>
      <c r="Q38" s="395"/>
      <c r="R38" s="389" t="s">
        <v>438</v>
      </c>
      <c r="S38" s="296">
        <v>4.1</v>
      </c>
      <c r="U38" s="389" t="s">
        <v>438</v>
      </c>
      <c r="V38" s="396">
        <v>3.8</v>
      </c>
    </row>
    <row r="39" spans="1:22" ht="13.5">
      <c r="A39" s="388" t="s">
        <v>71</v>
      </c>
      <c r="B39" s="394">
        <f t="shared" si="0"/>
        <v>3.6319218241042344</v>
      </c>
      <c r="C39" s="388">
        <v>446</v>
      </c>
      <c r="D39" s="388">
        <v>1228000</v>
      </c>
      <c r="F39" s="388" t="s">
        <v>66</v>
      </c>
      <c r="G39" s="395">
        <v>4.1</v>
      </c>
      <c r="I39" s="388" t="s">
        <v>66</v>
      </c>
      <c r="J39" s="296">
        <v>4.4</v>
      </c>
      <c r="L39" s="388" t="s">
        <v>70</v>
      </c>
      <c r="M39" s="395">
        <v>4.3</v>
      </c>
      <c r="N39" s="395"/>
      <c r="O39" s="388" t="s">
        <v>84</v>
      </c>
      <c r="P39" s="395">
        <v>3.7</v>
      </c>
      <c r="Q39" s="395"/>
      <c r="R39" s="389" t="s">
        <v>460</v>
      </c>
      <c r="S39" s="296">
        <v>4.1</v>
      </c>
      <c r="U39" s="389" t="s">
        <v>466</v>
      </c>
      <c r="V39" s="396">
        <v>3.7</v>
      </c>
    </row>
    <row r="40" spans="1:22" ht="13.5">
      <c r="A40" s="388" t="s">
        <v>78</v>
      </c>
      <c r="B40" s="394">
        <f t="shared" si="0"/>
        <v>3.582766439909297</v>
      </c>
      <c r="C40" s="388">
        <v>474</v>
      </c>
      <c r="D40" s="388">
        <v>1323000</v>
      </c>
      <c r="F40" s="388" t="s">
        <v>64</v>
      </c>
      <c r="G40" s="395">
        <v>4</v>
      </c>
      <c r="I40" s="388" t="s">
        <v>65</v>
      </c>
      <c r="J40" s="296">
        <v>4.3</v>
      </c>
      <c r="L40" s="388" t="s">
        <v>74</v>
      </c>
      <c r="M40" s="395">
        <v>4.3</v>
      </c>
      <c r="N40" s="395"/>
      <c r="O40" s="388" t="s">
        <v>74</v>
      </c>
      <c r="P40" s="395">
        <v>3.7</v>
      </c>
      <c r="Q40" s="395"/>
      <c r="R40" s="389" t="s">
        <v>464</v>
      </c>
      <c r="S40" s="296">
        <v>4</v>
      </c>
      <c r="U40" s="389" t="s">
        <v>476</v>
      </c>
      <c r="V40" s="396">
        <v>3.64</v>
      </c>
    </row>
    <row r="41" spans="1:22" ht="13.5">
      <c r="A41" s="388" t="s">
        <v>70</v>
      </c>
      <c r="B41" s="394">
        <f t="shared" si="0"/>
        <v>3.573446327683616</v>
      </c>
      <c r="C41" s="388">
        <v>506</v>
      </c>
      <c r="D41" s="388">
        <v>1416000</v>
      </c>
      <c r="F41" s="388" t="s">
        <v>75</v>
      </c>
      <c r="G41" s="395">
        <v>3.9</v>
      </c>
      <c r="I41" s="388" t="s">
        <v>69</v>
      </c>
      <c r="J41" s="296">
        <v>4.2</v>
      </c>
      <c r="L41" s="388" t="s">
        <v>75</v>
      </c>
      <c r="M41" s="395">
        <v>4</v>
      </c>
      <c r="N41" s="395"/>
      <c r="O41" s="388" t="s">
        <v>69</v>
      </c>
      <c r="P41" s="395">
        <v>3.5</v>
      </c>
      <c r="Q41" s="395"/>
      <c r="R41" s="389" t="s">
        <v>434</v>
      </c>
      <c r="S41" s="296">
        <v>3.9</v>
      </c>
      <c r="U41" s="389" t="s">
        <v>467</v>
      </c>
      <c r="V41" s="396">
        <v>3.56</v>
      </c>
    </row>
    <row r="42" spans="1:22" ht="13.5">
      <c r="A42" s="388" t="s">
        <v>67</v>
      </c>
      <c r="B42" s="394">
        <f t="shared" si="0"/>
        <v>3.5314443676572216</v>
      </c>
      <c r="C42" s="388">
        <v>511</v>
      </c>
      <c r="D42" s="388">
        <v>1447000</v>
      </c>
      <c r="F42" s="388" t="s">
        <v>42</v>
      </c>
      <c r="G42" s="395">
        <v>3.7</v>
      </c>
      <c r="I42" s="388" t="s">
        <v>42</v>
      </c>
      <c r="J42" s="395">
        <v>4</v>
      </c>
      <c r="L42" s="388" t="s">
        <v>46</v>
      </c>
      <c r="M42" s="395">
        <v>4</v>
      </c>
      <c r="N42" s="395"/>
      <c r="O42" s="388" t="s">
        <v>42</v>
      </c>
      <c r="P42" s="395">
        <v>3.5</v>
      </c>
      <c r="Q42" s="395"/>
      <c r="R42" s="389" t="s">
        <v>463</v>
      </c>
      <c r="S42" s="296">
        <v>3.8</v>
      </c>
      <c r="U42" s="389" t="s">
        <v>434</v>
      </c>
      <c r="V42" s="396">
        <v>3.43</v>
      </c>
    </row>
    <row r="43" spans="1:22" ht="13.5">
      <c r="A43" s="388" t="s">
        <v>60</v>
      </c>
      <c r="B43" s="394">
        <f t="shared" si="0"/>
        <v>3.2838813151563753</v>
      </c>
      <c r="C43" s="388">
        <v>819</v>
      </c>
      <c r="D43" s="388">
        <v>2494000</v>
      </c>
      <c r="F43" s="388" t="s">
        <v>60</v>
      </c>
      <c r="G43" s="395">
        <v>3.7</v>
      </c>
      <c r="I43" s="388" t="s">
        <v>60</v>
      </c>
      <c r="J43" s="395">
        <v>4</v>
      </c>
      <c r="K43" s="395"/>
      <c r="L43" s="388" t="s">
        <v>80</v>
      </c>
      <c r="M43" s="395">
        <v>4</v>
      </c>
      <c r="N43" s="395"/>
      <c r="O43" s="388" t="s">
        <v>60</v>
      </c>
      <c r="P43" s="395">
        <v>3.4</v>
      </c>
      <c r="Q43" s="395"/>
      <c r="R43" s="389" t="s">
        <v>474</v>
      </c>
      <c r="S43" s="296">
        <v>3.8</v>
      </c>
      <c r="U43" s="389" t="s">
        <v>463</v>
      </c>
      <c r="V43" s="396">
        <v>3.38</v>
      </c>
    </row>
    <row r="44" spans="1:22" ht="13.5">
      <c r="A44" s="388" t="s">
        <v>80</v>
      </c>
      <c r="B44" s="394">
        <f t="shared" si="0"/>
        <v>3.1975403535741735</v>
      </c>
      <c r="C44" s="388">
        <v>416</v>
      </c>
      <c r="D44" s="388">
        <v>1301000</v>
      </c>
      <c r="F44" s="388" t="s">
        <v>86</v>
      </c>
      <c r="G44" s="395">
        <v>3.7</v>
      </c>
      <c r="I44" s="388" t="s">
        <v>84</v>
      </c>
      <c r="J44" s="395">
        <v>4</v>
      </c>
      <c r="K44" s="395"/>
      <c r="L44" s="388" t="s">
        <v>42</v>
      </c>
      <c r="M44" s="395">
        <v>3.8</v>
      </c>
      <c r="N44" s="395"/>
      <c r="O44" s="388" t="s">
        <v>80</v>
      </c>
      <c r="P44" s="395">
        <v>3.3</v>
      </c>
      <c r="Q44" s="395"/>
      <c r="R44" s="389" t="s">
        <v>469</v>
      </c>
      <c r="S44" s="296">
        <v>3.7</v>
      </c>
      <c r="U44" s="389" t="s">
        <v>460</v>
      </c>
      <c r="V44" s="396">
        <v>3.29</v>
      </c>
    </row>
    <row r="45" spans="1:22" ht="13.5">
      <c r="A45" s="388" t="s">
        <v>86</v>
      </c>
      <c r="B45" s="394">
        <f t="shared" si="0"/>
        <v>2.819277108433735</v>
      </c>
      <c r="C45" s="388">
        <v>234</v>
      </c>
      <c r="D45" s="388">
        <v>830000</v>
      </c>
      <c r="F45" s="388" t="s">
        <v>70</v>
      </c>
      <c r="G45" s="395">
        <v>3.6</v>
      </c>
      <c r="I45" s="388" t="s">
        <v>80</v>
      </c>
      <c r="J45" s="296">
        <v>3.9</v>
      </c>
      <c r="K45" s="395"/>
      <c r="L45" s="388" t="s">
        <v>60</v>
      </c>
      <c r="M45" s="395">
        <v>3.5</v>
      </c>
      <c r="N45" s="395"/>
      <c r="O45" s="388" t="s">
        <v>67</v>
      </c>
      <c r="P45" s="395">
        <v>3.2</v>
      </c>
      <c r="Q45" s="395"/>
      <c r="R45" s="389" t="s">
        <v>453</v>
      </c>
      <c r="S45" s="296">
        <v>3.5</v>
      </c>
      <c r="U45" s="389" t="s">
        <v>469</v>
      </c>
      <c r="V45" s="396">
        <v>3.12</v>
      </c>
    </row>
    <row r="46" spans="1:22" ht="13.5">
      <c r="A46" s="388" t="s">
        <v>83</v>
      </c>
      <c r="B46" s="394">
        <f t="shared" si="0"/>
        <v>2.759493670886076</v>
      </c>
      <c r="C46" s="388">
        <v>327</v>
      </c>
      <c r="D46" s="388">
        <v>1185000</v>
      </c>
      <c r="F46" s="388" t="s">
        <v>83</v>
      </c>
      <c r="G46" s="395">
        <v>3.6</v>
      </c>
      <c r="I46" s="388" t="s">
        <v>83</v>
      </c>
      <c r="J46" s="296">
        <v>3.5</v>
      </c>
      <c r="K46" s="395"/>
      <c r="L46" s="388" t="s">
        <v>83</v>
      </c>
      <c r="M46" s="395">
        <v>3.5</v>
      </c>
      <c r="N46" s="395"/>
      <c r="O46" s="388" t="s">
        <v>86</v>
      </c>
      <c r="P46" s="395">
        <v>3.1</v>
      </c>
      <c r="Q46" s="395"/>
      <c r="R46" s="389" t="s">
        <v>476</v>
      </c>
      <c r="S46" s="296">
        <v>3.5</v>
      </c>
      <c r="U46" s="389" t="s">
        <v>473</v>
      </c>
      <c r="V46" s="396">
        <v>3.05</v>
      </c>
    </row>
    <row r="47" spans="1:22" ht="13.5">
      <c r="A47" s="388" t="s">
        <v>63</v>
      </c>
      <c r="B47" s="394">
        <f t="shared" si="0"/>
        <v>2.4563401670463176</v>
      </c>
      <c r="C47" s="388">
        <v>647</v>
      </c>
      <c r="D47" s="388">
        <v>2634000</v>
      </c>
      <c r="F47" s="388" t="s">
        <v>80</v>
      </c>
      <c r="G47" s="395">
        <v>3.4</v>
      </c>
      <c r="I47" s="388" t="s">
        <v>63</v>
      </c>
      <c r="J47" s="296">
        <v>3.3</v>
      </c>
      <c r="K47" s="395"/>
      <c r="L47" s="388" t="s">
        <v>86</v>
      </c>
      <c r="M47" s="395">
        <v>3.4</v>
      </c>
      <c r="N47" s="395"/>
      <c r="O47" s="388" t="s">
        <v>83</v>
      </c>
      <c r="P47" s="395">
        <v>3</v>
      </c>
      <c r="Q47" s="395"/>
      <c r="R47" s="389" t="s">
        <v>473</v>
      </c>
      <c r="S47" s="296">
        <v>3</v>
      </c>
      <c r="U47" s="389" t="s">
        <v>453</v>
      </c>
      <c r="V47" s="396">
        <v>2.98</v>
      </c>
    </row>
    <row r="48" spans="1:22" ht="13.5">
      <c r="A48" s="388" t="s">
        <v>87</v>
      </c>
      <c r="B48" s="394">
        <f t="shared" si="0"/>
        <v>1.7673179396092362</v>
      </c>
      <c r="C48" s="388">
        <v>199</v>
      </c>
      <c r="D48" s="388">
        <v>1126000</v>
      </c>
      <c r="F48" s="388" t="s">
        <v>63</v>
      </c>
      <c r="G48" s="395">
        <v>3.1</v>
      </c>
      <c r="I48" s="388" t="s">
        <v>86</v>
      </c>
      <c r="J48" s="395">
        <v>3</v>
      </c>
      <c r="K48" s="395"/>
      <c r="L48" s="388" t="s">
        <v>63</v>
      </c>
      <c r="M48" s="395">
        <v>3.3</v>
      </c>
      <c r="N48" s="395"/>
      <c r="O48" s="388" t="s">
        <v>63</v>
      </c>
      <c r="P48" s="395">
        <v>2.9</v>
      </c>
      <c r="Q48" s="395"/>
      <c r="R48" s="389" t="s">
        <v>475</v>
      </c>
      <c r="S48" s="296">
        <v>2.7</v>
      </c>
      <c r="U48" s="389" t="s">
        <v>456</v>
      </c>
      <c r="V48" s="396">
        <v>2.79</v>
      </c>
    </row>
    <row r="49" spans="4:22" ht="13.5">
      <c r="D49" s="388"/>
      <c r="F49" s="388" t="s">
        <v>87</v>
      </c>
      <c r="G49" s="395">
        <v>2.3</v>
      </c>
      <c r="I49" s="388" t="s">
        <v>87</v>
      </c>
      <c r="J49" s="296">
        <v>2.5</v>
      </c>
      <c r="K49" s="395"/>
      <c r="L49" s="388" t="s">
        <v>87</v>
      </c>
      <c r="M49" s="395">
        <v>2.8</v>
      </c>
      <c r="N49" s="395"/>
      <c r="O49" s="388" t="s">
        <v>87</v>
      </c>
      <c r="P49" s="395">
        <v>2.4</v>
      </c>
      <c r="Q49" s="395"/>
      <c r="R49" s="389" t="s">
        <v>456</v>
      </c>
      <c r="S49" s="296">
        <v>2.7</v>
      </c>
      <c r="U49" s="389" t="s">
        <v>475</v>
      </c>
      <c r="V49" s="396">
        <v>2.46</v>
      </c>
    </row>
    <row r="50" ht="13.5">
      <c r="G50" s="397"/>
    </row>
    <row r="51" spans="1:4" ht="13.5">
      <c r="A51" s="296" t="s">
        <v>93</v>
      </c>
      <c r="B51" s="394">
        <f>C51/D51*10000</f>
        <v>4.347245171440544</v>
      </c>
      <c r="C51" s="388">
        <v>54987</v>
      </c>
      <c r="D51" s="388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25" sqref="K25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L23" sqref="L2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B1">
      <selection activeCell="L33" sqref="L3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N31" sqref="N3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BreakPreview" zoomScale="115" zoomScaleSheetLayoutView="115" workbookViewId="0" topLeftCell="A4">
      <selection activeCell="L20" sqref="L2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5" zoomScaleNormal="70" zoomScaleSheetLayoutView="85" workbookViewId="0" topLeftCell="A47">
      <selection activeCell="E35" sqref="E35"/>
    </sheetView>
  </sheetViews>
  <sheetFormatPr defaultColWidth="9.00390625" defaultRowHeight="13.5"/>
  <cols>
    <col min="1" max="3" width="9.00390625" style="296" customWidth="1"/>
    <col min="4" max="4" width="9.00390625" style="388" customWidth="1"/>
    <col min="5" max="6" width="9.00390625" style="296" customWidth="1"/>
    <col min="7" max="7" width="9.00390625" style="388" customWidth="1"/>
    <col min="8" max="16384" width="9.00390625" style="296" customWidth="1"/>
  </cols>
  <sheetData>
    <row r="1" spans="1:20" ht="13.5">
      <c r="A1" s="388"/>
      <c r="B1" s="296" t="s">
        <v>94</v>
      </c>
      <c r="E1" s="296" t="s">
        <v>94</v>
      </c>
      <c r="G1" s="296"/>
      <c r="H1" s="296" t="s">
        <v>94</v>
      </c>
      <c r="K1" s="296" t="s">
        <v>94</v>
      </c>
      <c r="N1" s="296" t="s">
        <v>94</v>
      </c>
      <c r="Q1" s="296" t="s">
        <v>94</v>
      </c>
      <c r="T1" s="296" t="s">
        <v>94</v>
      </c>
    </row>
    <row r="2" spans="1:20" ht="13.5">
      <c r="A2" s="388"/>
      <c r="B2" s="296" t="s">
        <v>34</v>
      </c>
      <c r="E2" s="296" t="s">
        <v>35</v>
      </c>
      <c r="G2" s="296"/>
      <c r="H2" s="296" t="s">
        <v>91</v>
      </c>
      <c r="K2" s="296" t="s">
        <v>37</v>
      </c>
      <c r="N2" s="296" t="s">
        <v>334</v>
      </c>
      <c r="Q2" s="296" t="s">
        <v>430</v>
      </c>
      <c r="T2" s="296" t="s">
        <v>548</v>
      </c>
    </row>
    <row r="3" spans="1:20" ht="13.5">
      <c r="A3" s="388" t="s">
        <v>39</v>
      </c>
      <c r="B3" s="296">
        <v>136</v>
      </c>
      <c r="D3" s="388" t="s">
        <v>39</v>
      </c>
      <c r="E3" s="296">
        <v>126</v>
      </c>
      <c r="G3" s="388" t="s">
        <v>39</v>
      </c>
      <c r="H3" s="296">
        <v>160</v>
      </c>
      <c r="J3" s="388" t="s">
        <v>39</v>
      </c>
      <c r="K3" s="296">
        <v>130</v>
      </c>
      <c r="M3" s="388" t="s">
        <v>39</v>
      </c>
      <c r="N3" s="296">
        <v>151</v>
      </c>
      <c r="P3" s="398" t="s">
        <v>431</v>
      </c>
      <c r="Q3" s="399">
        <v>123</v>
      </c>
      <c r="S3" s="398" t="s">
        <v>431</v>
      </c>
      <c r="T3" s="399">
        <v>141</v>
      </c>
    </row>
    <row r="4" spans="1:20" ht="13.5">
      <c r="A4" s="388" t="s">
        <v>40</v>
      </c>
      <c r="B4" s="296">
        <v>120</v>
      </c>
      <c r="D4" s="388" t="s">
        <v>40</v>
      </c>
      <c r="E4" s="296">
        <v>122</v>
      </c>
      <c r="G4" s="388" t="s">
        <v>40</v>
      </c>
      <c r="H4" s="296">
        <v>124</v>
      </c>
      <c r="J4" s="388" t="s">
        <v>43</v>
      </c>
      <c r="K4" s="296">
        <v>122</v>
      </c>
      <c r="M4" s="388" t="s">
        <v>41</v>
      </c>
      <c r="N4" s="296">
        <v>137</v>
      </c>
      <c r="P4" s="398" t="s">
        <v>438</v>
      </c>
      <c r="Q4" s="399">
        <v>107</v>
      </c>
      <c r="S4" s="389" t="s">
        <v>435</v>
      </c>
      <c r="T4" s="400">
        <v>110</v>
      </c>
    </row>
    <row r="5" spans="1:20" ht="13.5">
      <c r="A5" s="388" t="s">
        <v>42</v>
      </c>
      <c r="B5" s="296">
        <v>111</v>
      </c>
      <c r="D5" s="388" t="s">
        <v>41</v>
      </c>
      <c r="E5" s="296">
        <v>104</v>
      </c>
      <c r="G5" s="388" t="s">
        <v>42</v>
      </c>
      <c r="H5" s="296">
        <v>117</v>
      </c>
      <c r="J5" s="388" t="s">
        <v>41</v>
      </c>
      <c r="K5" s="296">
        <v>120</v>
      </c>
      <c r="M5" s="388" t="s">
        <v>40</v>
      </c>
      <c r="N5" s="296">
        <v>122</v>
      </c>
      <c r="P5" s="389" t="s">
        <v>433</v>
      </c>
      <c r="Q5" s="400">
        <v>106</v>
      </c>
      <c r="S5" s="389" t="s">
        <v>436</v>
      </c>
      <c r="T5" s="400">
        <v>109</v>
      </c>
    </row>
    <row r="6" spans="1:20" ht="13.5">
      <c r="A6" s="388" t="s">
        <v>43</v>
      </c>
      <c r="B6" s="296">
        <v>102</v>
      </c>
      <c r="D6" s="388" t="s">
        <v>42</v>
      </c>
      <c r="E6" s="296">
        <v>102</v>
      </c>
      <c r="G6" s="388" t="s">
        <v>41</v>
      </c>
      <c r="H6" s="296">
        <v>116</v>
      </c>
      <c r="J6" s="388" t="s">
        <v>46</v>
      </c>
      <c r="K6" s="296">
        <v>115</v>
      </c>
      <c r="M6" s="388" t="s">
        <v>46</v>
      </c>
      <c r="N6" s="296">
        <v>115</v>
      </c>
      <c r="P6" s="389" t="s">
        <v>435</v>
      </c>
      <c r="Q6" s="400">
        <v>101</v>
      </c>
      <c r="S6" s="389" t="s">
        <v>433</v>
      </c>
      <c r="T6" s="400">
        <v>108</v>
      </c>
    </row>
    <row r="7" spans="1:20" ht="13.5">
      <c r="A7" s="388" t="s">
        <v>44</v>
      </c>
      <c r="B7" s="296">
        <v>101</v>
      </c>
      <c r="D7" s="388" t="s">
        <v>43</v>
      </c>
      <c r="E7" s="296">
        <v>97</v>
      </c>
      <c r="G7" s="388" t="s">
        <v>44</v>
      </c>
      <c r="H7" s="296">
        <v>114</v>
      </c>
      <c r="J7" s="388" t="s">
        <v>44</v>
      </c>
      <c r="K7" s="296">
        <v>105</v>
      </c>
      <c r="M7" s="388" t="s">
        <v>44</v>
      </c>
      <c r="N7" s="296">
        <v>104</v>
      </c>
      <c r="P7" s="389" t="s">
        <v>434</v>
      </c>
      <c r="Q7" s="400">
        <v>97</v>
      </c>
      <c r="S7" s="389" t="s">
        <v>437</v>
      </c>
      <c r="T7" s="400">
        <v>97</v>
      </c>
    </row>
    <row r="8" spans="1:20" ht="13.5">
      <c r="A8" s="388" t="s">
        <v>41</v>
      </c>
      <c r="B8" s="296">
        <v>100</v>
      </c>
      <c r="D8" s="388" t="s">
        <v>44</v>
      </c>
      <c r="E8" s="296">
        <v>94</v>
      </c>
      <c r="G8" s="388" t="s">
        <v>43</v>
      </c>
      <c r="H8" s="296">
        <v>108</v>
      </c>
      <c r="J8" s="388" t="s">
        <v>40</v>
      </c>
      <c r="K8" s="296">
        <v>100</v>
      </c>
      <c r="M8" s="388" t="s">
        <v>42</v>
      </c>
      <c r="N8" s="296">
        <v>100</v>
      </c>
      <c r="P8" s="389" t="s">
        <v>432</v>
      </c>
      <c r="Q8" s="400">
        <v>92</v>
      </c>
      <c r="S8" s="389" t="s">
        <v>434</v>
      </c>
      <c r="T8" s="400">
        <v>91</v>
      </c>
    </row>
    <row r="9" spans="1:20" ht="13.5">
      <c r="A9" s="388" t="s">
        <v>46</v>
      </c>
      <c r="B9" s="296">
        <v>93</v>
      </c>
      <c r="D9" s="388" t="s">
        <v>46</v>
      </c>
      <c r="E9" s="296">
        <v>88</v>
      </c>
      <c r="G9" s="388" t="s">
        <v>47</v>
      </c>
      <c r="H9" s="296">
        <v>90</v>
      </c>
      <c r="J9" s="388" t="s">
        <v>42</v>
      </c>
      <c r="K9" s="296">
        <v>93</v>
      </c>
      <c r="M9" s="388" t="s">
        <v>43</v>
      </c>
      <c r="N9" s="296">
        <v>96</v>
      </c>
      <c r="P9" s="389" t="s">
        <v>436</v>
      </c>
      <c r="Q9" s="400">
        <v>87</v>
      </c>
      <c r="S9" s="398" t="s">
        <v>438</v>
      </c>
      <c r="T9" s="399">
        <v>88</v>
      </c>
    </row>
    <row r="10" spans="1:20" ht="13.5">
      <c r="A10" s="388" t="s">
        <v>45</v>
      </c>
      <c r="B10" s="296">
        <v>91</v>
      </c>
      <c r="D10" s="388" t="s">
        <v>47</v>
      </c>
      <c r="E10" s="296">
        <v>81</v>
      </c>
      <c r="G10" s="388" t="s">
        <v>46</v>
      </c>
      <c r="H10" s="296">
        <v>83</v>
      </c>
      <c r="J10" s="388" t="s">
        <v>45</v>
      </c>
      <c r="K10" s="296">
        <v>76</v>
      </c>
      <c r="M10" s="388" t="s">
        <v>45</v>
      </c>
      <c r="N10" s="296">
        <v>86</v>
      </c>
      <c r="P10" s="389" t="s">
        <v>439</v>
      </c>
      <c r="Q10" s="400">
        <v>78</v>
      </c>
      <c r="S10" s="389" t="s">
        <v>439</v>
      </c>
      <c r="T10" s="400">
        <v>80</v>
      </c>
    </row>
    <row r="11" spans="1:20" ht="13.5">
      <c r="A11" s="388" t="s">
        <v>47</v>
      </c>
      <c r="B11" s="296">
        <v>74</v>
      </c>
      <c r="D11" s="388" t="s">
        <v>53</v>
      </c>
      <c r="E11" s="296">
        <v>76</v>
      </c>
      <c r="G11" s="388" t="s">
        <v>45</v>
      </c>
      <c r="H11" s="296">
        <v>71</v>
      </c>
      <c r="J11" s="388" t="s">
        <v>47</v>
      </c>
      <c r="K11" s="296">
        <v>73</v>
      </c>
      <c r="M11" s="388" t="s">
        <v>49</v>
      </c>
      <c r="N11" s="296">
        <v>74</v>
      </c>
      <c r="P11" s="389" t="s">
        <v>437</v>
      </c>
      <c r="Q11" s="400">
        <v>69</v>
      </c>
      <c r="S11" s="389" t="s">
        <v>432</v>
      </c>
      <c r="T11" s="400">
        <v>77</v>
      </c>
    </row>
    <row r="12" spans="1:20" ht="13.5">
      <c r="A12" s="388" t="s">
        <v>49</v>
      </c>
      <c r="B12" s="296">
        <v>71</v>
      </c>
      <c r="D12" s="388" t="s">
        <v>60</v>
      </c>
      <c r="E12" s="296">
        <v>67</v>
      </c>
      <c r="G12" s="388" t="s">
        <v>49</v>
      </c>
      <c r="H12" s="296">
        <v>70</v>
      </c>
      <c r="J12" s="388" t="s">
        <v>49</v>
      </c>
      <c r="K12" s="296">
        <v>68</v>
      </c>
      <c r="M12" s="388" t="s">
        <v>60</v>
      </c>
      <c r="N12" s="296">
        <v>69</v>
      </c>
      <c r="P12" s="389" t="s">
        <v>440</v>
      </c>
      <c r="Q12" s="400">
        <v>66</v>
      </c>
      <c r="S12" s="389" t="s">
        <v>440</v>
      </c>
      <c r="T12" s="400">
        <v>74</v>
      </c>
    </row>
    <row r="13" spans="1:20" ht="13.5">
      <c r="A13" s="388" t="s">
        <v>48</v>
      </c>
      <c r="B13" s="296">
        <v>62</v>
      </c>
      <c r="D13" s="388" t="s">
        <v>49</v>
      </c>
      <c r="E13" s="296">
        <v>66</v>
      </c>
      <c r="G13" s="388" t="s">
        <v>52</v>
      </c>
      <c r="H13" s="296">
        <v>65</v>
      </c>
      <c r="J13" s="388" t="s">
        <v>48</v>
      </c>
      <c r="K13" s="296">
        <v>67</v>
      </c>
      <c r="M13" s="388" t="s">
        <v>47</v>
      </c>
      <c r="N13" s="296">
        <v>68</v>
      </c>
      <c r="P13" s="389" t="s">
        <v>453</v>
      </c>
      <c r="Q13" s="400">
        <v>55</v>
      </c>
      <c r="S13" s="389" t="s">
        <v>446</v>
      </c>
      <c r="T13" s="400">
        <v>65</v>
      </c>
    </row>
    <row r="14" spans="1:20" ht="13.5">
      <c r="A14" s="388" t="s">
        <v>53</v>
      </c>
      <c r="B14" s="296">
        <v>56</v>
      </c>
      <c r="D14" s="388" t="s">
        <v>45</v>
      </c>
      <c r="E14" s="296">
        <v>63</v>
      </c>
      <c r="G14" s="388" t="s">
        <v>50</v>
      </c>
      <c r="H14" s="296">
        <v>56</v>
      </c>
      <c r="J14" s="388" t="s">
        <v>53</v>
      </c>
      <c r="K14" s="296">
        <v>63</v>
      </c>
      <c r="M14" s="388" t="s">
        <v>53</v>
      </c>
      <c r="N14" s="296">
        <v>67</v>
      </c>
      <c r="P14" s="389" t="s">
        <v>448</v>
      </c>
      <c r="Q14" s="400">
        <v>55</v>
      </c>
      <c r="S14" s="389" t="s">
        <v>442</v>
      </c>
      <c r="T14" s="400">
        <v>63</v>
      </c>
    </row>
    <row r="15" spans="1:20" ht="13.5">
      <c r="A15" s="388" t="s">
        <v>55</v>
      </c>
      <c r="B15" s="296">
        <v>53</v>
      </c>
      <c r="D15" s="388" t="s">
        <v>48</v>
      </c>
      <c r="E15" s="296">
        <v>59</v>
      </c>
      <c r="G15" s="388" t="s">
        <v>55</v>
      </c>
      <c r="H15" s="296">
        <v>54</v>
      </c>
      <c r="J15" s="388" t="s">
        <v>50</v>
      </c>
      <c r="K15" s="296">
        <v>55</v>
      </c>
      <c r="M15" s="388" t="s">
        <v>48</v>
      </c>
      <c r="N15" s="296">
        <v>61</v>
      </c>
      <c r="P15" s="389" t="s">
        <v>443</v>
      </c>
      <c r="Q15" s="400">
        <v>50</v>
      </c>
      <c r="S15" s="389" t="s">
        <v>445</v>
      </c>
      <c r="T15" s="400">
        <v>57</v>
      </c>
    </row>
    <row r="16" spans="1:20" ht="13.5">
      <c r="A16" s="388" t="s">
        <v>59</v>
      </c>
      <c r="B16" s="296">
        <v>52</v>
      </c>
      <c r="D16" s="388" t="s">
        <v>64</v>
      </c>
      <c r="E16" s="296">
        <v>54</v>
      </c>
      <c r="G16" s="388" t="s">
        <v>48</v>
      </c>
      <c r="H16" s="296">
        <v>54</v>
      </c>
      <c r="J16" s="388" t="s">
        <v>60</v>
      </c>
      <c r="K16" s="296">
        <v>54</v>
      </c>
      <c r="M16" s="388" t="s">
        <v>50</v>
      </c>
      <c r="N16" s="296">
        <v>51</v>
      </c>
      <c r="P16" s="389" t="s">
        <v>446</v>
      </c>
      <c r="Q16" s="400">
        <v>47</v>
      </c>
      <c r="S16" s="389" t="s">
        <v>444</v>
      </c>
      <c r="T16" s="400">
        <v>54</v>
      </c>
    </row>
    <row r="17" spans="1:20" ht="13.5">
      <c r="A17" s="388" t="s">
        <v>50</v>
      </c>
      <c r="B17" s="296">
        <v>48</v>
      </c>
      <c r="D17" s="388" t="s">
        <v>52</v>
      </c>
      <c r="E17" s="296">
        <v>50</v>
      </c>
      <c r="G17" s="388" t="s">
        <v>58</v>
      </c>
      <c r="H17" s="296">
        <v>54</v>
      </c>
      <c r="J17" s="388" t="s">
        <v>55</v>
      </c>
      <c r="K17" s="296">
        <v>52</v>
      </c>
      <c r="M17" s="388" t="s">
        <v>52</v>
      </c>
      <c r="N17" s="296">
        <v>49</v>
      </c>
      <c r="P17" s="389" t="s">
        <v>442</v>
      </c>
      <c r="Q17" s="400">
        <v>47</v>
      </c>
      <c r="S17" s="389" t="s">
        <v>441</v>
      </c>
      <c r="T17" s="400">
        <v>54</v>
      </c>
    </row>
    <row r="18" spans="1:20" ht="13.5">
      <c r="A18" s="388" t="s">
        <v>52</v>
      </c>
      <c r="B18" s="296">
        <v>46</v>
      </c>
      <c r="D18" s="388" t="s">
        <v>55</v>
      </c>
      <c r="E18" s="296">
        <v>45</v>
      </c>
      <c r="G18" s="388" t="s">
        <v>60</v>
      </c>
      <c r="H18" s="296">
        <v>53</v>
      </c>
      <c r="J18" s="388" t="s">
        <v>54</v>
      </c>
      <c r="K18" s="296">
        <v>52</v>
      </c>
      <c r="M18" s="388" t="s">
        <v>55</v>
      </c>
      <c r="N18" s="296">
        <v>43</v>
      </c>
      <c r="P18" s="389" t="s">
        <v>460</v>
      </c>
      <c r="Q18" s="400">
        <v>45</v>
      </c>
      <c r="S18" s="389" t="s">
        <v>450</v>
      </c>
      <c r="T18" s="400">
        <v>52</v>
      </c>
    </row>
    <row r="19" spans="1:20" ht="13.5">
      <c r="A19" s="388" t="s">
        <v>56</v>
      </c>
      <c r="B19" s="296">
        <v>44</v>
      </c>
      <c r="D19" s="388" t="s">
        <v>51</v>
      </c>
      <c r="E19" s="296">
        <v>44</v>
      </c>
      <c r="G19" s="388" t="s">
        <v>64</v>
      </c>
      <c r="H19" s="296">
        <v>52</v>
      </c>
      <c r="J19" s="388" t="s">
        <v>51</v>
      </c>
      <c r="K19" s="296">
        <v>51</v>
      </c>
      <c r="M19" s="388" t="s">
        <v>56</v>
      </c>
      <c r="N19" s="296">
        <v>43</v>
      </c>
      <c r="P19" s="389" t="s">
        <v>445</v>
      </c>
      <c r="Q19" s="400">
        <v>45</v>
      </c>
      <c r="S19" s="389" t="s">
        <v>453</v>
      </c>
      <c r="T19" s="400">
        <v>48</v>
      </c>
    </row>
    <row r="20" spans="1:20" ht="13.5">
      <c r="A20" s="388" t="s">
        <v>60</v>
      </c>
      <c r="B20" s="296">
        <v>42</v>
      </c>
      <c r="D20" s="388" t="s">
        <v>50</v>
      </c>
      <c r="E20" s="296">
        <v>43</v>
      </c>
      <c r="G20" s="388" t="s">
        <v>53</v>
      </c>
      <c r="H20" s="296">
        <v>52</v>
      </c>
      <c r="J20" s="388" t="s">
        <v>56</v>
      </c>
      <c r="K20" s="296">
        <v>49</v>
      </c>
      <c r="M20" s="388" t="s">
        <v>63</v>
      </c>
      <c r="N20" s="296">
        <v>43</v>
      </c>
      <c r="P20" s="389" t="s">
        <v>444</v>
      </c>
      <c r="Q20" s="400">
        <v>44</v>
      </c>
      <c r="S20" s="389" t="s">
        <v>451</v>
      </c>
      <c r="T20" s="400">
        <v>44</v>
      </c>
    </row>
    <row r="21" spans="1:20" ht="13.5">
      <c r="A21" s="388" t="s">
        <v>58</v>
      </c>
      <c r="B21" s="296">
        <v>41</v>
      </c>
      <c r="D21" s="388" t="s">
        <v>57</v>
      </c>
      <c r="E21" s="296">
        <v>40</v>
      </c>
      <c r="G21" s="388" t="s">
        <v>59</v>
      </c>
      <c r="H21" s="296">
        <v>47</v>
      </c>
      <c r="J21" s="388" t="s">
        <v>61</v>
      </c>
      <c r="K21" s="296">
        <v>49</v>
      </c>
      <c r="M21" s="388" t="s">
        <v>64</v>
      </c>
      <c r="N21" s="296">
        <v>43</v>
      </c>
      <c r="P21" s="389" t="s">
        <v>455</v>
      </c>
      <c r="Q21" s="400">
        <v>43</v>
      </c>
      <c r="S21" s="389" t="s">
        <v>456</v>
      </c>
      <c r="T21" s="400">
        <v>43</v>
      </c>
    </row>
    <row r="22" spans="1:20" ht="13.5">
      <c r="A22" s="388" t="s">
        <v>66</v>
      </c>
      <c r="B22" s="296">
        <v>40</v>
      </c>
      <c r="D22" s="388" t="s">
        <v>70</v>
      </c>
      <c r="E22" s="296">
        <v>39</v>
      </c>
      <c r="G22" s="388" t="s">
        <v>63</v>
      </c>
      <c r="H22" s="296">
        <v>47</v>
      </c>
      <c r="J22" s="388" t="s">
        <v>52</v>
      </c>
      <c r="K22" s="296">
        <v>43</v>
      </c>
      <c r="M22" s="388" t="s">
        <v>62</v>
      </c>
      <c r="N22" s="296">
        <v>43</v>
      </c>
      <c r="P22" s="389" t="s">
        <v>450</v>
      </c>
      <c r="Q22" s="400">
        <v>40</v>
      </c>
      <c r="S22" s="389" t="s">
        <v>443</v>
      </c>
      <c r="T22" s="400">
        <v>40</v>
      </c>
    </row>
    <row r="23" spans="1:20" ht="13.5">
      <c r="A23" s="388" t="s">
        <v>64</v>
      </c>
      <c r="B23" s="296">
        <v>38</v>
      </c>
      <c r="D23" s="388" t="s">
        <v>63</v>
      </c>
      <c r="E23" s="296">
        <v>36</v>
      </c>
      <c r="G23" s="388" t="s">
        <v>54</v>
      </c>
      <c r="H23" s="296">
        <v>39</v>
      </c>
      <c r="J23" s="388" t="s">
        <v>59</v>
      </c>
      <c r="K23" s="296">
        <v>43</v>
      </c>
      <c r="M23" s="388" t="s">
        <v>75</v>
      </c>
      <c r="N23" s="296">
        <v>39</v>
      </c>
      <c r="P23" s="389" t="s">
        <v>441</v>
      </c>
      <c r="Q23" s="400">
        <v>40</v>
      </c>
      <c r="S23" s="389" t="s">
        <v>455</v>
      </c>
      <c r="T23" s="400">
        <v>40</v>
      </c>
    </row>
    <row r="24" spans="1:20" ht="13.5">
      <c r="A24" s="388" t="s">
        <v>51</v>
      </c>
      <c r="B24" s="296">
        <v>38</v>
      </c>
      <c r="D24" s="388" t="s">
        <v>58</v>
      </c>
      <c r="E24" s="296">
        <v>36</v>
      </c>
      <c r="G24" s="388" t="s">
        <v>51</v>
      </c>
      <c r="H24" s="296">
        <v>38</v>
      </c>
      <c r="J24" s="388" t="s">
        <v>63</v>
      </c>
      <c r="K24" s="296">
        <v>42</v>
      </c>
      <c r="M24" s="388" t="s">
        <v>54</v>
      </c>
      <c r="N24" s="296">
        <v>38</v>
      </c>
      <c r="P24" s="389" t="s">
        <v>447</v>
      </c>
      <c r="Q24" s="400">
        <v>39</v>
      </c>
      <c r="S24" s="389" t="s">
        <v>459</v>
      </c>
      <c r="T24" s="400">
        <v>39</v>
      </c>
    </row>
    <row r="25" spans="1:20" ht="13.5">
      <c r="A25" s="388" t="s">
        <v>63</v>
      </c>
      <c r="B25" s="296">
        <v>35</v>
      </c>
      <c r="D25" s="388" t="s">
        <v>59</v>
      </c>
      <c r="E25" s="296">
        <v>35</v>
      </c>
      <c r="G25" s="388" t="s">
        <v>71</v>
      </c>
      <c r="H25" s="296">
        <v>37</v>
      </c>
      <c r="J25" s="388" t="s">
        <v>58</v>
      </c>
      <c r="K25" s="296">
        <v>41</v>
      </c>
      <c r="M25" s="388" t="s">
        <v>66</v>
      </c>
      <c r="N25" s="296">
        <v>38</v>
      </c>
      <c r="P25" s="389" t="s">
        <v>449</v>
      </c>
      <c r="Q25" s="400">
        <v>38</v>
      </c>
      <c r="S25" s="389" t="s">
        <v>448</v>
      </c>
      <c r="T25" s="400">
        <v>38</v>
      </c>
    </row>
    <row r="26" spans="1:20" ht="13.5">
      <c r="A26" s="388" t="s">
        <v>57</v>
      </c>
      <c r="B26" s="296">
        <v>31</v>
      </c>
      <c r="D26" s="388" t="s">
        <v>65</v>
      </c>
      <c r="E26" s="296">
        <v>29</v>
      </c>
      <c r="G26" s="388" t="s">
        <v>70</v>
      </c>
      <c r="H26" s="296">
        <v>34</v>
      </c>
      <c r="J26" s="388" t="s">
        <v>75</v>
      </c>
      <c r="K26" s="296">
        <v>39</v>
      </c>
      <c r="M26" s="388" t="s">
        <v>51</v>
      </c>
      <c r="N26" s="296">
        <v>37</v>
      </c>
      <c r="P26" s="389" t="s">
        <v>467</v>
      </c>
      <c r="Q26" s="400">
        <v>35</v>
      </c>
      <c r="S26" s="389" t="s">
        <v>447</v>
      </c>
      <c r="T26" s="400">
        <v>38</v>
      </c>
    </row>
    <row r="27" spans="1:20" ht="13.5">
      <c r="A27" s="388" t="s">
        <v>75</v>
      </c>
      <c r="B27" s="296">
        <v>30</v>
      </c>
      <c r="D27" s="388" t="s">
        <v>66</v>
      </c>
      <c r="E27" s="296">
        <v>27</v>
      </c>
      <c r="G27" s="388" t="s">
        <v>62</v>
      </c>
      <c r="H27" s="296">
        <v>30</v>
      </c>
      <c r="J27" s="388" t="s">
        <v>64</v>
      </c>
      <c r="K27" s="296">
        <v>36</v>
      </c>
      <c r="M27" s="388" t="s">
        <v>57</v>
      </c>
      <c r="N27" s="296">
        <v>36</v>
      </c>
      <c r="P27" s="389" t="s">
        <v>459</v>
      </c>
      <c r="Q27" s="400">
        <v>33</v>
      </c>
      <c r="S27" s="46" t="s">
        <v>457</v>
      </c>
      <c r="T27" s="400">
        <v>36</v>
      </c>
    </row>
    <row r="28" spans="1:20" ht="13.5">
      <c r="A28" s="388" t="s">
        <v>70</v>
      </c>
      <c r="B28" s="296">
        <v>29</v>
      </c>
      <c r="D28" s="388" t="s">
        <v>69</v>
      </c>
      <c r="E28" s="296">
        <v>26</v>
      </c>
      <c r="G28" s="388" t="s">
        <v>57</v>
      </c>
      <c r="H28" s="296">
        <v>29</v>
      </c>
      <c r="J28" s="388" t="s">
        <v>70</v>
      </c>
      <c r="K28" s="296">
        <v>35</v>
      </c>
      <c r="M28" s="388" t="s">
        <v>59</v>
      </c>
      <c r="N28" s="296">
        <v>34</v>
      </c>
      <c r="P28" s="389" t="s">
        <v>451</v>
      </c>
      <c r="Q28" s="400">
        <v>32</v>
      </c>
      <c r="S28" s="389" t="s">
        <v>452</v>
      </c>
      <c r="T28" s="400">
        <v>35</v>
      </c>
    </row>
    <row r="29" spans="1:20" ht="13.5">
      <c r="A29" s="388" t="s">
        <v>74</v>
      </c>
      <c r="B29" s="296">
        <v>29</v>
      </c>
      <c r="D29" s="388" t="s">
        <v>56</v>
      </c>
      <c r="E29" s="296">
        <v>26</v>
      </c>
      <c r="G29" s="388" t="s">
        <v>56</v>
      </c>
      <c r="H29" s="296">
        <v>29</v>
      </c>
      <c r="J29" s="388" t="s">
        <v>57</v>
      </c>
      <c r="K29" s="296">
        <v>35</v>
      </c>
      <c r="M29" s="388" t="s">
        <v>74</v>
      </c>
      <c r="N29" s="296">
        <v>34</v>
      </c>
      <c r="P29" s="389" t="s">
        <v>457</v>
      </c>
      <c r="Q29" s="400">
        <v>31</v>
      </c>
      <c r="S29" s="389" t="s">
        <v>467</v>
      </c>
      <c r="T29" s="400">
        <v>34</v>
      </c>
    </row>
    <row r="30" spans="1:20" ht="13.5">
      <c r="A30" s="388" t="s">
        <v>54</v>
      </c>
      <c r="B30" s="296">
        <v>29</v>
      </c>
      <c r="D30" s="388" t="s">
        <v>76</v>
      </c>
      <c r="E30" s="296">
        <v>25</v>
      </c>
      <c r="G30" s="388" t="s">
        <v>74</v>
      </c>
      <c r="H30" s="296">
        <v>28</v>
      </c>
      <c r="J30" s="388" t="s">
        <v>66</v>
      </c>
      <c r="K30" s="296">
        <v>34</v>
      </c>
      <c r="M30" s="388" t="s">
        <v>58</v>
      </c>
      <c r="N30" s="296">
        <v>33</v>
      </c>
      <c r="P30" s="389" t="s">
        <v>452</v>
      </c>
      <c r="Q30" s="400">
        <v>31</v>
      </c>
      <c r="S30" s="389" t="s">
        <v>449</v>
      </c>
      <c r="T30" s="400">
        <v>32</v>
      </c>
    </row>
    <row r="31" spans="1:20" ht="13.5">
      <c r="A31" s="388" t="s">
        <v>61</v>
      </c>
      <c r="B31" s="296">
        <v>28</v>
      </c>
      <c r="D31" s="388" t="s">
        <v>77</v>
      </c>
      <c r="E31" s="296">
        <v>25</v>
      </c>
      <c r="G31" s="388" t="s">
        <v>75</v>
      </c>
      <c r="H31" s="296">
        <v>25</v>
      </c>
      <c r="J31" s="388" t="s">
        <v>62</v>
      </c>
      <c r="K31" s="296">
        <v>33</v>
      </c>
      <c r="M31" s="388" t="s">
        <v>61</v>
      </c>
      <c r="N31" s="296">
        <v>31</v>
      </c>
      <c r="P31" s="389" t="s">
        <v>466</v>
      </c>
      <c r="Q31" s="400">
        <v>30</v>
      </c>
      <c r="S31" s="389" t="s">
        <v>460</v>
      </c>
      <c r="T31" s="400">
        <v>31</v>
      </c>
    </row>
    <row r="32" spans="1:20" ht="13.5">
      <c r="A32" s="388" t="s">
        <v>62</v>
      </c>
      <c r="B32" s="296">
        <v>27</v>
      </c>
      <c r="D32" s="388" t="s">
        <v>82</v>
      </c>
      <c r="E32" s="296">
        <v>23</v>
      </c>
      <c r="G32" s="388" t="s">
        <v>87</v>
      </c>
      <c r="H32" s="296">
        <v>25</v>
      </c>
      <c r="J32" s="388" t="s">
        <v>71</v>
      </c>
      <c r="K32" s="296">
        <v>31</v>
      </c>
      <c r="M32" s="388" t="s">
        <v>70</v>
      </c>
      <c r="N32" s="296">
        <v>27</v>
      </c>
      <c r="P32" s="389" t="s">
        <v>454</v>
      </c>
      <c r="Q32" s="400">
        <v>27</v>
      </c>
      <c r="S32" s="389" t="s">
        <v>466</v>
      </c>
      <c r="T32" s="400">
        <v>31</v>
      </c>
    </row>
    <row r="33" spans="1:20" ht="13.5">
      <c r="A33" s="388" t="s">
        <v>87</v>
      </c>
      <c r="B33" s="296">
        <v>26</v>
      </c>
      <c r="D33" s="388" t="s">
        <v>62</v>
      </c>
      <c r="E33" s="296">
        <v>23</v>
      </c>
      <c r="G33" s="388" t="s">
        <v>65</v>
      </c>
      <c r="H33" s="296">
        <v>24</v>
      </c>
      <c r="J33" s="388" t="s">
        <v>65</v>
      </c>
      <c r="K33" s="296">
        <v>30</v>
      </c>
      <c r="M33" s="388" t="s">
        <v>69</v>
      </c>
      <c r="N33" s="296">
        <v>27</v>
      </c>
      <c r="P33" s="389" t="s">
        <v>470</v>
      </c>
      <c r="Q33" s="400">
        <v>24</v>
      </c>
      <c r="S33" s="389" t="s">
        <v>463</v>
      </c>
      <c r="T33" s="400">
        <v>28</v>
      </c>
    </row>
    <row r="34" spans="1:20" ht="13.5">
      <c r="A34" s="388" t="s">
        <v>69</v>
      </c>
      <c r="B34" s="296">
        <v>25</v>
      </c>
      <c r="D34" s="388" t="s">
        <v>80</v>
      </c>
      <c r="E34" s="296">
        <v>23</v>
      </c>
      <c r="G34" s="388" t="s">
        <v>76</v>
      </c>
      <c r="H34" s="296">
        <v>23</v>
      </c>
      <c r="J34" s="388" t="s">
        <v>74</v>
      </c>
      <c r="K34" s="296">
        <v>27</v>
      </c>
      <c r="M34" s="388" t="s">
        <v>67</v>
      </c>
      <c r="N34" s="296">
        <v>25</v>
      </c>
      <c r="P34" s="389" t="s">
        <v>458</v>
      </c>
      <c r="Q34" s="400">
        <v>24</v>
      </c>
      <c r="S34" s="389" t="s">
        <v>468</v>
      </c>
      <c r="T34" s="400">
        <v>27</v>
      </c>
    </row>
    <row r="35" spans="1:20" ht="13.5">
      <c r="A35" s="388" t="s">
        <v>77</v>
      </c>
      <c r="B35" s="296">
        <v>24</v>
      </c>
      <c r="D35" s="388" t="s">
        <v>54</v>
      </c>
      <c r="E35" s="296">
        <v>22</v>
      </c>
      <c r="G35" s="388" t="s">
        <v>66</v>
      </c>
      <c r="H35" s="296">
        <v>22</v>
      </c>
      <c r="J35" s="388" t="s">
        <v>69</v>
      </c>
      <c r="K35" s="296">
        <v>26</v>
      </c>
      <c r="M35" s="388" t="s">
        <v>72</v>
      </c>
      <c r="N35" s="296">
        <v>24</v>
      </c>
      <c r="P35" s="389" t="s">
        <v>456</v>
      </c>
      <c r="Q35" s="400">
        <v>22</v>
      </c>
      <c r="S35" s="389" t="s">
        <v>470</v>
      </c>
      <c r="T35" s="400">
        <v>26</v>
      </c>
    </row>
    <row r="36" spans="1:20" ht="13.5">
      <c r="A36" s="388" t="s">
        <v>65</v>
      </c>
      <c r="B36" s="296">
        <v>22</v>
      </c>
      <c r="D36" s="388" t="s">
        <v>75</v>
      </c>
      <c r="E36" s="296">
        <v>21</v>
      </c>
      <c r="G36" s="388" t="s">
        <v>82</v>
      </c>
      <c r="H36" s="296">
        <v>22</v>
      </c>
      <c r="J36" s="388" t="s">
        <v>76</v>
      </c>
      <c r="K36" s="296">
        <v>25</v>
      </c>
      <c r="M36" s="388" t="s">
        <v>71</v>
      </c>
      <c r="N36" s="296">
        <v>23</v>
      </c>
      <c r="P36" s="389" t="s">
        <v>475</v>
      </c>
      <c r="Q36" s="400">
        <v>21</v>
      </c>
      <c r="S36" s="389" t="s">
        <v>461</v>
      </c>
      <c r="T36" s="400">
        <v>26</v>
      </c>
    </row>
    <row r="37" spans="1:20" ht="13.5">
      <c r="A37" s="388" t="s">
        <v>81</v>
      </c>
      <c r="B37" s="296">
        <v>21</v>
      </c>
      <c r="D37" s="388" t="s">
        <v>87</v>
      </c>
      <c r="E37" s="296">
        <v>21</v>
      </c>
      <c r="G37" s="388" t="s">
        <v>61</v>
      </c>
      <c r="H37" s="296">
        <v>21</v>
      </c>
      <c r="J37" s="388" t="s">
        <v>72</v>
      </c>
      <c r="K37" s="296">
        <v>24</v>
      </c>
      <c r="M37" s="388" t="s">
        <v>73</v>
      </c>
      <c r="N37" s="296">
        <v>23</v>
      </c>
      <c r="P37" s="389" t="s">
        <v>461</v>
      </c>
      <c r="Q37" s="400">
        <v>21</v>
      </c>
      <c r="S37" s="389" t="s">
        <v>465</v>
      </c>
      <c r="T37" s="400">
        <v>26</v>
      </c>
    </row>
    <row r="38" spans="1:20" ht="13.5">
      <c r="A38" s="388" t="s">
        <v>71</v>
      </c>
      <c r="B38" s="296">
        <v>21</v>
      </c>
      <c r="D38" s="388" t="s">
        <v>72</v>
      </c>
      <c r="E38" s="296">
        <v>21</v>
      </c>
      <c r="G38" s="388" t="s">
        <v>83</v>
      </c>
      <c r="H38" s="296">
        <v>20</v>
      </c>
      <c r="J38" s="388" t="s">
        <v>87</v>
      </c>
      <c r="K38" s="296">
        <v>21</v>
      </c>
      <c r="M38" s="388" t="s">
        <v>77</v>
      </c>
      <c r="N38" s="296">
        <v>22</v>
      </c>
      <c r="P38" s="389" t="s">
        <v>462</v>
      </c>
      <c r="Q38" s="400">
        <v>20</v>
      </c>
      <c r="S38" s="389" t="s">
        <v>454</v>
      </c>
      <c r="T38" s="400">
        <v>25</v>
      </c>
    </row>
    <row r="39" spans="1:20" ht="13.5">
      <c r="A39" s="388" t="s">
        <v>76</v>
      </c>
      <c r="B39" s="296">
        <v>20</v>
      </c>
      <c r="D39" s="388" t="s">
        <v>51</v>
      </c>
      <c r="E39" s="296">
        <v>21</v>
      </c>
      <c r="G39" s="388" t="s">
        <v>67</v>
      </c>
      <c r="H39" s="296">
        <v>19</v>
      </c>
      <c r="J39" s="388" t="s">
        <v>80</v>
      </c>
      <c r="K39" s="296">
        <v>19</v>
      </c>
      <c r="M39" s="388" t="s">
        <v>79</v>
      </c>
      <c r="N39" s="296">
        <v>21</v>
      </c>
      <c r="P39" s="389" t="s">
        <v>474</v>
      </c>
      <c r="Q39" s="400">
        <v>18</v>
      </c>
      <c r="S39" s="389" t="s">
        <v>469</v>
      </c>
      <c r="T39" s="400">
        <v>22</v>
      </c>
    </row>
    <row r="40" spans="1:20" ht="13.5">
      <c r="A40" s="388" t="s">
        <v>84</v>
      </c>
      <c r="B40" s="296">
        <v>20</v>
      </c>
      <c r="D40" s="388" t="s">
        <v>61</v>
      </c>
      <c r="E40" s="296">
        <v>19</v>
      </c>
      <c r="G40" s="388" t="s">
        <v>73</v>
      </c>
      <c r="H40" s="296">
        <v>19</v>
      </c>
      <c r="J40" s="388" t="s">
        <v>79</v>
      </c>
      <c r="K40" s="296">
        <v>19</v>
      </c>
      <c r="M40" s="388" t="s">
        <v>83</v>
      </c>
      <c r="N40" s="296">
        <v>21</v>
      </c>
      <c r="P40" s="389" t="s">
        <v>465</v>
      </c>
      <c r="Q40" s="400">
        <v>16</v>
      </c>
      <c r="S40" s="389" t="s">
        <v>473</v>
      </c>
      <c r="T40" s="400">
        <v>21</v>
      </c>
    </row>
    <row r="41" spans="1:20" ht="13.5">
      <c r="A41" s="388" t="s">
        <v>80</v>
      </c>
      <c r="B41" s="296">
        <v>20</v>
      </c>
      <c r="D41" s="388" t="s">
        <v>74</v>
      </c>
      <c r="E41" s="296">
        <v>18</v>
      </c>
      <c r="G41" s="388" t="s">
        <v>77</v>
      </c>
      <c r="H41" s="296">
        <v>18</v>
      </c>
      <c r="J41" s="388" t="s">
        <v>85</v>
      </c>
      <c r="K41" s="296">
        <v>19</v>
      </c>
      <c r="M41" s="388" t="s">
        <v>65</v>
      </c>
      <c r="N41" s="296">
        <v>20</v>
      </c>
      <c r="P41" s="389" t="s">
        <v>469</v>
      </c>
      <c r="Q41" s="400">
        <v>16</v>
      </c>
      <c r="S41" s="389" t="s">
        <v>475</v>
      </c>
      <c r="T41" s="400">
        <v>19</v>
      </c>
    </row>
    <row r="42" spans="1:20" ht="13.5">
      <c r="A42" s="388" t="s">
        <v>51</v>
      </c>
      <c r="B42" s="296">
        <v>18</v>
      </c>
      <c r="D42" s="388" t="s">
        <v>83</v>
      </c>
      <c r="E42" s="296">
        <v>18</v>
      </c>
      <c r="G42" s="388" t="s">
        <v>84</v>
      </c>
      <c r="H42" s="296">
        <v>16</v>
      </c>
      <c r="J42" s="388" t="s">
        <v>77</v>
      </c>
      <c r="K42" s="296">
        <v>17</v>
      </c>
      <c r="M42" s="388" t="s">
        <v>80</v>
      </c>
      <c r="N42" s="296">
        <v>20</v>
      </c>
      <c r="P42" s="389" t="s">
        <v>468</v>
      </c>
      <c r="Q42" s="400">
        <v>15</v>
      </c>
      <c r="S42" s="389" t="s">
        <v>472</v>
      </c>
      <c r="T42" s="400">
        <v>19</v>
      </c>
    </row>
    <row r="43" spans="1:20" ht="13.5">
      <c r="A43" s="388" t="s">
        <v>83</v>
      </c>
      <c r="B43" s="296">
        <v>17</v>
      </c>
      <c r="D43" s="388" t="s">
        <v>79</v>
      </c>
      <c r="E43" s="296">
        <v>16</v>
      </c>
      <c r="G43" s="388" t="s">
        <v>80</v>
      </c>
      <c r="H43" s="296">
        <v>16</v>
      </c>
      <c r="J43" s="388" t="s">
        <v>84</v>
      </c>
      <c r="K43" s="296">
        <v>16</v>
      </c>
      <c r="M43" s="388" t="s">
        <v>85</v>
      </c>
      <c r="N43" s="296">
        <v>20</v>
      </c>
      <c r="P43" s="389" t="s">
        <v>476</v>
      </c>
      <c r="Q43" s="400">
        <v>14</v>
      </c>
      <c r="S43" s="389" t="s">
        <v>458</v>
      </c>
      <c r="T43" s="400">
        <v>18</v>
      </c>
    </row>
    <row r="44" spans="1:20" ht="13.5">
      <c r="A44" s="388" t="s">
        <v>86</v>
      </c>
      <c r="B44" s="296">
        <v>17</v>
      </c>
      <c r="D44" s="388" t="s">
        <v>71</v>
      </c>
      <c r="E44" s="296">
        <v>16</v>
      </c>
      <c r="G44" s="388" t="s">
        <v>81</v>
      </c>
      <c r="H44" s="296">
        <v>15</v>
      </c>
      <c r="J44" s="388" t="s">
        <v>82</v>
      </c>
      <c r="K44" s="296">
        <v>15</v>
      </c>
      <c r="M44" s="388" t="s">
        <v>82</v>
      </c>
      <c r="N44" s="296">
        <v>20</v>
      </c>
      <c r="P44" s="389" t="s">
        <v>472</v>
      </c>
      <c r="Q44" s="400">
        <v>14</v>
      </c>
      <c r="S44" s="389" t="s">
        <v>462</v>
      </c>
      <c r="T44" s="400">
        <v>18</v>
      </c>
    </row>
    <row r="45" spans="1:20" ht="13.5">
      <c r="A45" s="388" t="s">
        <v>72</v>
      </c>
      <c r="B45" s="296">
        <v>17</v>
      </c>
      <c r="D45" s="388" t="s">
        <v>67</v>
      </c>
      <c r="E45" s="296">
        <v>14</v>
      </c>
      <c r="G45" s="388" t="s">
        <v>69</v>
      </c>
      <c r="H45" s="296">
        <v>13</v>
      </c>
      <c r="J45" s="388" t="s">
        <v>67</v>
      </c>
      <c r="K45" s="296">
        <v>15</v>
      </c>
      <c r="M45" s="388" t="s">
        <v>87</v>
      </c>
      <c r="N45" s="296">
        <v>19</v>
      </c>
      <c r="P45" s="389" t="s">
        <v>464</v>
      </c>
      <c r="Q45" s="400">
        <v>13</v>
      </c>
      <c r="S45" s="389" t="s">
        <v>471</v>
      </c>
      <c r="T45" s="400">
        <v>18</v>
      </c>
    </row>
    <row r="46" spans="1:20" ht="13.5">
      <c r="A46" s="388" t="s">
        <v>82</v>
      </c>
      <c r="B46" s="296">
        <v>17</v>
      </c>
      <c r="D46" s="388" t="s">
        <v>81</v>
      </c>
      <c r="E46" s="296">
        <v>14</v>
      </c>
      <c r="G46" s="388" t="s">
        <v>86</v>
      </c>
      <c r="H46" s="296">
        <v>11</v>
      </c>
      <c r="J46" s="388" t="s">
        <v>73</v>
      </c>
      <c r="K46" s="296">
        <v>15</v>
      </c>
      <c r="M46" s="388" t="s">
        <v>81</v>
      </c>
      <c r="N46" s="296">
        <v>17</v>
      </c>
      <c r="P46" s="389" t="s">
        <v>473</v>
      </c>
      <c r="Q46" s="400">
        <v>9</v>
      </c>
      <c r="S46" s="389" t="s">
        <v>474</v>
      </c>
      <c r="T46" s="400">
        <v>17</v>
      </c>
    </row>
    <row r="47" spans="1:20" ht="13.5">
      <c r="A47" s="388" t="s">
        <v>67</v>
      </c>
      <c r="B47" s="296">
        <v>16</v>
      </c>
      <c r="D47" s="388" t="s">
        <v>85</v>
      </c>
      <c r="E47" s="296">
        <v>10</v>
      </c>
      <c r="G47" s="388" t="s">
        <v>72</v>
      </c>
      <c r="H47" s="296">
        <v>11</v>
      </c>
      <c r="J47" s="388" t="s">
        <v>81</v>
      </c>
      <c r="K47" s="296">
        <v>13</v>
      </c>
      <c r="M47" s="388" t="s">
        <v>76</v>
      </c>
      <c r="N47" s="296">
        <v>16</v>
      </c>
      <c r="P47" s="389" t="s">
        <v>463</v>
      </c>
      <c r="Q47" s="400">
        <v>9</v>
      </c>
      <c r="S47" s="389" t="s">
        <v>464</v>
      </c>
      <c r="T47" s="400">
        <v>15</v>
      </c>
    </row>
    <row r="48" spans="1:20" ht="13.5">
      <c r="A48" s="388" t="s">
        <v>79</v>
      </c>
      <c r="B48" s="296">
        <v>13</v>
      </c>
      <c r="D48" s="388" t="s">
        <v>86</v>
      </c>
      <c r="E48" s="296">
        <v>8</v>
      </c>
      <c r="G48" s="388" t="s">
        <v>79</v>
      </c>
      <c r="H48" s="296">
        <v>11</v>
      </c>
      <c r="J48" s="388" t="s">
        <v>86</v>
      </c>
      <c r="K48" s="296">
        <v>13</v>
      </c>
      <c r="M48" s="388" t="s">
        <v>84</v>
      </c>
      <c r="N48" s="296">
        <v>13</v>
      </c>
      <c r="P48" s="389" t="s">
        <v>471</v>
      </c>
      <c r="Q48" s="400">
        <v>8</v>
      </c>
      <c r="S48" s="389" t="s">
        <v>477</v>
      </c>
      <c r="T48" s="400">
        <v>11</v>
      </c>
    </row>
    <row r="49" spans="1:20" ht="13.5">
      <c r="A49" s="388" t="s">
        <v>85</v>
      </c>
      <c r="B49" s="296">
        <v>12</v>
      </c>
      <c r="D49" s="388" t="s">
        <v>84</v>
      </c>
      <c r="E49" s="296">
        <v>7</v>
      </c>
      <c r="G49" s="388" t="s">
        <v>85</v>
      </c>
      <c r="H49" s="296">
        <v>8</v>
      </c>
      <c r="J49" s="388" t="s">
        <v>83</v>
      </c>
      <c r="K49" s="296">
        <v>12</v>
      </c>
      <c r="M49" s="388" t="s">
        <v>86</v>
      </c>
      <c r="N49" s="296">
        <v>11</v>
      </c>
      <c r="P49" s="389" t="s">
        <v>477</v>
      </c>
      <c r="Q49" s="400">
        <v>7</v>
      </c>
      <c r="S49" s="389" t="s">
        <v>476</v>
      </c>
      <c r="T49" s="400">
        <v>10</v>
      </c>
    </row>
    <row r="50" ht="13.5">
      <c r="Q50" s="401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85" zoomScaleSheetLayoutView="100" workbookViewId="0" topLeftCell="A54">
      <selection activeCell="C83" sqref="C83"/>
    </sheetView>
  </sheetViews>
  <sheetFormatPr defaultColWidth="9.00390625" defaultRowHeight="13.5"/>
  <cols>
    <col min="1" max="1" width="9.00390625" style="388" customWidth="1"/>
    <col min="2" max="16384" width="9.00390625" style="296" customWidth="1"/>
  </cols>
  <sheetData>
    <row r="1" spans="1:14" ht="13.5">
      <c r="A1" s="296"/>
      <c r="B1" s="296" t="s">
        <v>91</v>
      </c>
      <c r="E1" s="296" t="s">
        <v>37</v>
      </c>
      <c r="H1" s="296" t="s">
        <v>334</v>
      </c>
      <c r="K1" s="296" t="s">
        <v>430</v>
      </c>
      <c r="N1" s="296" t="s">
        <v>548</v>
      </c>
    </row>
    <row r="2" spans="1:14" ht="13.5">
      <c r="A2" s="296"/>
      <c r="B2" s="296" t="s">
        <v>95</v>
      </c>
      <c r="E2" s="296" t="s">
        <v>95</v>
      </c>
      <c r="H2" s="296" t="s">
        <v>95</v>
      </c>
      <c r="K2" s="296" t="s">
        <v>95</v>
      </c>
      <c r="N2" s="296" t="s">
        <v>95</v>
      </c>
    </row>
    <row r="3" spans="1:14" ht="13.5">
      <c r="A3" s="388" t="s">
        <v>64</v>
      </c>
      <c r="B3" s="296">
        <v>3.47</v>
      </c>
      <c r="D3" s="388" t="s">
        <v>75</v>
      </c>
      <c r="E3" s="296">
        <v>3.28</v>
      </c>
      <c r="F3" s="402"/>
      <c r="G3" s="388" t="s">
        <v>75</v>
      </c>
      <c r="H3" s="402">
        <v>3.3</v>
      </c>
      <c r="I3" s="402"/>
      <c r="J3" s="389" t="s">
        <v>460</v>
      </c>
      <c r="K3" s="380">
        <v>3.2</v>
      </c>
      <c r="M3" s="389" t="s">
        <v>468</v>
      </c>
      <c r="N3" s="403">
        <v>3.36</v>
      </c>
    </row>
    <row r="4" spans="1:14" ht="13.5">
      <c r="A4" s="388" t="s">
        <v>52</v>
      </c>
      <c r="B4" s="296">
        <v>3.24</v>
      </c>
      <c r="D4" s="388" t="s">
        <v>61</v>
      </c>
      <c r="E4" s="296">
        <v>3.22</v>
      </c>
      <c r="F4" s="402"/>
      <c r="G4" s="388" t="s">
        <v>85</v>
      </c>
      <c r="H4" s="402">
        <v>3.25</v>
      </c>
      <c r="I4" s="402"/>
      <c r="J4" s="389" t="s">
        <v>467</v>
      </c>
      <c r="K4" s="380">
        <v>2.98</v>
      </c>
      <c r="M4" s="389" t="s">
        <v>446</v>
      </c>
      <c r="N4" s="403">
        <v>3.24</v>
      </c>
    </row>
    <row r="5" spans="1:14" ht="13.5">
      <c r="A5" s="388" t="s">
        <v>71</v>
      </c>
      <c r="B5" s="402">
        <v>3</v>
      </c>
      <c r="D5" s="388" t="s">
        <v>85</v>
      </c>
      <c r="E5" s="296">
        <v>3.08</v>
      </c>
      <c r="F5" s="402"/>
      <c r="G5" s="388" t="s">
        <v>53</v>
      </c>
      <c r="H5" s="402">
        <v>3.16</v>
      </c>
      <c r="I5" s="402"/>
      <c r="J5" s="389" t="s">
        <v>455</v>
      </c>
      <c r="K5" s="380">
        <v>2.91</v>
      </c>
      <c r="M5" s="389" t="s">
        <v>477</v>
      </c>
      <c r="N5" s="403">
        <v>3.1</v>
      </c>
    </row>
    <row r="6" spans="1:14" ht="13.5">
      <c r="A6" s="388" t="s">
        <v>58</v>
      </c>
      <c r="B6" s="296">
        <v>2.76</v>
      </c>
      <c r="D6" s="388" t="s">
        <v>53</v>
      </c>
      <c r="E6" s="296">
        <v>2.96</v>
      </c>
      <c r="F6" s="402"/>
      <c r="G6" s="388" t="s">
        <v>64</v>
      </c>
      <c r="H6" s="402">
        <v>2.89</v>
      </c>
      <c r="I6" s="402"/>
      <c r="J6" s="389" t="s">
        <v>448</v>
      </c>
      <c r="K6" s="380">
        <v>2.61</v>
      </c>
      <c r="M6" s="389" t="s">
        <v>444</v>
      </c>
      <c r="N6" s="403">
        <v>3.06</v>
      </c>
    </row>
    <row r="7" spans="1:14" ht="13.5">
      <c r="A7" s="388" t="s">
        <v>82</v>
      </c>
      <c r="B7" s="296">
        <v>2.69</v>
      </c>
      <c r="D7" s="388" t="s">
        <v>56</v>
      </c>
      <c r="E7" s="296">
        <v>2.75</v>
      </c>
      <c r="F7" s="402"/>
      <c r="G7" s="388" t="s">
        <v>60</v>
      </c>
      <c r="H7" s="402">
        <v>2.8</v>
      </c>
      <c r="I7" s="402"/>
      <c r="J7" s="389" t="s">
        <v>444</v>
      </c>
      <c r="K7" s="380">
        <v>2.49</v>
      </c>
      <c r="M7" s="389" t="s">
        <v>467</v>
      </c>
      <c r="N7" s="403">
        <v>2.92</v>
      </c>
    </row>
    <row r="8" spans="1:14" ht="13.5">
      <c r="A8" s="388" t="s">
        <v>55</v>
      </c>
      <c r="B8" s="296">
        <v>2.45</v>
      </c>
      <c r="D8" s="388" t="s">
        <v>72</v>
      </c>
      <c r="E8" s="296">
        <v>2.71</v>
      </c>
      <c r="F8" s="402"/>
      <c r="G8" s="388" t="s">
        <v>79</v>
      </c>
      <c r="H8" s="402">
        <v>2.77</v>
      </c>
      <c r="I8" s="402"/>
      <c r="J8" s="389" t="s">
        <v>466</v>
      </c>
      <c r="K8" s="380">
        <v>2.45</v>
      </c>
      <c r="M8" s="389" t="s">
        <v>455</v>
      </c>
      <c r="N8" s="403">
        <v>2.72</v>
      </c>
    </row>
    <row r="9" spans="1:14" ht="13.5">
      <c r="A9" s="388" t="s">
        <v>53</v>
      </c>
      <c r="B9" s="296">
        <v>2.44</v>
      </c>
      <c r="D9" s="388" t="s">
        <v>71</v>
      </c>
      <c r="E9" s="296">
        <v>2.52</v>
      </c>
      <c r="F9" s="402"/>
      <c r="G9" s="388" t="s">
        <v>74</v>
      </c>
      <c r="H9" s="402">
        <v>2.76</v>
      </c>
      <c r="I9" s="402"/>
      <c r="J9" s="389" t="s">
        <v>446</v>
      </c>
      <c r="K9" s="380">
        <v>2.34</v>
      </c>
      <c r="M9" s="389" t="s">
        <v>445</v>
      </c>
      <c r="N9" s="403">
        <v>2.7</v>
      </c>
    </row>
    <row r="10" spans="1:14" ht="13.5">
      <c r="A10" s="388" t="s">
        <v>70</v>
      </c>
      <c r="B10" s="296">
        <v>2.39</v>
      </c>
      <c r="D10" s="388" t="s">
        <v>79</v>
      </c>
      <c r="E10" s="296">
        <v>2.5</v>
      </c>
      <c r="F10" s="402"/>
      <c r="G10" s="388" t="s">
        <v>72</v>
      </c>
      <c r="H10" s="402">
        <v>2.71</v>
      </c>
      <c r="I10" s="402"/>
      <c r="J10" s="389" t="s">
        <v>470</v>
      </c>
      <c r="K10" s="380">
        <v>2.33</v>
      </c>
      <c r="M10" s="389" t="s">
        <v>459</v>
      </c>
      <c r="N10" s="403">
        <v>2.62</v>
      </c>
    </row>
    <row r="11" spans="1:14" ht="13.5">
      <c r="A11" s="388" t="s">
        <v>49</v>
      </c>
      <c r="B11" s="296">
        <v>2.34</v>
      </c>
      <c r="D11" s="388" t="s">
        <v>70</v>
      </c>
      <c r="E11" s="296">
        <v>2.47</v>
      </c>
      <c r="F11" s="402"/>
      <c r="G11" s="388" t="s">
        <v>66</v>
      </c>
      <c r="H11" s="402">
        <v>2.53</v>
      </c>
      <c r="I11" s="402"/>
      <c r="J11" s="389" t="s">
        <v>462</v>
      </c>
      <c r="K11" s="380">
        <v>2.27</v>
      </c>
      <c r="M11" s="389" t="s">
        <v>466</v>
      </c>
      <c r="N11" s="403">
        <v>2.54</v>
      </c>
    </row>
    <row r="12" spans="1:14" ht="13.5">
      <c r="A12" s="388" t="s">
        <v>59</v>
      </c>
      <c r="B12" s="296">
        <v>2.33</v>
      </c>
      <c r="D12" s="388" t="s">
        <v>54</v>
      </c>
      <c r="E12" s="296">
        <v>2.47</v>
      </c>
      <c r="F12" s="402"/>
      <c r="G12" s="388" t="s">
        <v>82</v>
      </c>
      <c r="H12" s="402">
        <v>2.46</v>
      </c>
      <c r="I12" s="402"/>
      <c r="J12" s="389" t="s">
        <v>453</v>
      </c>
      <c r="K12" s="380">
        <v>2.24</v>
      </c>
      <c r="M12" s="389" t="s">
        <v>470</v>
      </c>
      <c r="N12" s="403">
        <v>2.53</v>
      </c>
    </row>
    <row r="13" spans="1:14" ht="13.5">
      <c r="A13" s="388" t="s">
        <v>74</v>
      </c>
      <c r="B13" s="296">
        <v>2.26</v>
      </c>
      <c r="D13" s="388" t="s">
        <v>64</v>
      </c>
      <c r="E13" s="296">
        <v>2.41</v>
      </c>
      <c r="F13" s="402"/>
      <c r="G13" s="388" t="s">
        <v>49</v>
      </c>
      <c r="H13" s="402">
        <v>2.44</v>
      </c>
      <c r="I13" s="402"/>
      <c r="J13" s="389" t="s">
        <v>440</v>
      </c>
      <c r="K13" s="380">
        <v>2.21</v>
      </c>
      <c r="M13" s="389" t="s">
        <v>440</v>
      </c>
      <c r="N13" s="403">
        <v>2.48</v>
      </c>
    </row>
    <row r="14" spans="1:14" ht="13.5">
      <c r="A14" s="388" t="s">
        <v>87</v>
      </c>
      <c r="B14" s="296">
        <v>2.22</v>
      </c>
      <c r="D14" s="388" t="s">
        <v>55</v>
      </c>
      <c r="E14" s="296">
        <v>2.36</v>
      </c>
      <c r="F14" s="402"/>
      <c r="G14" s="388" t="s">
        <v>52</v>
      </c>
      <c r="H14" s="402">
        <v>2.44</v>
      </c>
      <c r="I14" s="402"/>
      <c r="J14" s="389" t="s">
        <v>459</v>
      </c>
      <c r="K14" s="380">
        <v>2.2</v>
      </c>
      <c r="M14" s="389" t="s">
        <v>465</v>
      </c>
      <c r="N14" s="403">
        <v>2.44</v>
      </c>
    </row>
    <row r="15" spans="1:14" ht="13.5">
      <c r="A15" s="388" t="s">
        <v>60</v>
      </c>
      <c r="B15" s="296">
        <v>2.14</v>
      </c>
      <c r="D15" s="388" t="s">
        <v>76</v>
      </c>
      <c r="E15" s="296">
        <v>2.31</v>
      </c>
      <c r="F15" s="402"/>
      <c r="G15" s="388" t="s">
        <v>56</v>
      </c>
      <c r="H15" s="402">
        <v>2.42</v>
      </c>
      <c r="I15" s="402"/>
      <c r="J15" s="389" t="s">
        <v>474</v>
      </c>
      <c r="K15" s="380">
        <v>2.19</v>
      </c>
      <c r="M15" s="46" t="s">
        <v>457</v>
      </c>
      <c r="N15" s="403">
        <v>2.39</v>
      </c>
    </row>
    <row r="16" spans="1:14" ht="13.5">
      <c r="A16" s="388" t="s">
        <v>76</v>
      </c>
      <c r="B16" s="296">
        <v>2.11</v>
      </c>
      <c r="D16" s="388" t="s">
        <v>49</v>
      </c>
      <c r="E16" s="296">
        <v>2.27</v>
      </c>
      <c r="F16" s="402"/>
      <c r="G16" s="388" t="s">
        <v>62</v>
      </c>
      <c r="H16" s="402">
        <v>2.3</v>
      </c>
      <c r="I16" s="402"/>
      <c r="J16" s="389" t="s">
        <v>443</v>
      </c>
      <c r="K16" s="380">
        <v>2.13</v>
      </c>
      <c r="M16" s="389" t="s">
        <v>450</v>
      </c>
      <c r="N16" s="403">
        <v>2.37</v>
      </c>
    </row>
    <row r="17" spans="1:14" ht="13.5">
      <c r="A17" s="388" t="s">
        <v>75</v>
      </c>
      <c r="B17" s="296">
        <v>2.09</v>
      </c>
      <c r="D17" s="388" t="s">
        <v>66</v>
      </c>
      <c r="E17" s="296">
        <v>2.26</v>
      </c>
      <c r="F17" s="402"/>
      <c r="G17" s="388" t="s">
        <v>77</v>
      </c>
      <c r="H17" s="402">
        <v>2.13</v>
      </c>
      <c r="I17" s="402"/>
      <c r="J17" s="389" t="s">
        <v>445</v>
      </c>
      <c r="K17" s="380">
        <v>2.13</v>
      </c>
      <c r="M17" s="389" t="s">
        <v>451</v>
      </c>
      <c r="N17" s="403">
        <v>2.25</v>
      </c>
    </row>
    <row r="18" spans="1:14" ht="13.5">
      <c r="A18" s="388" t="s">
        <v>50</v>
      </c>
      <c r="B18" s="296">
        <v>1.95</v>
      </c>
      <c r="D18" s="388" t="s">
        <v>60</v>
      </c>
      <c r="E18" s="296">
        <v>2.19</v>
      </c>
      <c r="F18" s="402"/>
      <c r="G18" s="388" t="s">
        <v>61</v>
      </c>
      <c r="H18" s="402">
        <v>2.04</v>
      </c>
      <c r="I18" s="402"/>
      <c r="J18" s="389" t="s">
        <v>449</v>
      </c>
      <c r="K18" s="380">
        <v>2.05</v>
      </c>
      <c r="M18" s="389" t="s">
        <v>460</v>
      </c>
      <c r="N18" s="403">
        <v>2.22</v>
      </c>
    </row>
    <row r="19" spans="1:14" ht="13.5">
      <c r="A19" s="388" t="s">
        <v>84</v>
      </c>
      <c r="B19" s="296">
        <v>1.92</v>
      </c>
      <c r="D19" s="388" t="s">
        <v>74</v>
      </c>
      <c r="E19" s="296">
        <v>2.18</v>
      </c>
      <c r="F19" s="402"/>
      <c r="G19" s="388" t="s">
        <v>46</v>
      </c>
      <c r="H19" s="402">
        <v>2.03</v>
      </c>
      <c r="I19" s="402"/>
      <c r="J19" s="389" t="s">
        <v>457</v>
      </c>
      <c r="K19" s="380">
        <v>2.05</v>
      </c>
      <c r="M19" s="389" t="s">
        <v>442</v>
      </c>
      <c r="N19" s="403">
        <v>2.2</v>
      </c>
    </row>
    <row r="20" spans="1:14" ht="13.5">
      <c r="A20" s="388" t="s">
        <v>54</v>
      </c>
      <c r="B20" s="296">
        <v>1.85</v>
      </c>
      <c r="D20" s="388" t="s">
        <v>51</v>
      </c>
      <c r="E20" s="296">
        <v>2.17</v>
      </c>
      <c r="F20" s="402"/>
      <c r="G20" s="388" t="s">
        <v>69</v>
      </c>
      <c r="H20" s="402">
        <v>2</v>
      </c>
      <c r="I20" s="402"/>
      <c r="J20" s="389" t="s">
        <v>458</v>
      </c>
      <c r="K20" s="380">
        <v>2.04</v>
      </c>
      <c r="M20" s="389" t="s">
        <v>461</v>
      </c>
      <c r="N20" s="403">
        <v>2.12</v>
      </c>
    </row>
    <row r="21" spans="1:14" ht="13.5">
      <c r="A21" s="388" t="s">
        <v>63</v>
      </c>
      <c r="B21" s="296">
        <v>1.83</v>
      </c>
      <c r="D21" s="388" t="s">
        <v>52</v>
      </c>
      <c r="E21" s="296">
        <v>2.15</v>
      </c>
      <c r="F21" s="402"/>
      <c r="G21" s="388" t="s">
        <v>41</v>
      </c>
      <c r="H21" s="402">
        <v>1.96</v>
      </c>
      <c r="I21" s="402"/>
      <c r="J21" s="389" t="s">
        <v>447</v>
      </c>
      <c r="K21" s="380">
        <v>1.93</v>
      </c>
      <c r="M21" s="389" t="s">
        <v>474</v>
      </c>
      <c r="N21" s="403">
        <v>2.08</v>
      </c>
    </row>
    <row r="22" spans="1:14" ht="13.5">
      <c r="A22" s="388" t="s">
        <v>43</v>
      </c>
      <c r="B22" s="296">
        <v>1.82</v>
      </c>
      <c r="D22" s="388" t="s">
        <v>59</v>
      </c>
      <c r="E22" s="296">
        <v>2.13</v>
      </c>
      <c r="F22" s="402"/>
      <c r="G22" s="388" t="s">
        <v>55</v>
      </c>
      <c r="H22" s="402">
        <v>1.95</v>
      </c>
      <c r="I22" s="402"/>
      <c r="J22" s="389" t="s">
        <v>438</v>
      </c>
      <c r="K22" s="380">
        <v>1.89</v>
      </c>
      <c r="M22" s="389" t="s">
        <v>471</v>
      </c>
      <c r="N22" s="403">
        <v>2.06</v>
      </c>
    </row>
    <row r="23" spans="1:14" ht="13.5">
      <c r="A23" s="388" t="s">
        <v>47</v>
      </c>
      <c r="B23" s="296">
        <v>1.81</v>
      </c>
      <c r="D23" s="388" t="s">
        <v>58</v>
      </c>
      <c r="E23" s="296">
        <v>2.09</v>
      </c>
      <c r="F23" s="402"/>
      <c r="G23" s="388" t="s">
        <v>73</v>
      </c>
      <c r="H23" s="402">
        <v>1.95</v>
      </c>
      <c r="I23" s="402"/>
      <c r="J23" s="389" t="s">
        <v>475</v>
      </c>
      <c r="K23" s="380">
        <v>1.88</v>
      </c>
      <c r="M23" s="389" t="s">
        <v>462</v>
      </c>
      <c r="N23" s="403">
        <v>2.04</v>
      </c>
    </row>
    <row r="24" spans="1:14" ht="13.5">
      <c r="A24" s="388" t="s">
        <v>77</v>
      </c>
      <c r="B24" s="296">
        <v>1.74</v>
      </c>
      <c r="D24" s="388" t="s">
        <v>43</v>
      </c>
      <c r="E24" s="296">
        <v>2.05</v>
      </c>
      <c r="F24" s="402"/>
      <c r="G24" s="388" t="s">
        <v>57</v>
      </c>
      <c r="H24" s="402">
        <v>1.94</v>
      </c>
      <c r="I24" s="402"/>
      <c r="J24" s="389" t="s">
        <v>472</v>
      </c>
      <c r="K24" s="380">
        <v>1.86</v>
      </c>
      <c r="M24" s="389" t="s">
        <v>453</v>
      </c>
      <c r="N24" s="403">
        <v>1.96</v>
      </c>
    </row>
    <row r="25" spans="1:14" ht="13.5">
      <c r="A25" s="388" t="s">
        <v>83</v>
      </c>
      <c r="B25" s="402">
        <v>1.7</v>
      </c>
      <c r="D25" s="388" t="s">
        <v>46</v>
      </c>
      <c r="E25" s="296">
        <v>2.03</v>
      </c>
      <c r="F25" s="402"/>
      <c r="G25" s="388" t="s">
        <v>81</v>
      </c>
      <c r="H25" s="402">
        <v>1.93</v>
      </c>
      <c r="I25" s="402"/>
      <c r="J25" s="389" t="s">
        <v>468</v>
      </c>
      <c r="K25" s="380">
        <v>1.85</v>
      </c>
      <c r="M25" s="389" t="s">
        <v>463</v>
      </c>
      <c r="N25" s="403">
        <v>1.95</v>
      </c>
    </row>
    <row r="26" spans="1:14" ht="13.5">
      <c r="A26" s="388" t="s">
        <v>81</v>
      </c>
      <c r="B26" s="402">
        <v>1.7</v>
      </c>
      <c r="D26" s="388" t="s">
        <v>65</v>
      </c>
      <c r="E26" s="296">
        <v>1.97</v>
      </c>
      <c r="F26" s="402"/>
      <c r="G26" s="388" t="s">
        <v>70</v>
      </c>
      <c r="H26" s="402">
        <v>1.91</v>
      </c>
      <c r="I26" s="402"/>
      <c r="J26" s="389" t="s">
        <v>450</v>
      </c>
      <c r="K26" s="380">
        <v>1.82</v>
      </c>
      <c r="M26" s="389" t="s">
        <v>447</v>
      </c>
      <c r="N26" s="403">
        <v>1.88</v>
      </c>
    </row>
    <row r="27" spans="1:14" ht="13.5">
      <c r="A27" s="388" t="s">
        <v>41</v>
      </c>
      <c r="B27" s="296">
        <v>1.67</v>
      </c>
      <c r="D27" s="388" t="s">
        <v>69</v>
      </c>
      <c r="E27" s="296">
        <v>1.94</v>
      </c>
      <c r="F27" s="402"/>
      <c r="G27" s="388" t="s">
        <v>71</v>
      </c>
      <c r="H27" s="402">
        <v>1.87</v>
      </c>
      <c r="I27" s="402"/>
      <c r="J27" s="389" t="s">
        <v>454</v>
      </c>
      <c r="K27" s="380">
        <v>1.79</v>
      </c>
      <c r="M27" s="389" t="s">
        <v>452</v>
      </c>
      <c r="N27" s="403">
        <v>1.88</v>
      </c>
    </row>
    <row r="28" spans="1:14" ht="13.5">
      <c r="A28" s="388" t="s">
        <v>44</v>
      </c>
      <c r="B28" s="296">
        <v>1.65</v>
      </c>
      <c r="D28" s="388" t="s">
        <v>84</v>
      </c>
      <c r="E28" s="296">
        <v>1.93</v>
      </c>
      <c r="F28" s="402"/>
      <c r="G28" s="388" t="s">
        <v>54</v>
      </c>
      <c r="H28" s="402">
        <v>1.8</v>
      </c>
      <c r="I28" s="402"/>
      <c r="J28" s="389" t="s">
        <v>461</v>
      </c>
      <c r="K28" s="380">
        <v>1.71</v>
      </c>
      <c r="M28" s="389" t="s">
        <v>436</v>
      </c>
      <c r="N28" s="403">
        <v>1.81</v>
      </c>
    </row>
    <row r="29" spans="1:14" ht="13.5">
      <c r="A29" s="388" t="s">
        <v>56</v>
      </c>
      <c r="B29" s="296">
        <v>1.63</v>
      </c>
      <c r="D29" s="388" t="s">
        <v>50</v>
      </c>
      <c r="E29" s="296">
        <v>1.92</v>
      </c>
      <c r="F29" s="402"/>
      <c r="G29" s="388" t="s">
        <v>83</v>
      </c>
      <c r="H29" s="402">
        <v>1.79</v>
      </c>
      <c r="I29" s="402"/>
      <c r="J29" s="389" t="s">
        <v>476</v>
      </c>
      <c r="K29" s="380">
        <v>1.7</v>
      </c>
      <c r="M29" s="389" t="s">
        <v>448</v>
      </c>
      <c r="N29" s="403">
        <v>1.8</v>
      </c>
    </row>
    <row r="30" spans="1:14" ht="13.5">
      <c r="A30" s="388" t="s">
        <v>51</v>
      </c>
      <c r="B30" s="296">
        <v>1.62</v>
      </c>
      <c r="D30" s="388" t="s">
        <v>57</v>
      </c>
      <c r="E30" s="296">
        <v>1.88</v>
      </c>
      <c r="F30" s="402"/>
      <c r="G30" s="388" t="s">
        <v>50</v>
      </c>
      <c r="H30" s="402">
        <v>1.78</v>
      </c>
      <c r="I30" s="402"/>
      <c r="J30" s="389" t="s">
        <v>452</v>
      </c>
      <c r="K30" s="380">
        <v>1.66</v>
      </c>
      <c r="M30" s="389" t="s">
        <v>473</v>
      </c>
      <c r="N30" s="403">
        <v>1.79</v>
      </c>
    </row>
    <row r="31" spans="1:14" ht="13.5">
      <c r="A31" s="388" t="s">
        <v>62</v>
      </c>
      <c r="B31" s="402">
        <v>1.6</v>
      </c>
      <c r="D31" s="388" t="s">
        <v>87</v>
      </c>
      <c r="E31" s="296">
        <v>1.87</v>
      </c>
      <c r="F31" s="402"/>
      <c r="G31" s="388" t="s">
        <v>67</v>
      </c>
      <c r="H31" s="402">
        <v>1.73</v>
      </c>
      <c r="I31" s="402"/>
      <c r="J31" s="389" t="s">
        <v>442</v>
      </c>
      <c r="K31" s="380">
        <v>1.64</v>
      </c>
      <c r="M31" s="389" t="s">
        <v>437</v>
      </c>
      <c r="N31" s="403">
        <v>1.74</v>
      </c>
    </row>
    <row r="32" spans="1:14" ht="13.5">
      <c r="A32" s="388" t="s">
        <v>73</v>
      </c>
      <c r="B32" s="402">
        <v>1.6</v>
      </c>
      <c r="D32" s="388" t="s">
        <v>82</v>
      </c>
      <c r="E32" s="296">
        <v>1.84</v>
      </c>
      <c r="F32" s="402"/>
      <c r="G32" s="388" t="s">
        <v>87</v>
      </c>
      <c r="H32" s="402">
        <v>1.7</v>
      </c>
      <c r="I32" s="402"/>
      <c r="J32" s="389" t="s">
        <v>451</v>
      </c>
      <c r="K32" s="380">
        <v>1.63</v>
      </c>
      <c r="M32" s="389" t="s">
        <v>449</v>
      </c>
      <c r="N32" s="403">
        <v>1.72</v>
      </c>
    </row>
    <row r="33" spans="1:14" ht="13.5">
      <c r="A33" s="388" t="s">
        <v>65</v>
      </c>
      <c r="B33" s="296">
        <v>1.57</v>
      </c>
      <c r="D33" s="388" t="s">
        <v>48</v>
      </c>
      <c r="E33" s="296">
        <v>1.78</v>
      </c>
      <c r="F33" s="402"/>
      <c r="G33" s="388" t="s">
        <v>58</v>
      </c>
      <c r="H33" s="402">
        <v>1.69</v>
      </c>
      <c r="I33" s="402"/>
      <c r="J33" s="389" t="s">
        <v>439</v>
      </c>
      <c r="K33" s="380">
        <v>1.56</v>
      </c>
      <c r="M33" s="389" t="s">
        <v>443</v>
      </c>
      <c r="N33" s="403">
        <v>1.7</v>
      </c>
    </row>
    <row r="34" spans="1:14" ht="13.5">
      <c r="A34" s="388" t="s">
        <v>57</v>
      </c>
      <c r="B34" s="296">
        <v>1.56</v>
      </c>
      <c r="D34" s="388" t="s">
        <v>62</v>
      </c>
      <c r="E34" s="296">
        <v>1.77</v>
      </c>
      <c r="F34" s="402"/>
      <c r="G34" s="388" t="s">
        <v>59</v>
      </c>
      <c r="H34" s="402">
        <v>1.68</v>
      </c>
      <c r="I34" s="402"/>
      <c r="J34" s="389" t="s">
        <v>465</v>
      </c>
      <c r="K34" s="380">
        <v>1.49</v>
      </c>
      <c r="M34" s="389" t="s">
        <v>475</v>
      </c>
      <c r="N34" s="403">
        <v>1.7</v>
      </c>
    </row>
    <row r="35" spans="1:14" ht="13.5">
      <c r="A35" s="388" t="s">
        <v>46</v>
      </c>
      <c r="B35" s="296">
        <v>1.46</v>
      </c>
      <c r="D35" s="388" t="s">
        <v>41</v>
      </c>
      <c r="E35" s="296">
        <v>1.72</v>
      </c>
      <c r="F35" s="402"/>
      <c r="G35" s="388" t="s">
        <v>63</v>
      </c>
      <c r="H35" s="402">
        <v>1.68</v>
      </c>
      <c r="I35" s="402"/>
      <c r="J35" s="389" t="s">
        <v>435</v>
      </c>
      <c r="K35" s="380">
        <v>1.45</v>
      </c>
      <c r="M35" s="389" t="s">
        <v>456</v>
      </c>
      <c r="N35" s="403">
        <v>1.68</v>
      </c>
    </row>
    <row r="36" spans="1:14" ht="13.5">
      <c r="A36" s="388" t="s">
        <v>66</v>
      </c>
      <c r="B36" s="296">
        <v>1.46</v>
      </c>
      <c r="D36" s="388" t="s">
        <v>77</v>
      </c>
      <c r="E36" s="296">
        <v>1.65</v>
      </c>
      <c r="F36" s="402"/>
      <c r="G36" s="388" t="s">
        <v>48</v>
      </c>
      <c r="H36" s="402">
        <v>1.62</v>
      </c>
      <c r="I36" s="402"/>
      <c r="J36" s="389" t="s">
        <v>436</v>
      </c>
      <c r="K36" s="380">
        <v>1.45</v>
      </c>
      <c r="M36" s="389" t="s">
        <v>454</v>
      </c>
      <c r="N36" s="403">
        <v>1.66</v>
      </c>
    </row>
    <row r="37" spans="1:14" ht="13.5">
      <c r="A37" s="388" t="s">
        <v>40</v>
      </c>
      <c r="B37" s="296">
        <v>1.44</v>
      </c>
      <c r="D37" s="388" t="s">
        <v>63</v>
      </c>
      <c r="E37" s="296">
        <v>1.64</v>
      </c>
      <c r="F37" s="402"/>
      <c r="G37" s="388" t="s">
        <v>43</v>
      </c>
      <c r="H37" s="402">
        <v>1.61</v>
      </c>
      <c r="I37" s="402"/>
      <c r="J37" s="389" t="s">
        <v>432</v>
      </c>
      <c r="K37" s="380">
        <v>1.31</v>
      </c>
      <c r="M37" s="389" t="s">
        <v>439</v>
      </c>
      <c r="N37" s="403">
        <v>1.6</v>
      </c>
    </row>
    <row r="38" spans="1:14" ht="13.5">
      <c r="A38" s="388" t="s">
        <v>79</v>
      </c>
      <c r="B38" s="296">
        <v>1.44</v>
      </c>
      <c r="D38" s="388" t="s">
        <v>86</v>
      </c>
      <c r="E38" s="296">
        <v>1.57</v>
      </c>
      <c r="F38" s="402"/>
      <c r="G38" s="388" t="s">
        <v>51</v>
      </c>
      <c r="H38" s="402">
        <v>1.57</v>
      </c>
      <c r="I38" s="402"/>
      <c r="J38" s="389" t="s">
        <v>437</v>
      </c>
      <c r="K38" s="380">
        <v>1.24</v>
      </c>
      <c r="M38" s="389" t="s">
        <v>469</v>
      </c>
      <c r="N38" s="403">
        <v>1.6</v>
      </c>
    </row>
    <row r="39" spans="1:14" ht="13.5">
      <c r="A39" s="388" t="s">
        <v>48</v>
      </c>
      <c r="B39" s="296">
        <v>1.43</v>
      </c>
      <c r="D39" s="388" t="s">
        <v>44</v>
      </c>
      <c r="E39" s="296">
        <v>1.52</v>
      </c>
      <c r="F39" s="402"/>
      <c r="G39" s="388" t="s">
        <v>84</v>
      </c>
      <c r="H39" s="402">
        <v>1.57</v>
      </c>
      <c r="I39" s="402"/>
      <c r="J39" s="389" t="s">
        <v>433</v>
      </c>
      <c r="K39" s="380">
        <v>1.23</v>
      </c>
      <c r="M39" s="389" t="s">
        <v>435</v>
      </c>
      <c r="N39" s="403">
        <v>1.57</v>
      </c>
    </row>
    <row r="40" spans="1:14" ht="13.5">
      <c r="A40" s="388" t="s">
        <v>42</v>
      </c>
      <c r="B40" s="296">
        <v>1.39</v>
      </c>
      <c r="D40" s="388" t="s">
        <v>81</v>
      </c>
      <c r="E40" s="296">
        <v>1.48</v>
      </c>
      <c r="F40" s="402"/>
      <c r="G40" s="388" t="s">
        <v>45</v>
      </c>
      <c r="H40" s="402">
        <v>1.55</v>
      </c>
      <c r="I40" s="402"/>
      <c r="J40" s="389" t="s">
        <v>469</v>
      </c>
      <c r="K40" s="380">
        <v>1.17</v>
      </c>
      <c r="M40" s="389" t="s">
        <v>438</v>
      </c>
      <c r="N40" s="403">
        <v>1.56</v>
      </c>
    </row>
    <row r="41" spans="1:14" ht="13.5">
      <c r="A41" s="388" t="s">
        <v>61</v>
      </c>
      <c r="B41" s="296">
        <v>1.37</v>
      </c>
      <c r="D41" s="388" t="s">
        <v>47</v>
      </c>
      <c r="E41" s="296">
        <v>1.46</v>
      </c>
      <c r="F41" s="402"/>
      <c r="G41" s="388" t="s">
        <v>44</v>
      </c>
      <c r="H41" s="402">
        <v>1.5</v>
      </c>
      <c r="I41" s="402"/>
      <c r="J41" s="389" t="s">
        <v>477</v>
      </c>
      <c r="K41" s="380">
        <v>1.14</v>
      </c>
      <c r="M41" s="389" t="s">
        <v>458</v>
      </c>
      <c r="N41" s="403">
        <v>1.53</v>
      </c>
    </row>
    <row r="42" spans="1:14" ht="13.5">
      <c r="A42" s="388" t="s">
        <v>39</v>
      </c>
      <c r="B42" s="296">
        <v>1.35</v>
      </c>
      <c r="D42" s="388" t="s">
        <v>80</v>
      </c>
      <c r="E42" s="296">
        <v>1.41</v>
      </c>
      <c r="F42" s="402"/>
      <c r="G42" s="388" t="s">
        <v>76</v>
      </c>
      <c r="H42" s="402">
        <v>1.48</v>
      </c>
      <c r="I42" s="402"/>
      <c r="J42" s="389" t="s">
        <v>434</v>
      </c>
      <c r="K42" s="380">
        <v>1.13</v>
      </c>
      <c r="M42" s="389" t="s">
        <v>472</v>
      </c>
      <c r="N42" s="403">
        <v>1.47</v>
      </c>
    </row>
    <row r="43" spans="1:14" ht="13.5">
      <c r="A43" s="388" t="s">
        <v>86</v>
      </c>
      <c r="B43" s="296">
        <v>1.33</v>
      </c>
      <c r="D43" s="388" t="s">
        <v>45</v>
      </c>
      <c r="E43" s="296">
        <v>1.37</v>
      </c>
      <c r="F43" s="402"/>
      <c r="G43" s="388" t="s">
        <v>80</v>
      </c>
      <c r="H43" s="402">
        <v>1.48</v>
      </c>
      <c r="I43" s="402"/>
      <c r="J43" s="389" t="s">
        <v>441</v>
      </c>
      <c r="K43" s="380">
        <v>1.06</v>
      </c>
      <c r="M43" s="389" t="s">
        <v>441</v>
      </c>
      <c r="N43" s="403">
        <v>1.43</v>
      </c>
    </row>
    <row r="44" spans="1:14" ht="13.5">
      <c r="A44" s="388" t="s">
        <v>67</v>
      </c>
      <c r="B44" s="296">
        <v>1.31</v>
      </c>
      <c r="D44" s="388" t="s">
        <v>73</v>
      </c>
      <c r="E44" s="296">
        <v>1.27</v>
      </c>
      <c r="F44" s="402"/>
      <c r="G44" s="388" t="s">
        <v>40</v>
      </c>
      <c r="H44" s="402">
        <v>1.41</v>
      </c>
      <c r="I44" s="402"/>
      <c r="J44" s="389" t="s">
        <v>431</v>
      </c>
      <c r="K44" s="380">
        <v>1.02</v>
      </c>
      <c r="M44" s="389" t="s">
        <v>433</v>
      </c>
      <c r="N44" s="403">
        <v>1.25</v>
      </c>
    </row>
    <row r="45" spans="1:14" ht="13.5">
      <c r="A45" s="388" t="s">
        <v>85</v>
      </c>
      <c r="B45" s="402">
        <v>1.3</v>
      </c>
      <c r="D45" s="388" t="s">
        <v>40</v>
      </c>
      <c r="E45" s="296">
        <v>1.16</v>
      </c>
      <c r="F45" s="402"/>
      <c r="G45" s="388" t="s">
        <v>47</v>
      </c>
      <c r="H45" s="402">
        <v>1.36</v>
      </c>
      <c r="I45" s="402"/>
      <c r="J45" s="389" t="s">
        <v>464</v>
      </c>
      <c r="K45" s="380">
        <v>0.96</v>
      </c>
      <c r="M45" s="389" t="s">
        <v>476</v>
      </c>
      <c r="N45" s="403">
        <v>1.22</v>
      </c>
    </row>
    <row r="46" spans="1:14" ht="13.5">
      <c r="A46" s="388" t="s">
        <v>45</v>
      </c>
      <c r="B46" s="296">
        <v>1.28</v>
      </c>
      <c r="D46" s="388" t="s">
        <v>42</v>
      </c>
      <c r="E46" s="296">
        <v>1.1</v>
      </c>
      <c r="F46" s="402"/>
      <c r="G46" s="388" t="s">
        <v>86</v>
      </c>
      <c r="H46" s="402">
        <v>1.33</v>
      </c>
      <c r="I46" s="402"/>
      <c r="J46" s="389" t="s">
        <v>471</v>
      </c>
      <c r="K46" s="380">
        <v>0.91</v>
      </c>
      <c r="M46" s="389" t="s">
        <v>431</v>
      </c>
      <c r="N46" s="403">
        <v>1.16</v>
      </c>
    </row>
    <row r="47" spans="1:14" ht="13.5">
      <c r="A47" s="388" t="s">
        <v>72</v>
      </c>
      <c r="B47" s="296">
        <v>1.24</v>
      </c>
      <c r="D47" s="388" t="s">
        <v>39</v>
      </c>
      <c r="E47" s="296">
        <v>1.09</v>
      </c>
      <c r="F47" s="402"/>
      <c r="G47" s="388" t="s">
        <v>65</v>
      </c>
      <c r="H47" s="402">
        <v>1.32</v>
      </c>
      <c r="I47" s="402"/>
      <c r="J47" s="389" t="s">
        <v>456</v>
      </c>
      <c r="K47" s="380">
        <v>0.86</v>
      </c>
      <c r="M47" s="389" t="s">
        <v>464</v>
      </c>
      <c r="N47" s="403">
        <v>1.1</v>
      </c>
    </row>
    <row r="48" spans="1:14" ht="13.5">
      <c r="A48" s="388" t="s">
        <v>80</v>
      </c>
      <c r="B48" s="402">
        <v>1.2</v>
      </c>
      <c r="D48" s="388" t="s">
        <v>67</v>
      </c>
      <c r="E48" s="296">
        <v>1.04</v>
      </c>
      <c r="F48" s="402"/>
      <c r="G48" s="388" t="s">
        <v>39</v>
      </c>
      <c r="H48" s="402">
        <v>1.26</v>
      </c>
      <c r="I48" s="402"/>
      <c r="J48" s="389" t="s">
        <v>473</v>
      </c>
      <c r="K48" s="380">
        <v>0.77</v>
      </c>
      <c r="M48" s="389" t="s">
        <v>432</v>
      </c>
      <c r="N48" s="403">
        <v>1.09</v>
      </c>
    </row>
    <row r="49" spans="1:14" ht="13.5">
      <c r="A49" s="388" t="s">
        <v>69</v>
      </c>
      <c r="B49" s="296">
        <v>0.97</v>
      </c>
      <c r="D49" s="388" t="s">
        <v>83</v>
      </c>
      <c r="E49" s="296">
        <v>1.02</v>
      </c>
      <c r="F49" s="402"/>
      <c r="G49" s="388" t="s">
        <v>42</v>
      </c>
      <c r="H49" s="402">
        <v>1.17</v>
      </c>
      <c r="I49" s="402"/>
      <c r="J49" s="389" t="s">
        <v>463</v>
      </c>
      <c r="K49" s="380">
        <v>0.63</v>
      </c>
      <c r="M49" s="389" t="s">
        <v>434</v>
      </c>
      <c r="N49" s="403">
        <v>1.05</v>
      </c>
    </row>
    <row r="50" ht="13.5">
      <c r="B50" s="40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view="pageBreakPreview" zoomScale="60" workbookViewId="0" topLeftCell="G1">
      <selection activeCell="P6" sqref="P6"/>
    </sheetView>
  </sheetViews>
  <sheetFormatPr defaultColWidth="9.00390625" defaultRowHeight="13.5"/>
  <cols>
    <col min="1" max="1" width="1.875" style="3" customWidth="1"/>
    <col min="2" max="2" width="6.375" style="3" bestFit="1" customWidth="1"/>
    <col min="3" max="4" width="5.125" style="3" customWidth="1"/>
    <col min="5" max="5" width="4.875" style="3" bestFit="1" customWidth="1"/>
    <col min="6" max="6" width="9.125" style="3" customWidth="1"/>
    <col min="7" max="7" width="8.875" style="3" customWidth="1"/>
    <col min="8" max="9" width="5.125" style="3" customWidth="1"/>
    <col min="10" max="10" width="4.875" style="3" bestFit="1" customWidth="1"/>
    <col min="11" max="11" width="9.125" style="3" customWidth="1"/>
    <col min="12" max="12" width="8.875" style="3" customWidth="1"/>
    <col min="13" max="14" width="5.125" style="3" customWidth="1"/>
    <col min="15" max="15" width="4.875" style="3" bestFit="1" customWidth="1"/>
    <col min="16" max="16" width="9.125" style="3" customWidth="1"/>
    <col min="17" max="17" width="8.875" style="3" customWidth="1"/>
    <col min="18" max="19" width="5.625" style="3" bestFit="1" customWidth="1"/>
    <col min="20" max="20" width="6.375" style="3" bestFit="1" customWidth="1"/>
    <col min="21" max="21" width="9.125" style="3" customWidth="1"/>
    <col min="22" max="22" width="8.875" style="3" customWidth="1"/>
    <col min="23" max="16384" width="9.00390625" style="3" customWidth="1"/>
  </cols>
  <sheetData>
    <row r="2" spans="2:25" ht="24" customHeight="1">
      <c r="B2" s="700" t="s">
        <v>687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334</v>
      </c>
      <c r="D4" s="722"/>
      <c r="E4" s="722"/>
      <c r="F4" s="722"/>
      <c r="G4" s="699"/>
      <c r="H4" s="698" t="s">
        <v>430</v>
      </c>
      <c r="I4" s="718"/>
      <c r="J4" s="718"/>
      <c r="K4" s="718"/>
      <c r="L4" s="692"/>
      <c r="M4" s="717" t="s">
        <v>548</v>
      </c>
      <c r="N4" s="718"/>
      <c r="O4" s="719"/>
      <c r="P4" s="719"/>
      <c r="Q4" s="720"/>
      <c r="R4" s="701" t="s">
        <v>416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24</v>
      </c>
      <c r="D5" s="706" t="s">
        <v>31</v>
      </c>
      <c r="E5" s="708" t="s">
        <v>27</v>
      </c>
      <c r="F5" s="4"/>
      <c r="G5" s="5"/>
      <c r="H5" s="710" t="s">
        <v>24</v>
      </c>
      <c r="I5" s="706" t="s">
        <v>31</v>
      </c>
      <c r="J5" s="708" t="s">
        <v>27</v>
      </c>
      <c r="K5" s="4"/>
      <c r="L5" s="5"/>
      <c r="M5" s="710" t="s">
        <v>24</v>
      </c>
      <c r="N5" s="706" t="s">
        <v>32</v>
      </c>
      <c r="O5" s="708" t="s">
        <v>27</v>
      </c>
      <c r="P5" s="4"/>
      <c r="Q5" s="4"/>
      <c r="R5" s="710" t="s">
        <v>24</v>
      </c>
      <c r="S5" s="706" t="s">
        <v>30</v>
      </c>
      <c r="T5" s="712" t="s">
        <v>27</v>
      </c>
      <c r="U5" s="4"/>
      <c r="V5" s="4"/>
      <c r="W5" s="33"/>
      <c r="X5" s="33"/>
      <c r="Y5" s="34"/>
    </row>
    <row r="6" spans="2:25" ht="150" customHeight="1" thickBot="1">
      <c r="B6" s="716"/>
      <c r="C6" s="711"/>
      <c r="D6" s="707"/>
      <c r="E6" s="709"/>
      <c r="F6" s="29" t="s">
        <v>25</v>
      </c>
      <c r="G6" s="30" t="s">
        <v>26</v>
      </c>
      <c r="H6" s="711"/>
      <c r="I6" s="707"/>
      <c r="J6" s="709"/>
      <c r="K6" s="29" t="s">
        <v>25</v>
      </c>
      <c r="L6" s="30" t="s">
        <v>26</v>
      </c>
      <c r="M6" s="711"/>
      <c r="N6" s="707"/>
      <c r="O6" s="709"/>
      <c r="P6" s="29" t="s">
        <v>25</v>
      </c>
      <c r="Q6" s="31" t="s">
        <v>26</v>
      </c>
      <c r="R6" s="711"/>
      <c r="S6" s="707"/>
      <c r="T6" s="713"/>
      <c r="U6" s="29" t="s">
        <v>25</v>
      </c>
      <c r="V6" s="31" t="s">
        <v>26</v>
      </c>
      <c r="W6" s="29" t="s">
        <v>33</v>
      </c>
      <c r="X6" s="29" t="s">
        <v>28</v>
      </c>
      <c r="Y6" s="35" t="s">
        <v>29</v>
      </c>
    </row>
    <row r="7" spans="2:25" ht="27" customHeight="1" thickTop="1">
      <c r="B7" s="6" t="s">
        <v>417</v>
      </c>
      <c r="C7" s="9">
        <v>23</v>
      </c>
      <c r="D7" s="7">
        <v>0</v>
      </c>
      <c r="E7" s="7">
        <v>72</v>
      </c>
      <c r="F7" s="7">
        <v>55</v>
      </c>
      <c r="G7" s="10">
        <v>0</v>
      </c>
      <c r="H7" s="11">
        <v>25</v>
      </c>
      <c r="I7" s="7">
        <v>1</v>
      </c>
      <c r="J7" s="460">
        <v>74</v>
      </c>
      <c r="K7" s="8">
        <v>57</v>
      </c>
      <c r="L7" s="8">
        <v>1</v>
      </c>
      <c r="M7" s="546">
        <v>15</v>
      </c>
      <c r="N7" s="547">
        <v>0</v>
      </c>
      <c r="O7" s="460">
        <f>9!I18</f>
        <v>53</v>
      </c>
      <c r="P7" s="460">
        <v>24</v>
      </c>
      <c r="Q7" s="548">
        <v>0</v>
      </c>
      <c r="R7" s="32">
        <f>SUM(C7,H7,M7)</f>
        <v>63</v>
      </c>
      <c r="S7" s="12">
        <f>SUM(D7,I7,N7)</f>
        <v>1</v>
      </c>
      <c r="T7" s="7">
        <f>SUM(E7,J7,O7)</f>
        <v>199</v>
      </c>
      <c r="U7" s="8">
        <f>SUM(F7,K7,P7)</f>
        <v>136</v>
      </c>
      <c r="V7" s="8">
        <f>SUM(G7,L7,Q7)</f>
        <v>1</v>
      </c>
      <c r="W7" s="36">
        <f>(T7-U7)/(90-R7)</f>
        <v>2.3333333333333335</v>
      </c>
      <c r="X7" s="36">
        <f>U7/R7</f>
        <v>2.1587301587301586</v>
      </c>
      <c r="Y7" s="37">
        <f>V7/S7</f>
        <v>1</v>
      </c>
    </row>
    <row r="8" spans="2:25" ht="27" customHeight="1">
      <c r="B8" s="13" t="s">
        <v>335</v>
      </c>
      <c r="C8" s="17">
        <v>14</v>
      </c>
      <c r="D8" s="15">
        <v>0</v>
      </c>
      <c r="E8" s="15">
        <v>58</v>
      </c>
      <c r="F8" s="15">
        <v>34</v>
      </c>
      <c r="G8" s="18">
        <v>0</v>
      </c>
      <c r="H8" s="19">
        <v>26</v>
      </c>
      <c r="I8" s="15">
        <v>5</v>
      </c>
      <c r="J8" s="461">
        <v>83</v>
      </c>
      <c r="K8" s="16">
        <v>81</v>
      </c>
      <c r="L8" s="16">
        <v>22</v>
      </c>
      <c r="M8" s="549">
        <v>15</v>
      </c>
      <c r="N8" s="550">
        <v>1</v>
      </c>
      <c r="O8" s="460">
        <f>9!I19</f>
        <v>56</v>
      </c>
      <c r="P8" s="461">
        <v>35</v>
      </c>
      <c r="Q8" s="551">
        <v>2</v>
      </c>
      <c r="R8" s="14">
        <f aca="true" t="shared" si="0" ref="R8:R19">SUM(C8,H8,M8)</f>
        <v>55</v>
      </c>
      <c r="S8" s="15">
        <f aca="true" t="shared" si="1" ref="S8:S19">SUM(D8,I8,N8)</f>
        <v>6</v>
      </c>
      <c r="T8" s="15">
        <f aca="true" t="shared" si="2" ref="T8:T18">SUM(E8,J8,O8)</f>
        <v>197</v>
      </c>
      <c r="U8" s="16">
        <f aca="true" t="shared" si="3" ref="U8:U19">SUM(F8,K8,P8)</f>
        <v>150</v>
      </c>
      <c r="V8" s="16">
        <f aca="true" t="shared" si="4" ref="V8:V19">SUM(G8,L8,Q8)</f>
        <v>24</v>
      </c>
      <c r="W8" s="38">
        <f aca="true" t="shared" si="5" ref="W8:W18">(T8-U8)/(90-R8)</f>
        <v>1.3428571428571427</v>
      </c>
      <c r="X8" s="38">
        <f aca="true" t="shared" si="6" ref="X8:X19">U8/R8</f>
        <v>2.727272727272727</v>
      </c>
      <c r="Y8" s="39">
        <f aca="true" t="shared" si="7" ref="Y8:Y19">V8/S8</f>
        <v>4</v>
      </c>
    </row>
    <row r="9" spans="2:25" ht="27" customHeight="1">
      <c r="B9" s="13" t="s">
        <v>336</v>
      </c>
      <c r="C9" s="17">
        <v>17</v>
      </c>
      <c r="D9" s="15">
        <v>4</v>
      </c>
      <c r="E9" s="15">
        <v>76</v>
      </c>
      <c r="F9" s="15">
        <v>51</v>
      </c>
      <c r="G9" s="18">
        <v>12</v>
      </c>
      <c r="H9" s="19">
        <v>26</v>
      </c>
      <c r="I9" s="15">
        <v>6</v>
      </c>
      <c r="J9" s="461">
        <v>82</v>
      </c>
      <c r="K9" s="16">
        <v>76</v>
      </c>
      <c r="L9" s="16">
        <v>29</v>
      </c>
      <c r="M9" s="549">
        <v>15</v>
      </c>
      <c r="N9" s="550">
        <v>2</v>
      </c>
      <c r="O9" s="460">
        <f>9!I20</f>
        <v>54</v>
      </c>
      <c r="P9" s="461">
        <v>35</v>
      </c>
      <c r="Q9" s="551">
        <v>11</v>
      </c>
      <c r="R9" s="14">
        <f t="shared" si="0"/>
        <v>58</v>
      </c>
      <c r="S9" s="15">
        <f t="shared" si="1"/>
        <v>12</v>
      </c>
      <c r="T9" s="15">
        <f t="shared" si="2"/>
        <v>212</v>
      </c>
      <c r="U9" s="16">
        <f t="shared" si="3"/>
        <v>162</v>
      </c>
      <c r="V9" s="16">
        <f t="shared" si="4"/>
        <v>52</v>
      </c>
      <c r="W9" s="38">
        <f t="shared" si="5"/>
        <v>1.5625</v>
      </c>
      <c r="X9" s="38">
        <f t="shared" si="6"/>
        <v>2.793103448275862</v>
      </c>
      <c r="Y9" s="39">
        <f t="shared" si="7"/>
        <v>4.333333333333333</v>
      </c>
    </row>
    <row r="10" spans="2:25" ht="27" customHeight="1">
      <c r="B10" s="13" t="s">
        <v>191</v>
      </c>
      <c r="C10" s="17">
        <v>9</v>
      </c>
      <c r="D10" s="15">
        <v>4</v>
      </c>
      <c r="E10" s="15">
        <v>50</v>
      </c>
      <c r="F10" s="15">
        <v>28</v>
      </c>
      <c r="G10" s="18">
        <v>11</v>
      </c>
      <c r="H10" s="19">
        <v>26</v>
      </c>
      <c r="I10" s="15">
        <v>1</v>
      </c>
      <c r="J10" s="461">
        <v>65</v>
      </c>
      <c r="K10" s="16">
        <v>62</v>
      </c>
      <c r="L10" s="16">
        <v>2</v>
      </c>
      <c r="M10" s="549">
        <v>21</v>
      </c>
      <c r="N10" s="550">
        <v>15</v>
      </c>
      <c r="O10" s="460">
        <f>9!I21</f>
        <v>72</v>
      </c>
      <c r="P10" s="461">
        <v>60</v>
      </c>
      <c r="Q10" s="551">
        <v>44</v>
      </c>
      <c r="R10" s="14">
        <f t="shared" si="0"/>
        <v>56</v>
      </c>
      <c r="S10" s="15">
        <f t="shared" si="1"/>
        <v>20</v>
      </c>
      <c r="T10" s="15">
        <f t="shared" si="2"/>
        <v>187</v>
      </c>
      <c r="U10" s="16">
        <f t="shared" si="3"/>
        <v>150</v>
      </c>
      <c r="V10" s="16">
        <f t="shared" si="4"/>
        <v>57</v>
      </c>
      <c r="W10" s="38">
        <f t="shared" si="5"/>
        <v>1.088235294117647</v>
      </c>
      <c r="X10" s="38">
        <f t="shared" si="6"/>
        <v>2.6785714285714284</v>
      </c>
      <c r="Y10" s="39">
        <f t="shared" si="7"/>
        <v>2.85</v>
      </c>
    </row>
    <row r="11" spans="2:25" ht="27" customHeight="1">
      <c r="B11" s="13" t="s">
        <v>192</v>
      </c>
      <c r="C11" s="17">
        <v>12</v>
      </c>
      <c r="D11" s="15">
        <v>1</v>
      </c>
      <c r="E11" s="15">
        <v>68</v>
      </c>
      <c r="F11" s="15">
        <v>35</v>
      </c>
      <c r="G11" s="18">
        <v>5</v>
      </c>
      <c r="H11" s="19">
        <v>9</v>
      </c>
      <c r="I11" s="15">
        <v>1</v>
      </c>
      <c r="J11" s="461">
        <v>44</v>
      </c>
      <c r="K11" s="16">
        <v>18</v>
      </c>
      <c r="L11" s="16">
        <v>1</v>
      </c>
      <c r="M11" s="549">
        <v>20</v>
      </c>
      <c r="N11" s="550">
        <v>10</v>
      </c>
      <c r="O11" s="460">
        <f>9!I22</f>
        <v>68</v>
      </c>
      <c r="P11" s="461">
        <v>58</v>
      </c>
      <c r="Q11" s="551">
        <v>26</v>
      </c>
      <c r="R11" s="14">
        <f t="shared" si="0"/>
        <v>41</v>
      </c>
      <c r="S11" s="15">
        <f t="shared" si="1"/>
        <v>12</v>
      </c>
      <c r="T11" s="15">
        <f t="shared" si="2"/>
        <v>180</v>
      </c>
      <c r="U11" s="16">
        <f t="shared" si="3"/>
        <v>111</v>
      </c>
      <c r="V11" s="16">
        <f t="shared" si="4"/>
        <v>32</v>
      </c>
      <c r="W11" s="38">
        <f t="shared" si="5"/>
        <v>1.4081632653061225</v>
      </c>
      <c r="X11" s="38">
        <f t="shared" si="6"/>
        <v>2.707317073170732</v>
      </c>
      <c r="Y11" s="39">
        <f t="shared" si="7"/>
        <v>2.6666666666666665</v>
      </c>
    </row>
    <row r="12" spans="2:25" ht="27" customHeight="1">
      <c r="B12" s="13" t="s">
        <v>193</v>
      </c>
      <c r="C12" s="17">
        <v>7</v>
      </c>
      <c r="D12" s="15">
        <v>0</v>
      </c>
      <c r="E12" s="15">
        <v>39</v>
      </c>
      <c r="F12" s="15">
        <v>14</v>
      </c>
      <c r="G12" s="18">
        <v>0</v>
      </c>
      <c r="H12" s="19">
        <v>8</v>
      </c>
      <c r="I12" s="15">
        <v>2</v>
      </c>
      <c r="J12" s="461">
        <v>57</v>
      </c>
      <c r="K12" s="16">
        <v>26</v>
      </c>
      <c r="L12" s="16">
        <v>7</v>
      </c>
      <c r="M12" s="549">
        <v>10</v>
      </c>
      <c r="N12" s="550">
        <v>0</v>
      </c>
      <c r="O12" s="460">
        <f>9!I23</f>
        <v>77</v>
      </c>
      <c r="P12" s="461">
        <v>29</v>
      </c>
      <c r="Q12" s="551">
        <v>0</v>
      </c>
      <c r="R12" s="14">
        <f t="shared" si="0"/>
        <v>25</v>
      </c>
      <c r="S12" s="15">
        <f t="shared" si="1"/>
        <v>2</v>
      </c>
      <c r="T12" s="15">
        <f t="shared" si="2"/>
        <v>173</v>
      </c>
      <c r="U12" s="16">
        <f t="shared" si="3"/>
        <v>69</v>
      </c>
      <c r="V12" s="16">
        <f t="shared" si="4"/>
        <v>7</v>
      </c>
      <c r="W12" s="38">
        <f t="shared" si="5"/>
        <v>1.6</v>
      </c>
      <c r="X12" s="38">
        <f t="shared" si="6"/>
        <v>2.76</v>
      </c>
      <c r="Y12" s="39">
        <f t="shared" si="7"/>
        <v>3.5</v>
      </c>
    </row>
    <row r="13" spans="2:25" ht="27" customHeight="1">
      <c r="B13" s="13" t="s">
        <v>194</v>
      </c>
      <c r="C13" s="17">
        <v>0</v>
      </c>
      <c r="D13" s="15">
        <v>0</v>
      </c>
      <c r="E13" s="15">
        <v>35</v>
      </c>
      <c r="F13" s="15">
        <v>0</v>
      </c>
      <c r="G13" s="18">
        <v>0</v>
      </c>
      <c r="H13" s="19">
        <v>0</v>
      </c>
      <c r="I13" s="15">
        <v>0</v>
      </c>
      <c r="J13" s="461">
        <v>71</v>
      </c>
      <c r="K13" s="16">
        <v>0</v>
      </c>
      <c r="L13" s="16">
        <v>0</v>
      </c>
      <c r="M13" s="549">
        <v>0</v>
      </c>
      <c r="N13" s="550">
        <v>0</v>
      </c>
      <c r="O13" s="460">
        <f>9!I24</f>
        <v>39</v>
      </c>
      <c r="P13" s="461">
        <v>0</v>
      </c>
      <c r="Q13" s="551">
        <v>0</v>
      </c>
      <c r="R13" s="14">
        <f>SUM(C13,H13,M13)</f>
        <v>0</v>
      </c>
      <c r="S13" s="15">
        <f t="shared" si="1"/>
        <v>0</v>
      </c>
      <c r="T13" s="15">
        <f t="shared" si="2"/>
        <v>145</v>
      </c>
      <c r="U13" s="16">
        <f t="shared" si="3"/>
        <v>0</v>
      </c>
      <c r="V13" s="16">
        <f t="shared" si="4"/>
        <v>0</v>
      </c>
      <c r="W13" s="38">
        <f t="shared" si="5"/>
        <v>1.6111111111111112</v>
      </c>
      <c r="X13" s="458" t="s">
        <v>680</v>
      </c>
      <c r="Y13" s="459" t="s">
        <v>681</v>
      </c>
    </row>
    <row r="14" spans="2:25" ht="27" customHeight="1">
      <c r="B14" s="13" t="s">
        <v>195</v>
      </c>
      <c r="C14" s="17">
        <v>0</v>
      </c>
      <c r="D14" s="15">
        <v>0</v>
      </c>
      <c r="E14" s="15">
        <v>46</v>
      </c>
      <c r="F14" s="15">
        <v>0</v>
      </c>
      <c r="G14" s="18">
        <v>0</v>
      </c>
      <c r="H14" s="19">
        <v>0</v>
      </c>
      <c r="I14" s="15">
        <v>0</v>
      </c>
      <c r="J14" s="461">
        <v>46</v>
      </c>
      <c r="K14" s="16">
        <v>0</v>
      </c>
      <c r="L14" s="16">
        <v>0</v>
      </c>
      <c r="M14" s="549">
        <v>0</v>
      </c>
      <c r="N14" s="550">
        <v>0</v>
      </c>
      <c r="O14" s="460">
        <f>9!I25</f>
        <v>71</v>
      </c>
      <c r="P14" s="461">
        <v>0</v>
      </c>
      <c r="Q14" s="551">
        <v>0</v>
      </c>
      <c r="R14" s="14">
        <f t="shared" si="0"/>
        <v>0</v>
      </c>
      <c r="S14" s="15">
        <f t="shared" si="1"/>
        <v>0</v>
      </c>
      <c r="T14" s="15">
        <f t="shared" si="2"/>
        <v>163</v>
      </c>
      <c r="U14" s="16">
        <f t="shared" si="3"/>
        <v>0</v>
      </c>
      <c r="V14" s="16">
        <f t="shared" si="4"/>
        <v>0</v>
      </c>
      <c r="W14" s="38">
        <f t="shared" si="5"/>
        <v>1.8111111111111111</v>
      </c>
      <c r="X14" s="458" t="s">
        <v>680</v>
      </c>
      <c r="Y14" s="459" t="s">
        <v>681</v>
      </c>
    </row>
    <row r="15" spans="2:25" ht="27" customHeight="1">
      <c r="B15" s="13" t="s">
        <v>196</v>
      </c>
      <c r="C15" s="17">
        <v>3</v>
      </c>
      <c r="D15" s="15">
        <v>0</v>
      </c>
      <c r="E15" s="15">
        <v>48</v>
      </c>
      <c r="F15" s="15">
        <v>11</v>
      </c>
      <c r="G15" s="18">
        <v>0</v>
      </c>
      <c r="H15" s="19">
        <v>0</v>
      </c>
      <c r="I15" s="15">
        <v>0</v>
      </c>
      <c r="J15" s="461">
        <v>36</v>
      </c>
      <c r="K15" s="16">
        <v>0</v>
      </c>
      <c r="L15" s="16">
        <v>0</v>
      </c>
      <c r="M15" s="549">
        <v>5</v>
      </c>
      <c r="N15" s="550">
        <v>0</v>
      </c>
      <c r="O15" s="460">
        <f>9!I26</f>
        <v>40</v>
      </c>
      <c r="P15" s="461">
        <v>7</v>
      </c>
      <c r="Q15" s="551">
        <v>0</v>
      </c>
      <c r="R15" s="14">
        <f t="shared" si="0"/>
        <v>8</v>
      </c>
      <c r="S15" s="15">
        <f t="shared" si="1"/>
        <v>0</v>
      </c>
      <c r="T15" s="15">
        <f t="shared" si="2"/>
        <v>124</v>
      </c>
      <c r="U15" s="16">
        <f t="shared" si="3"/>
        <v>18</v>
      </c>
      <c r="V15" s="16">
        <f t="shared" si="4"/>
        <v>0</v>
      </c>
      <c r="W15" s="38">
        <f t="shared" si="5"/>
        <v>1.2926829268292683</v>
      </c>
      <c r="X15" s="38">
        <f t="shared" si="6"/>
        <v>2.25</v>
      </c>
      <c r="Y15" s="459" t="s">
        <v>681</v>
      </c>
    </row>
    <row r="16" spans="2:25" ht="27" customHeight="1">
      <c r="B16" s="13" t="s">
        <v>197</v>
      </c>
      <c r="C16" s="17">
        <v>26</v>
      </c>
      <c r="D16" s="15">
        <v>1</v>
      </c>
      <c r="E16" s="15">
        <v>71</v>
      </c>
      <c r="F16" s="15">
        <v>66</v>
      </c>
      <c r="G16" s="18">
        <v>3</v>
      </c>
      <c r="H16" s="19">
        <v>9</v>
      </c>
      <c r="I16" s="15">
        <v>0</v>
      </c>
      <c r="J16" s="461">
        <v>43</v>
      </c>
      <c r="K16" s="16">
        <v>19</v>
      </c>
      <c r="L16" s="16">
        <v>0</v>
      </c>
      <c r="M16" s="549">
        <v>11</v>
      </c>
      <c r="N16" s="550">
        <v>0</v>
      </c>
      <c r="O16" s="460">
        <f>9!I27</f>
        <v>48</v>
      </c>
      <c r="P16" s="461">
        <v>19</v>
      </c>
      <c r="Q16" s="551">
        <v>0</v>
      </c>
      <c r="R16" s="14">
        <f t="shared" si="0"/>
        <v>46</v>
      </c>
      <c r="S16" s="15">
        <f t="shared" si="1"/>
        <v>1</v>
      </c>
      <c r="T16" s="15">
        <f t="shared" si="2"/>
        <v>162</v>
      </c>
      <c r="U16" s="16">
        <f t="shared" si="3"/>
        <v>104</v>
      </c>
      <c r="V16" s="16">
        <f t="shared" si="4"/>
        <v>3</v>
      </c>
      <c r="W16" s="38">
        <f t="shared" si="5"/>
        <v>1.3181818181818181</v>
      </c>
      <c r="X16" s="38">
        <f t="shared" si="6"/>
        <v>2.260869565217391</v>
      </c>
      <c r="Y16" s="39">
        <f t="shared" si="7"/>
        <v>3</v>
      </c>
    </row>
    <row r="17" spans="2:25" ht="27" customHeight="1">
      <c r="B17" s="13" t="s">
        <v>198</v>
      </c>
      <c r="C17" s="17">
        <v>4</v>
      </c>
      <c r="D17" s="15">
        <v>0</v>
      </c>
      <c r="E17" s="15">
        <v>39</v>
      </c>
      <c r="F17" s="15">
        <v>4</v>
      </c>
      <c r="G17" s="18">
        <v>0</v>
      </c>
      <c r="H17" s="19">
        <v>16</v>
      </c>
      <c r="I17" s="15">
        <v>0</v>
      </c>
      <c r="J17" s="461">
        <v>40</v>
      </c>
      <c r="K17" s="16">
        <v>23</v>
      </c>
      <c r="L17" s="16">
        <v>0</v>
      </c>
      <c r="M17" s="549">
        <v>16</v>
      </c>
      <c r="N17" s="550">
        <v>1</v>
      </c>
      <c r="O17" s="460">
        <f>9!I28</f>
        <v>57</v>
      </c>
      <c r="P17" s="461">
        <v>34</v>
      </c>
      <c r="Q17" s="551">
        <v>3</v>
      </c>
      <c r="R17" s="14">
        <f t="shared" si="0"/>
        <v>36</v>
      </c>
      <c r="S17" s="15">
        <f t="shared" si="1"/>
        <v>1</v>
      </c>
      <c r="T17" s="15">
        <f t="shared" si="2"/>
        <v>136</v>
      </c>
      <c r="U17" s="16">
        <f t="shared" si="3"/>
        <v>61</v>
      </c>
      <c r="V17" s="16">
        <f t="shared" si="4"/>
        <v>3</v>
      </c>
      <c r="W17" s="38">
        <f t="shared" si="5"/>
        <v>1.3888888888888888</v>
      </c>
      <c r="X17" s="38">
        <f t="shared" si="6"/>
        <v>1.6944444444444444</v>
      </c>
      <c r="Y17" s="39">
        <f t="shared" si="7"/>
        <v>3</v>
      </c>
    </row>
    <row r="18" spans="2:25" ht="27" customHeight="1">
      <c r="B18" s="13" t="s">
        <v>199</v>
      </c>
      <c r="C18" s="17">
        <v>23</v>
      </c>
      <c r="D18" s="15">
        <v>1</v>
      </c>
      <c r="E18" s="15">
        <v>52</v>
      </c>
      <c r="F18" s="15">
        <v>40</v>
      </c>
      <c r="G18" s="18">
        <v>4</v>
      </c>
      <c r="H18" s="19">
        <v>12</v>
      </c>
      <c r="I18" s="15">
        <v>0</v>
      </c>
      <c r="J18" s="461">
        <v>56</v>
      </c>
      <c r="K18" s="16">
        <v>22</v>
      </c>
      <c r="L18" s="16">
        <v>0</v>
      </c>
      <c r="M18" s="549">
        <v>15</v>
      </c>
      <c r="N18" s="550">
        <v>0</v>
      </c>
      <c r="O18" s="460">
        <f>9!I29</f>
        <v>72</v>
      </c>
      <c r="P18" s="461">
        <v>40</v>
      </c>
      <c r="Q18" s="551">
        <v>0</v>
      </c>
      <c r="R18" s="14">
        <f t="shared" si="0"/>
        <v>50</v>
      </c>
      <c r="S18" s="15">
        <f t="shared" si="1"/>
        <v>1</v>
      </c>
      <c r="T18" s="15">
        <f t="shared" si="2"/>
        <v>180</v>
      </c>
      <c r="U18" s="16">
        <f t="shared" si="3"/>
        <v>102</v>
      </c>
      <c r="V18" s="16">
        <f t="shared" si="4"/>
        <v>4</v>
      </c>
      <c r="W18" s="38">
        <f t="shared" si="5"/>
        <v>1.95</v>
      </c>
      <c r="X18" s="38">
        <f t="shared" si="6"/>
        <v>2.04</v>
      </c>
      <c r="Y18" s="39">
        <f t="shared" si="7"/>
        <v>4</v>
      </c>
    </row>
    <row r="19" spans="2:25" ht="27" customHeight="1" thickBot="1">
      <c r="B19" s="20" t="s">
        <v>418</v>
      </c>
      <c r="C19" s="24">
        <v>138</v>
      </c>
      <c r="D19" s="22">
        <v>11</v>
      </c>
      <c r="E19" s="22">
        <f>SUM(E7:E18)</f>
        <v>654</v>
      </c>
      <c r="F19" s="22">
        <v>338</v>
      </c>
      <c r="G19" s="25">
        <v>35</v>
      </c>
      <c r="H19" s="26">
        <f>SUM(H7:H18)</f>
        <v>157</v>
      </c>
      <c r="I19" s="22">
        <f>SUM(I7:I18)</f>
        <v>16</v>
      </c>
      <c r="J19" s="462">
        <f>SUM(J7:J18)</f>
        <v>697</v>
      </c>
      <c r="K19" s="23">
        <f>SUM(K7:K18)</f>
        <v>384</v>
      </c>
      <c r="L19" s="23">
        <f>SUM(L7:L18)</f>
        <v>62</v>
      </c>
      <c r="M19" s="552">
        <v>143</v>
      </c>
      <c r="N19" s="462">
        <v>29</v>
      </c>
      <c r="O19" s="462">
        <f>SUM(O7:O18)</f>
        <v>707</v>
      </c>
      <c r="P19" s="553">
        <v>341</v>
      </c>
      <c r="Q19" s="554">
        <v>86</v>
      </c>
      <c r="R19" s="21">
        <f t="shared" si="0"/>
        <v>438</v>
      </c>
      <c r="S19" s="22">
        <f t="shared" si="1"/>
        <v>56</v>
      </c>
      <c r="T19" s="27">
        <f>SUM(E19,J19,O19)</f>
        <v>2058</v>
      </c>
      <c r="U19" s="28">
        <f t="shared" si="3"/>
        <v>1063</v>
      </c>
      <c r="V19" s="23">
        <f t="shared" si="4"/>
        <v>183</v>
      </c>
      <c r="W19" s="40">
        <f>(T19-U19)/(90*12-R19)</f>
        <v>1.5498442367601246</v>
      </c>
      <c r="X19" s="40">
        <f t="shared" si="6"/>
        <v>2.4269406392694064</v>
      </c>
      <c r="Y19" s="41">
        <f t="shared" si="7"/>
        <v>3.267857142857143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3"/>
  <sheetViews>
    <sheetView view="pageBreakPreview" zoomScale="130" zoomScaleNormal="85" zoomScaleSheetLayoutView="130" workbookViewId="0" topLeftCell="A39">
      <selection activeCell="D73" sqref="D73"/>
    </sheetView>
  </sheetViews>
  <sheetFormatPr defaultColWidth="9.00390625" defaultRowHeight="13.5"/>
  <cols>
    <col min="1" max="2" width="9.00390625" style="296" customWidth="1"/>
    <col min="3" max="3" width="7.50390625" style="296" bestFit="1" customWidth="1"/>
    <col min="4" max="4" width="19.00390625" style="296" customWidth="1"/>
    <col min="5" max="16384" width="9.00390625" style="296" customWidth="1"/>
  </cols>
  <sheetData>
    <row r="2" spans="2:4" ht="13.5">
      <c r="B2" s="296" t="s">
        <v>97</v>
      </c>
      <c r="C2" s="396" t="s">
        <v>89</v>
      </c>
      <c r="D2" s="296" t="s">
        <v>699</v>
      </c>
    </row>
    <row r="3" spans="2:4" ht="13.5">
      <c r="B3" s="647" t="s">
        <v>112</v>
      </c>
      <c r="C3" s="650">
        <f>'17'!H24/D3*10000</f>
        <v>24.390243902439025</v>
      </c>
      <c r="D3" s="649">
        <v>1230</v>
      </c>
    </row>
    <row r="4" spans="2:4" ht="13.5">
      <c r="B4" s="647" t="s">
        <v>120</v>
      </c>
      <c r="C4" s="650">
        <f>'17'!H32/D4*10000</f>
        <v>19.68503937007874</v>
      </c>
      <c r="D4" s="649">
        <v>6096</v>
      </c>
    </row>
    <row r="5" spans="2:4" ht="13.5">
      <c r="B5" s="647" t="s">
        <v>117</v>
      </c>
      <c r="C5" s="650">
        <f>'17'!H29/D5*10000</f>
        <v>10.890280424720936</v>
      </c>
      <c r="D5" s="649">
        <v>3673</v>
      </c>
    </row>
    <row r="6" spans="2:4" ht="13.5">
      <c r="B6" s="647" t="s">
        <v>113</v>
      </c>
      <c r="C6" s="650">
        <f>'17'!H25/D6*10000</f>
        <v>9.23557828928673</v>
      </c>
      <c r="D6" s="649">
        <v>14076</v>
      </c>
    </row>
    <row r="7" spans="2:4" ht="13.5">
      <c r="B7" s="647" t="s">
        <v>114</v>
      </c>
      <c r="C7" s="650">
        <f>'17'!H26/D7*10000</f>
        <v>7.972362476747276</v>
      </c>
      <c r="D7" s="649">
        <v>3763</v>
      </c>
    </row>
    <row r="8" spans="2:4" ht="13.5">
      <c r="B8" s="647" t="s">
        <v>480</v>
      </c>
      <c r="C8" s="650">
        <f>'17'!H20/D8*10000</f>
        <v>7.5149124043022875</v>
      </c>
      <c r="D8" s="649">
        <v>21291</v>
      </c>
    </row>
    <row r="9" spans="2:4" ht="13.5">
      <c r="B9" s="647" t="s">
        <v>119</v>
      </c>
      <c r="C9" s="650">
        <f>'17'!H31/D9*10000</f>
        <v>7.016066792955869</v>
      </c>
      <c r="D9" s="649">
        <v>14253</v>
      </c>
    </row>
    <row r="10" spans="2:4" ht="13.5">
      <c r="B10" s="647" t="s">
        <v>106</v>
      </c>
      <c r="C10" s="650">
        <f>'17'!H15/D10*10000</f>
        <v>6.829434864264982</v>
      </c>
      <c r="D10" s="649">
        <v>40999</v>
      </c>
    </row>
    <row r="11" spans="2:4" ht="13.5">
      <c r="B11" s="648" t="s">
        <v>684</v>
      </c>
      <c r="C11" s="650">
        <f>'17'!H19/D11*10000</f>
        <v>6.7987127770475455</v>
      </c>
      <c r="D11" s="649">
        <v>66189</v>
      </c>
    </row>
    <row r="12" spans="2:4" ht="13.5">
      <c r="B12" s="647" t="s">
        <v>108</v>
      </c>
      <c r="C12" s="650">
        <f>'17'!H17/D12*10000</f>
        <v>6.780044070286457</v>
      </c>
      <c r="D12" s="649">
        <v>17699</v>
      </c>
    </row>
    <row r="13" spans="2:4" ht="13.5">
      <c r="B13" s="647" t="s">
        <v>116</v>
      </c>
      <c r="C13" s="650">
        <f>'17'!H28/D13*10000</f>
        <v>6.1893955023726015</v>
      </c>
      <c r="D13" s="649">
        <v>4847</v>
      </c>
    </row>
    <row r="14" spans="2:4" ht="13.5">
      <c r="B14" s="647" t="s">
        <v>115</v>
      </c>
      <c r="C14" s="650">
        <f>'17'!H27/D14*10000</f>
        <v>6.150061500615006</v>
      </c>
      <c r="D14" s="649">
        <v>1626</v>
      </c>
    </row>
    <row r="15" spans="2:4" ht="13.5">
      <c r="B15" s="647" t="s">
        <v>107</v>
      </c>
      <c r="C15" s="650">
        <f>'17'!H16/D15*10000</f>
        <v>6.124721603563474</v>
      </c>
      <c r="D15" s="649">
        <v>35920</v>
      </c>
    </row>
    <row r="16" spans="2:4" ht="13.5">
      <c r="B16" s="647" t="s">
        <v>105</v>
      </c>
      <c r="C16" s="650">
        <f>'17'!H14/D16*10000</f>
        <v>5.37514827995255</v>
      </c>
      <c r="D16" s="649">
        <v>53952</v>
      </c>
    </row>
    <row r="17" spans="2:4" ht="13.5">
      <c r="B17" s="647" t="s">
        <v>104</v>
      </c>
      <c r="C17" s="650">
        <f>'17'!H13/D17*10000</f>
        <v>5.312110646435574</v>
      </c>
      <c r="D17" s="649">
        <v>103537</v>
      </c>
    </row>
    <row r="18" spans="2:4" ht="13.5">
      <c r="B18" s="647" t="s">
        <v>102</v>
      </c>
      <c r="C18" s="650">
        <f>'17'!H11/D18*10000</f>
        <v>5.1505240658236975</v>
      </c>
      <c r="D18" s="649">
        <v>116493</v>
      </c>
    </row>
    <row r="19" spans="2:4" ht="13.5">
      <c r="B19" s="647" t="s">
        <v>121</v>
      </c>
      <c r="C19" s="650">
        <f>'17'!H33/D19*10000</f>
        <v>5.047955577990914</v>
      </c>
      <c r="D19" s="649">
        <v>5943</v>
      </c>
    </row>
    <row r="20" spans="2:4" ht="13.5">
      <c r="B20" s="647" t="s">
        <v>99</v>
      </c>
      <c r="C20" s="650">
        <f>'17'!H8/D20*10000</f>
        <v>4.9774059326204645</v>
      </c>
      <c r="D20" s="649">
        <v>178808</v>
      </c>
    </row>
    <row r="21" spans="2:4" ht="13.5">
      <c r="B21" s="647" t="s">
        <v>118</v>
      </c>
      <c r="C21" s="650">
        <f>'17'!H30/D21*10000</f>
        <v>4.913703089490818</v>
      </c>
      <c r="D21" s="649">
        <v>16281</v>
      </c>
    </row>
    <row r="22" spans="2:4" ht="13.5">
      <c r="B22" s="647" t="s">
        <v>98</v>
      </c>
      <c r="C22" s="650">
        <f>'17'!H7/D22*10000</f>
        <v>3.9937477190880486</v>
      </c>
      <c r="D22" s="649">
        <v>290454</v>
      </c>
    </row>
    <row r="23" spans="2:4" ht="13.5">
      <c r="B23" s="647" t="s">
        <v>123</v>
      </c>
      <c r="C23" s="650">
        <f>'17'!H35/D23*10000</f>
        <v>3.9614419648752146</v>
      </c>
      <c r="D23" s="649">
        <v>7573</v>
      </c>
    </row>
    <row r="24" spans="2:4" ht="13.5">
      <c r="B24" s="647" t="s">
        <v>101</v>
      </c>
      <c r="C24" s="650">
        <f>'17'!H10/D24*10000</f>
        <v>3.8032016042595855</v>
      </c>
      <c r="D24" s="649">
        <v>57846</v>
      </c>
    </row>
    <row r="25" spans="2:4" ht="13.5">
      <c r="B25" s="647" t="s">
        <v>373</v>
      </c>
      <c r="C25" s="650">
        <f>'17'!H18/D25*10000</f>
        <v>3.742293829154438</v>
      </c>
      <c r="D25" s="649">
        <v>152313</v>
      </c>
    </row>
    <row r="26" spans="2:4" ht="13.5">
      <c r="B26" s="647" t="s">
        <v>100</v>
      </c>
      <c r="C26" s="650">
        <f>'17'!H9/D26*10000</f>
        <v>3.545821926737062</v>
      </c>
      <c r="D26" s="649">
        <v>191775</v>
      </c>
    </row>
    <row r="27" spans="2:4" ht="13.5">
      <c r="B27" s="647" t="s">
        <v>103</v>
      </c>
      <c r="C27" s="650">
        <f>'17'!H12/D27*10000</f>
        <v>3.361344537815126</v>
      </c>
      <c r="D27" s="649">
        <v>53550</v>
      </c>
    </row>
    <row r="28" spans="2:4" ht="13.5">
      <c r="B28" s="647" t="s">
        <v>110</v>
      </c>
      <c r="C28" s="650">
        <f>'17'!H22/D28*10000</f>
        <v>3.179650238473768</v>
      </c>
      <c r="D28" s="649">
        <v>9435</v>
      </c>
    </row>
    <row r="29" spans="2:4" ht="13.5">
      <c r="B29" s="647" t="s">
        <v>122</v>
      </c>
      <c r="C29" s="650">
        <f>'17'!H34/D29*10000</f>
        <v>2.449779519843214</v>
      </c>
      <c r="D29" s="649">
        <v>4082</v>
      </c>
    </row>
    <row r="30" spans="2:4" ht="13.5">
      <c r="B30" s="647" t="s">
        <v>111</v>
      </c>
      <c r="C30" s="650">
        <f>'17'!H23/D30*10000</f>
        <v>1.7974296755639436</v>
      </c>
      <c r="D30" s="649">
        <v>11127</v>
      </c>
    </row>
    <row r="31" spans="2:4" ht="13.5">
      <c r="B31" s="647" t="s">
        <v>109</v>
      </c>
      <c r="C31" s="650">
        <f>'17'!H21/D31*10000</f>
        <v>1.5620118712902218</v>
      </c>
      <c r="D31" s="649">
        <v>6402</v>
      </c>
    </row>
    <row r="32" spans="2:4" ht="13.5">
      <c r="B32" s="649"/>
      <c r="C32" s="650"/>
      <c r="D32" s="649"/>
    </row>
    <row r="33" ht="13.5">
      <c r="C33" s="396">
        <f>AVERAGE(C3:C31)</f>
        <v>6.474152567520536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4"/>
  <sheetViews>
    <sheetView view="pageBreakPreview" zoomScale="115" zoomScaleSheetLayoutView="115" workbookViewId="0" topLeftCell="A28">
      <selection activeCell="E73" sqref="E73"/>
    </sheetView>
  </sheetViews>
  <sheetFormatPr defaultColWidth="9.00390625" defaultRowHeight="13.5"/>
  <cols>
    <col min="1" max="2" width="9.00390625" style="296" customWidth="1"/>
    <col min="3" max="3" width="21.375" style="296" customWidth="1"/>
    <col min="4" max="16384" width="9.00390625" style="296" customWidth="1"/>
  </cols>
  <sheetData>
    <row r="2" spans="2:3" ht="13.5">
      <c r="B2" s="296" t="s">
        <v>97</v>
      </c>
      <c r="C2" s="388" t="s">
        <v>124</v>
      </c>
    </row>
    <row r="3" spans="1:3" ht="13.5">
      <c r="A3" s="401"/>
      <c r="B3" s="647" t="s">
        <v>116</v>
      </c>
      <c r="C3" s="653">
        <f>'17'!AK28/'17'!H28</f>
        <v>20743</v>
      </c>
    </row>
    <row r="4" spans="1:3" ht="13.5">
      <c r="A4" s="401"/>
      <c r="B4" s="648" t="s">
        <v>684</v>
      </c>
      <c r="C4" s="653">
        <f>'17'!AK19/'17'!H19</f>
        <v>3759.5555555555557</v>
      </c>
    </row>
    <row r="5" spans="1:3" ht="13.5">
      <c r="A5" s="401"/>
      <c r="B5" s="647" t="s">
        <v>120</v>
      </c>
      <c r="C5" s="653">
        <f>'17'!AK32/'17'!H32</f>
        <v>3279.25</v>
      </c>
    </row>
    <row r="6" spans="1:3" ht="13.5">
      <c r="A6" s="401"/>
      <c r="B6" s="647" t="s">
        <v>103</v>
      </c>
      <c r="C6" s="653">
        <f>'17'!AK12/'17'!H12</f>
        <v>3129.8888888888887</v>
      </c>
    </row>
    <row r="7" spans="1:3" ht="13.5">
      <c r="A7" s="401"/>
      <c r="B7" s="647" t="s">
        <v>108</v>
      </c>
      <c r="C7" s="653">
        <f>'17'!AK17/'17'!H17</f>
        <v>3081.75</v>
      </c>
    </row>
    <row r="8" spans="1:3" ht="13.5">
      <c r="A8" s="401"/>
      <c r="B8" s="647" t="s">
        <v>123</v>
      </c>
      <c r="C8" s="653">
        <f>'17'!AK35/'17'!H35</f>
        <v>2883.3333333333335</v>
      </c>
    </row>
    <row r="9" spans="1:3" ht="13.5">
      <c r="A9" s="401"/>
      <c r="B9" s="647" t="s">
        <v>373</v>
      </c>
      <c r="C9" s="653">
        <f>'17'!AK18/'17'!H18</f>
        <v>1928.0350877192982</v>
      </c>
    </row>
    <row r="10" spans="1:3" ht="13.5">
      <c r="A10" s="401"/>
      <c r="B10" s="647" t="s">
        <v>106</v>
      </c>
      <c r="C10" s="653">
        <f>'17'!AK15/'17'!H15</f>
        <v>1912</v>
      </c>
    </row>
    <row r="11" spans="1:3" ht="13.5">
      <c r="A11" s="401"/>
      <c r="B11" s="647" t="s">
        <v>99</v>
      </c>
      <c r="C11" s="653">
        <f>'17'!AK8/'17'!H8</f>
        <v>1591.4157303370787</v>
      </c>
    </row>
    <row r="12" spans="1:3" ht="13.5">
      <c r="A12" s="401"/>
      <c r="B12" s="647" t="s">
        <v>105</v>
      </c>
      <c r="C12" s="653">
        <f>'17'!AK14/'17'!H14</f>
        <v>1502.8275862068965</v>
      </c>
    </row>
    <row r="13" spans="1:3" ht="13.5">
      <c r="A13" s="401"/>
      <c r="B13" s="647" t="s">
        <v>100</v>
      </c>
      <c r="C13" s="653">
        <f>'17'!AK9/'17'!H9</f>
        <v>1439.735294117647</v>
      </c>
    </row>
    <row r="14" spans="1:3" ht="13.5">
      <c r="A14" s="401"/>
      <c r="B14" s="647" t="s">
        <v>113</v>
      </c>
      <c r="C14" s="653">
        <f>'17'!AK25/'17'!H25</f>
        <v>1403.3846153846155</v>
      </c>
    </row>
    <row r="15" spans="1:3" ht="13.5">
      <c r="A15" s="401"/>
      <c r="B15" s="647" t="s">
        <v>101</v>
      </c>
      <c r="C15" s="653">
        <f>'17'!AK10/'17'!H10</f>
        <v>1076.3636363636363</v>
      </c>
    </row>
    <row r="16" spans="1:3" ht="13.5">
      <c r="A16" s="401"/>
      <c r="B16" s="647" t="s">
        <v>480</v>
      </c>
      <c r="C16" s="653">
        <f>'17'!AK20/'17'!H20</f>
        <v>1024.3125</v>
      </c>
    </row>
    <row r="17" spans="1:3" ht="13.5">
      <c r="A17" s="401"/>
      <c r="B17" s="647" t="s">
        <v>104</v>
      </c>
      <c r="C17" s="653">
        <f>'17'!AK13/'17'!H13</f>
        <v>980.2363636363636</v>
      </c>
    </row>
    <row r="18" spans="1:3" ht="13.5">
      <c r="A18" s="401"/>
      <c r="B18" s="647" t="s">
        <v>119</v>
      </c>
      <c r="C18" s="653">
        <f>'17'!AK31/'17'!H31</f>
        <v>914.8</v>
      </c>
    </row>
    <row r="19" spans="1:3" ht="13.5">
      <c r="A19" s="401"/>
      <c r="B19" s="647" t="s">
        <v>121</v>
      </c>
      <c r="C19" s="653">
        <f>'17'!AK33/'17'!H33</f>
        <v>888.6666666666666</v>
      </c>
    </row>
    <row r="20" spans="1:3" ht="13.5">
      <c r="A20" s="401"/>
      <c r="B20" s="647" t="s">
        <v>98</v>
      </c>
      <c r="C20" s="653">
        <f>'17'!AK7/'17'!H7</f>
        <v>775.198275862069</v>
      </c>
    </row>
    <row r="21" spans="1:3" ht="13.5">
      <c r="A21" s="401"/>
      <c r="B21" s="647" t="s">
        <v>102</v>
      </c>
      <c r="C21" s="653">
        <f>'17'!AK11/'17'!H11</f>
        <v>580.75</v>
      </c>
    </row>
    <row r="22" spans="1:3" ht="13.5">
      <c r="A22" s="401"/>
      <c r="B22" s="647" t="s">
        <v>114</v>
      </c>
      <c r="C22" s="653">
        <f>'17'!AK26/'17'!H26</f>
        <v>471</v>
      </c>
    </row>
    <row r="23" spans="1:3" ht="13.5">
      <c r="A23" s="401"/>
      <c r="B23" s="647" t="s">
        <v>107</v>
      </c>
      <c r="C23" s="653">
        <f>'17'!AK16/'17'!H16</f>
        <v>390.6363636363636</v>
      </c>
    </row>
    <row r="24" spans="1:3" ht="13.5">
      <c r="A24" s="401"/>
      <c r="B24" s="647" t="s">
        <v>109</v>
      </c>
      <c r="C24" s="653">
        <f>'17'!AK21/'17'!H21</f>
        <v>333</v>
      </c>
    </row>
    <row r="25" spans="1:3" ht="13.5">
      <c r="A25" s="401"/>
      <c r="B25" s="647" t="s">
        <v>115</v>
      </c>
      <c r="C25" s="653">
        <f>'17'!AK27/'17'!H27</f>
        <v>102</v>
      </c>
    </row>
    <row r="26" spans="1:3" ht="13.5">
      <c r="A26" s="401"/>
      <c r="B26" s="647" t="s">
        <v>112</v>
      </c>
      <c r="C26" s="653">
        <f>'17'!AK24/'17'!H24</f>
        <v>35.666666666666664</v>
      </c>
    </row>
    <row r="27" spans="1:3" ht="13.5">
      <c r="A27" s="401"/>
      <c r="B27" s="647" t="s">
        <v>118</v>
      </c>
      <c r="C27" s="653">
        <f>'17'!AK30/'17'!H30</f>
        <v>27.875</v>
      </c>
    </row>
    <row r="28" spans="1:3" ht="13.5">
      <c r="A28" s="401"/>
      <c r="B28" s="647" t="s">
        <v>111</v>
      </c>
      <c r="C28" s="653">
        <f>'17'!AK23/'17'!H23</f>
        <v>1.5</v>
      </c>
    </row>
    <row r="29" spans="1:3" ht="13.5">
      <c r="A29" s="401"/>
      <c r="B29" s="647" t="s">
        <v>110</v>
      </c>
      <c r="C29" s="653">
        <f>'17'!AK22/'17'!H22</f>
        <v>0.3333333333333333</v>
      </c>
    </row>
    <row r="30" spans="1:3" ht="13.5">
      <c r="A30" s="401"/>
      <c r="B30" s="647" t="s">
        <v>117</v>
      </c>
      <c r="C30" s="653">
        <f>'17'!AK29/'17'!H29</f>
        <v>0</v>
      </c>
    </row>
    <row r="31" spans="1:3" ht="13.5">
      <c r="A31" s="401"/>
      <c r="B31" s="647" t="s">
        <v>122</v>
      </c>
      <c r="C31" s="653">
        <f>'17'!AK34/'17'!H34</f>
        <v>0</v>
      </c>
    </row>
    <row r="32" spans="1:3" ht="13.5">
      <c r="A32" s="401"/>
      <c r="B32" s="654"/>
      <c r="C32" s="655"/>
    </row>
    <row r="33" ht="13.5">
      <c r="B33" s="388"/>
    </row>
    <row r="34" spans="2:3" ht="13.5">
      <c r="B34" s="296" t="s">
        <v>125</v>
      </c>
      <c r="C34" s="388">
        <f>AVERAGE(C3:C31)</f>
        <v>1870.9143068175322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60" zoomScaleNormal="70" workbookViewId="0" topLeftCell="A1">
      <selection activeCell="AF6" sqref="AF6"/>
    </sheetView>
  </sheetViews>
  <sheetFormatPr defaultColWidth="9.00390625" defaultRowHeight="13.5"/>
  <cols>
    <col min="1" max="1" width="4.625" style="163" customWidth="1"/>
    <col min="2" max="29" width="3.625" style="163" customWidth="1"/>
    <col min="30" max="30" width="2.375" style="163" customWidth="1"/>
    <col min="31" max="31" width="3.625" style="163" customWidth="1"/>
    <col min="32" max="32" width="6.125" style="163" customWidth="1"/>
    <col min="33" max="42" width="6.625" style="163" customWidth="1"/>
    <col min="43" max="16384" width="3.625" style="163" customWidth="1"/>
  </cols>
  <sheetData>
    <row r="1" spans="2:30" s="158" customFormat="1" ht="29.25" customHeight="1">
      <c r="B1" s="688" t="s">
        <v>21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</row>
    <row r="2" s="159" customFormat="1" ht="14.25" customHeight="1" thickBot="1"/>
    <row r="3" spans="2:30" s="47" customFormat="1" ht="42" customHeight="1" thickBot="1">
      <c r="B3" s="689" t="s">
        <v>126</v>
      </c>
      <c r="C3" s="694"/>
      <c r="D3" s="694"/>
      <c r="E3" s="694"/>
      <c r="F3" s="157" t="s">
        <v>127</v>
      </c>
      <c r="G3" s="690" t="s">
        <v>553</v>
      </c>
      <c r="H3" s="694"/>
      <c r="I3" s="694"/>
      <c r="J3" s="694"/>
      <c r="K3" s="693" t="s">
        <v>554</v>
      </c>
      <c r="L3" s="694"/>
      <c r="M3" s="694"/>
      <c r="N3" s="694"/>
      <c r="O3" s="695" t="s">
        <v>701</v>
      </c>
      <c r="P3" s="696"/>
      <c r="Q3" s="696"/>
      <c r="R3" s="696"/>
      <c r="S3" s="693" t="s">
        <v>128</v>
      </c>
      <c r="T3" s="694"/>
      <c r="U3" s="694"/>
      <c r="V3" s="694"/>
      <c r="W3" s="695" t="s">
        <v>129</v>
      </c>
      <c r="X3" s="696"/>
      <c r="Y3" s="696"/>
      <c r="Z3" s="696"/>
      <c r="AA3" s="695" t="s">
        <v>130</v>
      </c>
      <c r="AB3" s="696"/>
      <c r="AC3" s="696"/>
      <c r="AD3" s="697"/>
    </row>
    <row r="4" spans="2:30" s="159" customFormat="1" ht="29.25" customHeight="1">
      <c r="B4" s="691" t="s">
        <v>38</v>
      </c>
      <c r="C4" s="686" t="s">
        <v>131</v>
      </c>
      <c r="D4" s="686"/>
      <c r="E4" s="686"/>
      <c r="F4" s="160" t="s">
        <v>132</v>
      </c>
      <c r="G4" s="687">
        <f>SUM(G5:J10)</f>
        <v>707</v>
      </c>
      <c r="H4" s="681"/>
      <c r="I4" s="681"/>
      <c r="J4" s="681"/>
      <c r="K4" s="682">
        <f>SUM(K5:N10)</f>
        <v>697</v>
      </c>
      <c r="L4" s="683"/>
      <c r="M4" s="683"/>
      <c r="N4" s="684"/>
      <c r="O4" s="681">
        <f>SUM(O5:R10)</f>
        <v>770.5000000000001</v>
      </c>
      <c r="P4" s="681"/>
      <c r="Q4" s="681"/>
      <c r="R4" s="681"/>
      <c r="S4" s="726">
        <f>G4-K4</f>
        <v>10</v>
      </c>
      <c r="T4" s="726"/>
      <c r="U4" s="726"/>
      <c r="V4" s="726"/>
      <c r="W4" s="727">
        <f>(G4-K4)/K4</f>
        <v>0.014347202295552367</v>
      </c>
      <c r="X4" s="727"/>
      <c r="Y4" s="727"/>
      <c r="Z4" s="727"/>
      <c r="AA4" s="727">
        <f>(G4-O4)/O4</f>
        <v>-0.08241401687216107</v>
      </c>
      <c r="AB4" s="727"/>
      <c r="AC4" s="727"/>
      <c r="AD4" s="728"/>
    </row>
    <row r="5" spans="2:30" s="159" customFormat="1" ht="29.25" customHeight="1">
      <c r="B5" s="685"/>
      <c r="C5" s="679" t="s">
        <v>133</v>
      </c>
      <c r="D5" s="679"/>
      <c r="E5" s="679"/>
      <c r="F5" s="161" t="s">
        <v>132</v>
      </c>
      <c r="G5" s="680">
        <f>9!C17</f>
        <v>349</v>
      </c>
      <c r="H5" s="723"/>
      <c r="I5" s="723"/>
      <c r="J5" s="723"/>
      <c r="K5" s="724">
        <f>9!C15</f>
        <v>382</v>
      </c>
      <c r="L5" s="725"/>
      <c r="M5" s="725"/>
      <c r="N5" s="680"/>
      <c r="O5" s="723">
        <f>9!C16</f>
        <v>405.8</v>
      </c>
      <c r="P5" s="723"/>
      <c r="Q5" s="723"/>
      <c r="R5" s="723"/>
      <c r="S5" s="729">
        <f aca="true" t="shared" si="0" ref="S5:S28">G5-K5</f>
        <v>-33</v>
      </c>
      <c r="T5" s="729"/>
      <c r="U5" s="729"/>
      <c r="V5" s="729"/>
      <c r="W5" s="730">
        <f aca="true" t="shared" si="1" ref="W5:W28">(G5-K5)/K5</f>
        <v>-0.08638743455497382</v>
      </c>
      <c r="X5" s="730"/>
      <c r="Y5" s="730"/>
      <c r="Z5" s="730"/>
      <c r="AA5" s="730">
        <f aca="true" t="shared" si="2" ref="AA5:AA28">(G5-O5)/O5</f>
        <v>-0.1399704287826516</v>
      </c>
      <c r="AB5" s="730"/>
      <c r="AC5" s="730"/>
      <c r="AD5" s="731"/>
    </row>
    <row r="6" spans="2:30" s="159" customFormat="1" ht="29.25" customHeight="1">
      <c r="B6" s="685"/>
      <c r="C6" s="679" t="s">
        <v>134</v>
      </c>
      <c r="D6" s="679"/>
      <c r="E6" s="679"/>
      <c r="F6" s="161" t="s">
        <v>132</v>
      </c>
      <c r="G6" s="680">
        <f>9!D17</f>
        <v>59</v>
      </c>
      <c r="H6" s="723"/>
      <c r="I6" s="723"/>
      <c r="J6" s="723"/>
      <c r="K6" s="724">
        <f>9!D15</f>
        <v>62</v>
      </c>
      <c r="L6" s="725"/>
      <c r="M6" s="725"/>
      <c r="N6" s="680"/>
      <c r="O6" s="723">
        <f>9!D16</f>
        <v>75.4</v>
      </c>
      <c r="P6" s="723"/>
      <c r="Q6" s="723"/>
      <c r="R6" s="723"/>
      <c r="S6" s="729">
        <f t="shared" si="0"/>
        <v>-3</v>
      </c>
      <c r="T6" s="729"/>
      <c r="U6" s="729"/>
      <c r="V6" s="729"/>
      <c r="W6" s="730">
        <f t="shared" si="1"/>
        <v>-0.04838709677419355</v>
      </c>
      <c r="X6" s="730"/>
      <c r="Y6" s="730"/>
      <c r="Z6" s="730"/>
      <c r="AA6" s="730">
        <f t="shared" si="2"/>
        <v>-0.2175066312997348</v>
      </c>
      <c r="AB6" s="730"/>
      <c r="AC6" s="730"/>
      <c r="AD6" s="731"/>
    </row>
    <row r="7" spans="2:30" s="159" customFormat="1" ht="29.25" customHeight="1">
      <c r="B7" s="685"/>
      <c r="C7" s="679" t="s">
        <v>135</v>
      </c>
      <c r="D7" s="679"/>
      <c r="E7" s="679"/>
      <c r="F7" s="161" t="s">
        <v>132</v>
      </c>
      <c r="G7" s="680">
        <f>9!E17</f>
        <v>73</v>
      </c>
      <c r="H7" s="723"/>
      <c r="I7" s="723"/>
      <c r="J7" s="723"/>
      <c r="K7" s="724">
        <f>9!E15</f>
        <v>73</v>
      </c>
      <c r="L7" s="725"/>
      <c r="M7" s="725"/>
      <c r="N7" s="680"/>
      <c r="O7" s="723">
        <f>9!E16</f>
        <v>81.1</v>
      </c>
      <c r="P7" s="723"/>
      <c r="Q7" s="723"/>
      <c r="R7" s="723"/>
      <c r="S7" s="729">
        <f t="shared" si="0"/>
        <v>0</v>
      </c>
      <c r="T7" s="729"/>
      <c r="U7" s="729"/>
      <c r="V7" s="729"/>
      <c r="W7" s="730">
        <f t="shared" si="1"/>
        <v>0</v>
      </c>
      <c r="X7" s="730"/>
      <c r="Y7" s="730"/>
      <c r="Z7" s="730"/>
      <c r="AA7" s="730">
        <f>(G7-O7)/O7</f>
        <v>-0.09987669543773113</v>
      </c>
      <c r="AB7" s="730"/>
      <c r="AC7" s="730"/>
      <c r="AD7" s="731"/>
    </row>
    <row r="8" spans="2:30" s="159" customFormat="1" ht="29.25" customHeight="1">
      <c r="B8" s="685"/>
      <c r="C8" s="679" t="s">
        <v>136</v>
      </c>
      <c r="D8" s="679"/>
      <c r="E8" s="679"/>
      <c r="F8" s="161" t="s">
        <v>132</v>
      </c>
      <c r="G8" s="680">
        <f>9!F17</f>
        <v>3</v>
      </c>
      <c r="H8" s="723"/>
      <c r="I8" s="723"/>
      <c r="J8" s="723"/>
      <c r="K8" s="724">
        <f>9!F15</f>
        <v>8</v>
      </c>
      <c r="L8" s="725"/>
      <c r="M8" s="725"/>
      <c r="N8" s="680"/>
      <c r="O8" s="723">
        <f>9!F16</f>
        <v>3.6</v>
      </c>
      <c r="P8" s="723"/>
      <c r="Q8" s="723"/>
      <c r="R8" s="723"/>
      <c r="S8" s="729">
        <f t="shared" si="0"/>
        <v>-5</v>
      </c>
      <c r="T8" s="729"/>
      <c r="U8" s="729"/>
      <c r="V8" s="729"/>
      <c r="W8" s="730">
        <f t="shared" si="1"/>
        <v>-0.625</v>
      </c>
      <c r="X8" s="730"/>
      <c r="Y8" s="730"/>
      <c r="Z8" s="730"/>
      <c r="AA8" s="730">
        <f>(G8-O8)/O8</f>
        <v>-0.16666666666666669</v>
      </c>
      <c r="AB8" s="730"/>
      <c r="AC8" s="730"/>
      <c r="AD8" s="731"/>
    </row>
    <row r="9" spans="2:30" s="159" customFormat="1" ht="29.25" customHeight="1">
      <c r="B9" s="685"/>
      <c r="C9" s="679" t="s">
        <v>137</v>
      </c>
      <c r="D9" s="679"/>
      <c r="E9" s="679"/>
      <c r="F9" s="161" t="s">
        <v>132</v>
      </c>
      <c r="G9" s="680">
        <f>9!G17</f>
        <v>0</v>
      </c>
      <c r="H9" s="723"/>
      <c r="I9" s="723"/>
      <c r="J9" s="723"/>
      <c r="K9" s="724">
        <f>9!G15</f>
        <v>0</v>
      </c>
      <c r="L9" s="725"/>
      <c r="M9" s="725"/>
      <c r="N9" s="680"/>
      <c r="O9" s="723">
        <f>9!G16</f>
        <v>0.2</v>
      </c>
      <c r="P9" s="723"/>
      <c r="Q9" s="723"/>
      <c r="R9" s="723"/>
      <c r="S9" s="729">
        <f t="shared" si="0"/>
        <v>0</v>
      </c>
      <c r="T9" s="729"/>
      <c r="U9" s="729"/>
      <c r="V9" s="729"/>
      <c r="W9" s="730" t="s">
        <v>682</v>
      </c>
      <c r="X9" s="730"/>
      <c r="Y9" s="730"/>
      <c r="Z9" s="730"/>
      <c r="AA9" s="730">
        <f>(G9-O9)/O9</f>
        <v>-1</v>
      </c>
      <c r="AB9" s="730"/>
      <c r="AC9" s="730"/>
      <c r="AD9" s="731"/>
    </row>
    <row r="10" spans="2:30" s="159" customFormat="1" ht="29.25" customHeight="1">
      <c r="B10" s="685"/>
      <c r="C10" s="679" t="s">
        <v>138</v>
      </c>
      <c r="D10" s="679"/>
      <c r="E10" s="679"/>
      <c r="F10" s="161" t="s">
        <v>132</v>
      </c>
      <c r="G10" s="680">
        <f>9!H17</f>
        <v>223</v>
      </c>
      <c r="H10" s="723"/>
      <c r="I10" s="723"/>
      <c r="J10" s="723"/>
      <c r="K10" s="724">
        <f>9!H15</f>
        <v>172</v>
      </c>
      <c r="L10" s="725"/>
      <c r="M10" s="725"/>
      <c r="N10" s="680"/>
      <c r="O10" s="723">
        <f>9!H16</f>
        <v>204.4</v>
      </c>
      <c r="P10" s="723"/>
      <c r="Q10" s="723"/>
      <c r="R10" s="723"/>
      <c r="S10" s="729">
        <f t="shared" si="0"/>
        <v>51</v>
      </c>
      <c r="T10" s="729"/>
      <c r="U10" s="729"/>
      <c r="V10" s="729"/>
      <c r="W10" s="730">
        <f t="shared" si="1"/>
        <v>0.29651162790697677</v>
      </c>
      <c r="X10" s="730"/>
      <c r="Y10" s="730"/>
      <c r="Z10" s="730"/>
      <c r="AA10" s="730">
        <f t="shared" si="2"/>
        <v>0.09099804305283754</v>
      </c>
      <c r="AB10" s="730"/>
      <c r="AC10" s="730"/>
      <c r="AD10" s="731"/>
    </row>
    <row r="11" spans="2:30" s="159" customFormat="1" ht="29.25" customHeight="1">
      <c r="B11" s="685" t="s">
        <v>139</v>
      </c>
      <c r="C11" s="679" t="s">
        <v>131</v>
      </c>
      <c r="D11" s="679"/>
      <c r="E11" s="679"/>
      <c r="F11" s="161" t="s">
        <v>140</v>
      </c>
      <c r="G11" s="680">
        <f>SUM(G12:J14)</f>
        <v>507</v>
      </c>
      <c r="H11" s="723"/>
      <c r="I11" s="723"/>
      <c r="J11" s="723"/>
      <c r="K11" s="724">
        <f>SUM(K12:N14)</f>
        <v>583</v>
      </c>
      <c r="L11" s="725"/>
      <c r="M11" s="725"/>
      <c r="N11" s="680"/>
      <c r="O11" s="723">
        <f>SUM(O12:R14)</f>
        <v>547.9000000000001</v>
      </c>
      <c r="P11" s="723"/>
      <c r="Q11" s="723"/>
      <c r="R11" s="723"/>
      <c r="S11" s="729">
        <f t="shared" si="0"/>
        <v>-76</v>
      </c>
      <c r="T11" s="729"/>
      <c r="U11" s="729"/>
      <c r="V11" s="729"/>
      <c r="W11" s="730">
        <f t="shared" si="1"/>
        <v>-0.13036020583190394</v>
      </c>
      <c r="X11" s="730"/>
      <c r="Y11" s="730"/>
      <c r="Z11" s="730"/>
      <c r="AA11" s="730">
        <f t="shared" si="2"/>
        <v>-0.07464865851432759</v>
      </c>
      <c r="AB11" s="730"/>
      <c r="AC11" s="730"/>
      <c r="AD11" s="731"/>
    </row>
    <row r="12" spans="2:30" s="159" customFormat="1" ht="29.25" customHeight="1">
      <c r="B12" s="685"/>
      <c r="C12" s="679" t="s">
        <v>141</v>
      </c>
      <c r="D12" s="679"/>
      <c r="E12" s="679"/>
      <c r="F12" s="161" t="s">
        <v>140</v>
      </c>
      <c r="G12" s="680">
        <f>9!J17</f>
        <v>136</v>
      </c>
      <c r="H12" s="723"/>
      <c r="I12" s="723"/>
      <c r="J12" s="723"/>
      <c r="K12" s="724">
        <f>9!J15</f>
        <v>173</v>
      </c>
      <c r="L12" s="725"/>
      <c r="M12" s="725"/>
      <c r="N12" s="680"/>
      <c r="O12" s="723">
        <f>9!J16</f>
        <v>166.1</v>
      </c>
      <c r="P12" s="723"/>
      <c r="Q12" s="723"/>
      <c r="R12" s="723"/>
      <c r="S12" s="729">
        <f t="shared" si="0"/>
        <v>-37</v>
      </c>
      <c r="T12" s="729"/>
      <c r="U12" s="729"/>
      <c r="V12" s="729"/>
      <c r="W12" s="730">
        <f t="shared" si="1"/>
        <v>-0.2138728323699422</v>
      </c>
      <c r="X12" s="730"/>
      <c r="Y12" s="730"/>
      <c r="Z12" s="730"/>
      <c r="AA12" s="730">
        <f t="shared" si="2"/>
        <v>-0.18121613485851892</v>
      </c>
      <c r="AB12" s="730"/>
      <c r="AC12" s="730"/>
      <c r="AD12" s="731"/>
    </row>
    <row r="13" spans="2:30" s="159" customFormat="1" ht="29.25" customHeight="1">
      <c r="B13" s="685"/>
      <c r="C13" s="679" t="s">
        <v>142</v>
      </c>
      <c r="D13" s="679"/>
      <c r="E13" s="679"/>
      <c r="F13" s="161" t="s">
        <v>140</v>
      </c>
      <c r="G13" s="680">
        <f>9!K17</f>
        <v>36</v>
      </c>
      <c r="H13" s="723"/>
      <c r="I13" s="723"/>
      <c r="J13" s="723"/>
      <c r="K13" s="724">
        <f>9!K15</f>
        <v>59</v>
      </c>
      <c r="L13" s="725"/>
      <c r="M13" s="725"/>
      <c r="N13" s="680"/>
      <c r="O13" s="723">
        <f>9!K16</f>
        <v>45.2</v>
      </c>
      <c r="P13" s="723"/>
      <c r="Q13" s="723"/>
      <c r="R13" s="723"/>
      <c r="S13" s="729">
        <f t="shared" si="0"/>
        <v>-23</v>
      </c>
      <c r="T13" s="729"/>
      <c r="U13" s="729"/>
      <c r="V13" s="729"/>
      <c r="W13" s="730">
        <f t="shared" si="1"/>
        <v>-0.3898305084745763</v>
      </c>
      <c r="X13" s="730"/>
      <c r="Y13" s="730"/>
      <c r="Z13" s="730"/>
      <c r="AA13" s="730">
        <f t="shared" si="2"/>
        <v>-0.2035398230088496</v>
      </c>
      <c r="AB13" s="730"/>
      <c r="AC13" s="730"/>
      <c r="AD13" s="731"/>
    </row>
    <row r="14" spans="2:30" s="159" customFormat="1" ht="29.25" customHeight="1">
      <c r="B14" s="685"/>
      <c r="C14" s="732" t="s">
        <v>143</v>
      </c>
      <c r="D14" s="732"/>
      <c r="E14" s="732"/>
      <c r="F14" s="161" t="s">
        <v>140</v>
      </c>
      <c r="G14" s="680">
        <f>9!L17</f>
        <v>335</v>
      </c>
      <c r="H14" s="723"/>
      <c r="I14" s="723"/>
      <c r="J14" s="723"/>
      <c r="K14" s="724">
        <f>9!L15</f>
        <v>351</v>
      </c>
      <c r="L14" s="725"/>
      <c r="M14" s="725"/>
      <c r="N14" s="680"/>
      <c r="O14" s="723">
        <f>9!L16</f>
        <v>336.6</v>
      </c>
      <c r="P14" s="723"/>
      <c r="Q14" s="723"/>
      <c r="R14" s="723"/>
      <c r="S14" s="729">
        <f t="shared" si="0"/>
        <v>-16</v>
      </c>
      <c r="T14" s="729"/>
      <c r="U14" s="729"/>
      <c r="V14" s="729"/>
      <c r="W14" s="730">
        <f t="shared" si="1"/>
        <v>-0.045584045584045586</v>
      </c>
      <c r="X14" s="730"/>
      <c r="Y14" s="730"/>
      <c r="Z14" s="730"/>
      <c r="AA14" s="730">
        <f t="shared" si="2"/>
        <v>-0.0047534165181224676</v>
      </c>
      <c r="AB14" s="730"/>
      <c r="AC14" s="730"/>
      <c r="AD14" s="731"/>
    </row>
    <row r="15" spans="2:30" s="159" customFormat="1" ht="29.25" customHeight="1">
      <c r="B15" s="733" t="s">
        <v>144</v>
      </c>
      <c r="C15" s="679"/>
      <c r="D15" s="679"/>
      <c r="E15" s="679"/>
      <c r="F15" s="161" t="s">
        <v>145</v>
      </c>
      <c r="G15" s="680">
        <f>9!Q17</f>
        <v>331</v>
      </c>
      <c r="H15" s="723"/>
      <c r="I15" s="723"/>
      <c r="J15" s="723"/>
      <c r="K15" s="724">
        <f>9!Q15</f>
        <v>351</v>
      </c>
      <c r="L15" s="725"/>
      <c r="M15" s="725"/>
      <c r="N15" s="680"/>
      <c r="O15" s="723">
        <f>9!Q16</f>
        <v>376.2</v>
      </c>
      <c r="P15" s="723"/>
      <c r="Q15" s="723"/>
      <c r="R15" s="723"/>
      <c r="S15" s="729">
        <f t="shared" si="0"/>
        <v>-20</v>
      </c>
      <c r="T15" s="729"/>
      <c r="U15" s="729"/>
      <c r="V15" s="729"/>
      <c r="W15" s="730">
        <f t="shared" si="1"/>
        <v>-0.05698005698005698</v>
      </c>
      <c r="X15" s="730"/>
      <c r="Y15" s="730"/>
      <c r="Z15" s="730"/>
      <c r="AA15" s="730">
        <f t="shared" si="2"/>
        <v>-0.12014885699096223</v>
      </c>
      <c r="AB15" s="730"/>
      <c r="AC15" s="730"/>
      <c r="AD15" s="731"/>
    </row>
    <row r="16" spans="2:30" s="159" customFormat="1" ht="29.25" customHeight="1">
      <c r="B16" s="733" t="s">
        <v>146</v>
      </c>
      <c r="C16" s="679"/>
      <c r="D16" s="679"/>
      <c r="E16" s="679"/>
      <c r="F16" s="161" t="s">
        <v>147</v>
      </c>
      <c r="G16" s="680">
        <f>9!R17</f>
        <v>775</v>
      </c>
      <c r="H16" s="723"/>
      <c r="I16" s="723"/>
      <c r="J16" s="723"/>
      <c r="K16" s="724">
        <f>9!R15</f>
        <v>858</v>
      </c>
      <c r="L16" s="725"/>
      <c r="M16" s="725"/>
      <c r="N16" s="680"/>
      <c r="O16" s="734">
        <f>9!R16</f>
        <v>999.4</v>
      </c>
      <c r="P16" s="734"/>
      <c r="Q16" s="734"/>
      <c r="R16" s="734"/>
      <c r="S16" s="729">
        <f t="shared" si="0"/>
        <v>-83</v>
      </c>
      <c r="T16" s="729"/>
      <c r="U16" s="729"/>
      <c r="V16" s="729"/>
      <c r="W16" s="730">
        <f t="shared" si="1"/>
        <v>-0.09673659673659674</v>
      </c>
      <c r="X16" s="730"/>
      <c r="Y16" s="730"/>
      <c r="Z16" s="730"/>
      <c r="AA16" s="730">
        <f t="shared" si="2"/>
        <v>-0.22453472083249948</v>
      </c>
      <c r="AB16" s="730"/>
      <c r="AC16" s="730"/>
      <c r="AD16" s="731"/>
    </row>
    <row r="17" spans="2:30" s="159" customFormat="1" ht="29.25" customHeight="1">
      <c r="B17" s="685" t="s">
        <v>148</v>
      </c>
      <c r="C17" s="679" t="s">
        <v>131</v>
      </c>
      <c r="D17" s="679"/>
      <c r="E17" s="679"/>
      <c r="F17" s="161" t="s">
        <v>147</v>
      </c>
      <c r="G17" s="680">
        <f>SUM(G18:J19)</f>
        <v>134</v>
      </c>
      <c r="H17" s="723"/>
      <c r="I17" s="723"/>
      <c r="J17" s="723"/>
      <c r="K17" s="724">
        <f>SUM(K18:N19)</f>
        <v>120</v>
      </c>
      <c r="L17" s="725"/>
      <c r="M17" s="725"/>
      <c r="N17" s="680"/>
      <c r="O17" s="723">
        <f>SUM(O18:R19)</f>
        <v>126.7</v>
      </c>
      <c r="P17" s="723"/>
      <c r="Q17" s="723"/>
      <c r="R17" s="723"/>
      <c r="S17" s="729">
        <f t="shared" si="0"/>
        <v>14</v>
      </c>
      <c r="T17" s="729"/>
      <c r="U17" s="729"/>
      <c r="V17" s="729"/>
      <c r="W17" s="730">
        <f t="shared" si="1"/>
        <v>0.11666666666666667</v>
      </c>
      <c r="X17" s="730"/>
      <c r="Y17" s="730"/>
      <c r="Z17" s="730"/>
      <c r="AA17" s="730">
        <f t="shared" si="2"/>
        <v>0.05761641673243881</v>
      </c>
      <c r="AB17" s="730"/>
      <c r="AC17" s="730"/>
      <c r="AD17" s="731"/>
    </row>
    <row r="18" spans="2:30" s="159" customFormat="1" ht="29.25" customHeight="1">
      <c r="B18" s="685"/>
      <c r="C18" s="679" t="s">
        <v>149</v>
      </c>
      <c r="D18" s="679"/>
      <c r="E18" s="679"/>
      <c r="F18" s="161" t="s">
        <v>147</v>
      </c>
      <c r="G18" s="680">
        <f>9!V17</f>
        <v>36</v>
      </c>
      <c r="H18" s="723"/>
      <c r="I18" s="723"/>
      <c r="J18" s="723"/>
      <c r="K18" s="724">
        <f>9!V15</f>
        <v>31</v>
      </c>
      <c r="L18" s="725"/>
      <c r="M18" s="725"/>
      <c r="N18" s="680"/>
      <c r="O18" s="723">
        <f>9!V16</f>
        <v>29.7</v>
      </c>
      <c r="P18" s="723"/>
      <c r="Q18" s="723"/>
      <c r="R18" s="723"/>
      <c r="S18" s="729">
        <f t="shared" si="0"/>
        <v>5</v>
      </c>
      <c r="T18" s="729"/>
      <c r="U18" s="729"/>
      <c r="V18" s="729"/>
      <c r="W18" s="730">
        <f t="shared" si="1"/>
        <v>0.16129032258064516</v>
      </c>
      <c r="X18" s="730"/>
      <c r="Y18" s="730"/>
      <c r="Z18" s="730"/>
      <c r="AA18" s="730">
        <f t="shared" si="2"/>
        <v>0.21212121212121215</v>
      </c>
      <c r="AB18" s="730"/>
      <c r="AC18" s="730"/>
      <c r="AD18" s="731"/>
    </row>
    <row r="19" spans="2:30" s="159" customFormat="1" ht="29.25" customHeight="1">
      <c r="B19" s="685"/>
      <c r="C19" s="679" t="s">
        <v>150</v>
      </c>
      <c r="D19" s="679"/>
      <c r="E19" s="679"/>
      <c r="F19" s="161" t="s">
        <v>147</v>
      </c>
      <c r="G19" s="680">
        <f>9!Z17</f>
        <v>98</v>
      </c>
      <c r="H19" s="723"/>
      <c r="I19" s="723"/>
      <c r="J19" s="723"/>
      <c r="K19" s="724">
        <f>9!Z15</f>
        <v>89</v>
      </c>
      <c r="L19" s="725"/>
      <c r="M19" s="725"/>
      <c r="N19" s="680"/>
      <c r="O19" s="723">
        <f>9!Z16</f>
        <v>97</v>
      </c>
      <c r="P19" s="723"/>
      <c r="Q19" s="723"/>
      <c r="R19" s="723"/>
      <c r="S19" s="729">
        <f t="shared" si="0"/>
        <v>9</v>
      </c>
      <c r="T19" s="729"/>
      <c r="U19" s="729"/>
      <c r="V19" s="729"/>
      <c r="W19" s="730">
        <f t="shared" si="1"/>
        <v>0.10112359550561797</v>
      </c>
      <c r="X19" s="730"/>
      <c r="Y19" s="730"/>
      <c r="Z19" s="730"/>
      <c r="AA19" s="730">
        <f t="shared" si="2"/>
        <v>0.010309278350515464</v>
      </c>
      <c r="AB19" s="730"/>
      <c r="AC19" s="730"/>
      <c r="AD19" s="731"/>
    </row>
    <row r="20" spans="2:30" s="159" customFormat="1" ht="29.25" customHeight="1">
      <c r="B20" s="736" t="s">
        <v>151</v>
      </c>
      <c r="C20" s="679" t="s">
        <v>133</v>
      </c>
      <c r="D20" s="679"/>
      <c r="E20" s="679"/>
      <c r="F20" s="161" t="s">
        <v>200</v>
      </c>
      <c r="G20" s="737">
        <f>9!AA17</f>
        <v>17212</v>
      </c>
      <c r="H20" s="735"/>
      <c r="I20" s="735"/>
      <c r="J20" s="735"/>
      <c r="K20" s="738">
        <f>9!AA15</f>
        <v>25062</v>
      </c>
      <c r="L20" s="739"/>
      <c r="M20" s="739"/>
      <c r="N20" s="737"/>
      <c r="O20" s="735">
        <f>9!AA16</f>
        <v>23409.3</v>
      </c>
      <c r="P20" s="735"/>
      <c r="Q20" s="735"/>
      <c r="R20" s="735"/>
      <c r="S20" s="729">
        <f t="shared" si="0"/>
        <v>-7850</v>
      </c>
      <c r="T20" s="729"/>
      <c r="U20" s="729"/>
      <c r="V20" s="729"/>
      <c r="W20" s="730">
        <f t="shared" si="1"/>
        <v>-0.31322320644800894</v>
      </c>
      <c r="X20" s="730"/>
      <c r="Y20" s="730"/>
      <c r="Z20" s="730"/>
      <c r="AA20" s="730">
        <f t="shared" si="2"/>
        <v>-0.26473666448804534</v>
      </c>
      <c r="AB20" s="730"/>
      <c r="AC20" s="730"/>
      <c r="AD20" s="731"/>
    </row>
    <row r="21" spans="2:30" s="159" customFormat="1" ht="29.25" customHeight="1">
      <c r="B21" s="736"/>
      <c r="C21" s="679" t="s">
        <v>134</v>
      </c>
      <c r="D21" s="679"/>
      <c r="E21" s="679"/>
      <c r="F21" s="161" t="s">
        <v>152</v>
      </c>
      <c r="G21" s="737">
        <f>9!AB17</f>
        <v>615</v>
      </c>
      <c r="H21" s="735"/>
      <c r="I21" s="735"/>
      <c r="J21" s="735"/>
      <c r="K21" s="738">
        <f>9!AB15</f>
        <v>536</v>
      </c>
      <c r="L21" s="739"/>
      <c r="M21" s="739"/>
      <c r="N21" s="737"/>
      <c r="O21" s="735">
        <f>9!AB16</f>
        <v>2305.6</v>
      </c>
      <c r="P21" s="735"/>
      <c r="Q21" s="735"/>
      <c r="R21" s="735"/>
      <c r="S21" s="729">
        <f t="shared" si="0"/>
        <v>79</v>
      </c>
      <c r="T21" s="729"/>
      <c r="U21" s="729"/>
      <c r="V21" s="729"/>
      <c r="W21" s="730">
        <f t="shared" si="1"/>
        <v>0.14738805970149255</v>
      </c>
      <c r="X21" s="730"/>
      <c r="Y21" s="730"/>
      <c r="Z21" s="730"/>
      <c r="AA21" s="730">
        <f t="shared" si="2"/>
        <v>-0.7332581540596808</v>
      </c>
      <c r="AB21" s="730"/>
      <c r="AC21" s="730"/>
      <c r="AD21" s="731"/>
    </row>
    <row r="22" spans="2:30" s="159" customFormat="1" ht="29.25" customHeight="1">
      <c r="B22" s="749" t="s">
        <v>153</v>
      </c>
      <c r="C22" s="679" t="s">
        <v>131</v>
      </c>
      <c r="D22" s="679"/>
      <c r="E22" s="679"/>
      <c r="F22" s="161" t="s">
        <v>154</v>
      </c>
      <c r="G22" s="737">
        <f>SUM(G23:J29)</f>
        <v>1078867</v>
      </c>
      <c r="H22" s="735"/>
      <c r="I22" s="735"/>
      <c r="J22" s="735"/>
      <c r="K22" s="738">
        <f>SUM(K23:N29)</f>
        <v>1441233</v>
      </c>
      <c r="L22" s="739"/>
      <c r="M22" s="739"/>
      <c r="N22" s="737"/>
      <c r="O22" s="735">
        <f>SUM(O23:R29)</f>
        <v>1639616.4</v>
      </c>
      <c r="P22" s="735"/>
      <c r="Q22" s="735"/>
      <c r="R22" s="735"/>
      <c r="S22" s="729">
        <f>G22-K22</f>
        <v>-362366</v>
      </c>
      <c r="T22" s="729"/>
      <c r="U22" s="729"/>
      <c r="V22" s="729"/>
      <c r="W22" s="730">
        <f>(G22-K22)/K22</f>
        <v>-0.2514277705270418</v>
      </c>
      <c r="X22" s="730"/>
      <c r="Y22" s="730"/>
      <c r="Z22" s="730"/>
      <c r="AA22" s="730">
        <f t="shared" si="2"/>
        <v>-0.34200036057214356</v>
      </c>
      <c r="AB22" s="730"/>
      <c r="AC22" s="730"/>
      <c r="AD22" s="731"/>
    </row>
    <row r="23" spans="2:30" s="159" customFormat="1" ht="29.25" customHeight="1">
      <c r="B23" s="750"/>
      <c r="C23" s="679" t="s">
        <v>133</v>
      </c>
      <c r="D23" s="679"/>
      <c r="E23" s="679"/>
      <c r="F23" s="161" t="s">
        <v>154</v>
      </c>
      <c r="G23" s="737">
        <f>9!AE17</f>
        <v>898590</v>
      </c>
      <c r="H23" s="735"/>
      <c r="I23" s="735"/>
      <c r="J23" s="735"/>
      <c r="K23" s="738">
        <f>9!AE15</f>
        <v>1297497</v>
      </c>
      <c r="L23" s="739"/>
      <c r="M23" s="739"/>
      <c r="N23" s="737"/>
      <c r="O23" s="735">
        <f>9!AE16</f>
        <v>1471792</v>
      </c>
      <c r="P23" s="735"/>
      <c r="Q23" s="735"/>
      <c r="R23" s="735"/>
      <c r="S23" s="729">
        <f t="shared" si="0"/>
        <v>-398907</v>
      </c>
      <c r="T23" s="729"/>
      <c r="U23" s="729"/>
      <c r="V23" s="729"/>
      <c r="W23" s="730">
        <f t="shared" si="1"/>
        <v>-0.3074434854184634</v>
      </c>
      <c r="X23" s="730"/>
      <c r="Y23" s="730"/>
      <c r="Z23" s="730"/>
      <c r="AA23" s="730">
        <f t="shared" si="2"/>
        <v>-0.3894585647971996</v>
      </c>
      <c r="AB23" s="730"/>
      <c r="AC23" s="730"/>
      <c r="AD23" s="731"/>
    </row>
    <row r="24" spans="2:30" s="159" customFormat="1" ht="29.25" customHeight="1">
      <c r="B24" s="750"/>
      <c r="C24" s="679" t="s">
        <v>134</v>
      </c>
      <c r="D24" s="679"/>
      <c r="E24" s="679"/>
      <c r="F24" s="161" t="s">
        <v>154</v>
      </c>
      <c r="G24" s="737">
        <f>9!AF17</f>
        <v>4185</v>
      </c>
      <c r="H24" s="735"/>
      <c r="I24" s="735"/>
      <c r="J24" s="735"/>
      <c r="K24" s="738">
        <f>9!AF15</f>
        <v>2417</v>
      </c>
      <c r="L24" s="739"/>
      <c r="M24" s="739"/>
      <c r="N24" s="737"/>
      <c r="O24" s="735">
        <f>9!AF16</f>
        <v>5768.2</v>
      </c>
      <c r="P24" s="735"/>
      <c r="Q24" s="735"/>
      <c r="R24" s="735"/>
      <c r="S24" s="729">
        <f t="shared" si="0"/>
        <v>1768</v>
      </c>
      <c r="T24" s="729"/>
      <c r="U24" s="729"/>
      <c r="V24" s="729"/>
      <c r="W24" s="730">
        <f t="shared" si="1"/>
        <v>0.7314853123707075</v>
      </c>
      <c r="X24" s="730"/>
      <c r="Y24" s="730"/>
      <c r="Z24" s="730"/>
      <c r="AA24" s="730">
        <f t="shared" si="2"/>
        <v>-0.2744703720398044</v>
      </c>
      <c r="AB24" s="730"/>
      <c r="AC24" s="730"/>
      <c r="AD24" s="731"/>
    </row>
    <row r="25" spans="2:30" s="159" customFormat="1" ht="29.25" customHeight="1">
      <c r="B25" s="750"/>
      <c r="C25" s="679" t="s">
        <v>135</v>
      </c>
      <c r="D25" s="679"/>
      <c r="E25" s="679"/>
      <c r="F25" s="161" t="s">
        <v>154</v>
      </c>
      <c r="G25" s="737">
        <f>9!AG17</f>
        <v>34654</v>
      </c>
      <c r="H25" s="735"/>
      <c r="I25" s="735"/>
      <c r="J25" s="735"/>
      <c r="K25" s="738">
        <f>9!AG15</f>
        <v>55986</v>
      </c>
      <c r="L25" s="739"/>
      <c r="M25" s="739"/>
      <c r="N25" s="737"/>
      <c r="O25" s="735">
        <f>9!AG16</f>
        <v>65288.7</v>
      </c>
      <c r="P25" s="735"/>
      <c r="Q25" s="735"/>
      <c r="R25" s="735"/>
      <c r="S25" s="729">
        <f t="shared" si="0"/>
        <v>-21332</v>
      </c>
      <c r="T25" s="729"/>
      <c r="U25" s="729"/>
      <c r="V25" s="729"/>
      <c r="W25" s="730">
        <f t="shared" si="1"/>
        <v>-0.3810238273854178</v>
      </c>
      <c r="X25" s="730"/>
      <c r="Y25" s="730"/>
      <c r="Z25" s="730"/>
      <c r="AA25" s="730">
        <f t="shared" si="2"/>
        <v>-0.46921902258736964</v>
      </c>
      <c r="AB25" s="730"/>
      <c r="AC25" s="730"/>
      <c r="AD25" s="731"/>
    </row>
    <row r="26" spans="2:30" s="159" customFormat="1" ht="29.25" customHeight="1">
      <c r="B26" s="750"/>
      <c r="C26" s="679" t="s">
        <v>136</v>
      </c>
      <c r="D26" s="679"/>
      <c r="E26" s="679"/>
      <c r="F26" s="161" t="s">
        <v>154</v>
      </c>
      <c r="G26" s="737">
        <f>9!AH17</f>
        <v>8540</v>
      </c>
      <c r="H26" s="735"/>
      <c r="I26" s="735"/>
      <c r="J26" s="735"/>
      <c r="K26" s="738">
        <f>9!AH15</f>
        <v>8967</v>
      </c>
      <c r="L26" s="739"/>
      <c r="M26" s="739"/>
      <c r="N26" s="737"/>
      <c r="O26" s="735">
        <f>9!AH16</f>
        <v>19259.2</v>
      </c>
      <c r="P26" s="735"/>
      <c r="Q26" s="735"/>
      <c r="R26" s="735"/>
      <c r="S26" s="729">
        <f t="shared" si="0"/>
        <v>-427</v>
      </c>
      <c r="T26" s="729"/>
      <c r="U26" s="729"/>
      <c r="V26" s="729"/>
      <c r="W26" s="730">
        <f t="shared" si="1"/>
        <v>-0.047619047619047616</v>
      </c>
      <c r="X26" s="730"/>
      <c r="Y26" s="730"/>
      <c r="Z26" s="730"/>
      <c r="AA26" s="730">
        <f t="shared" si="2"/>
        <v>-0.5565755586940268</v>
      </c>
      <c r="AB26" s="730"/>
      <c r="AC26" s="730"/>
      <c r="AD26" s="731"/>
    </row>
    <row r="27" spans="2:30" s="159" customFormat="1" ht="29.25" customHeight="1">
      <c r="B27" s="750"/>
      <c r="C27" s="679" t="s">
        <v>137</v>
      </c>
      <c r="D27" s="679"/>
      <c r="E27" s="679"/>
      <c r="F27" s="161" t="s">
        <v>154</v>
      </c>
      <c r="G27" s="737">
        <f>9!AI17</f>
        <v>0</v>
      </c>
      <c r="H27" s="735"/>
      <c r="I27" s="735"/>
      <c r="J27" s="735"/>
      <c r="K27" s="738">
        <f>9!AI15</f>
        <v>0</v>
      </c>
      <c r="L27" s="739"/>
      <c r="M27" s="739"/>
      <c r="N27" s="737"/>
      <c r="O27" s="735">
        <f>9!AI16</f>
        <v>51020</v>
      </c>
      <c r="P27" s="735"/>
      <c r="Q27" s="735"/>
      <c r="R27" s="735"/>
      <c r="S27" s="729">
        <f t="shared" si="0"/>
        <v>0</v>
      </c>
      <c r="T27" s="729"/>
      <c r="U27" s="729"/>
      <c r="V27" s="729"/>
      <c r="W27" s="730" t="s">
        <v>683</v>
      </c>
      <c r="X27" s="730"/>
      <c r="Y27" s="730"/>
      <c r="Z27" s="730"/>
      <c r="AA27" s="730">
        <f t="shared" si="2"/>
        <v>-1</v>
      </c>
      <c r="AB27" s="730"/>
      <c r="AC27" s="730"/>
      <c r="AD27" s="731"/>
    </row>
    <row r="28" spans="2:30" s="159" customFormat="1" ht="29.25" customHeight="1">
      <c r="B28" s="750"/>
      <c r="C28" s="740" t="s">
        <v>138</v>
      </c>
      <c r="D28" s="740"/>
      <c r="E28" s="740"/>
      <c r="F28" s="162" t="s">
        <v>154</v>
      </c>
      <c r="G28" s="741">
        <f>9!AJ17</f>
        <v>69297</v>
      </c>
      <c r="H28" s="742"/>
      <c r="I28" s="742"/>
      <c r="J28" s="742"/>
      <c r="K28" s="738">
        <f>9!AJ15</f>
        <v>26989</v>
      </c>
      <c r="L28" s="739"/>
      <c r="M28" s="739"/>
      <c r="N28" s="737"/>
      <c r="O28" s="742">
        <f>9!AJ16</f>
        <v>21531.5</v>
      </c>
      <c r="P28" s="742"/>
      <c r="Q28" s="742"/>
      <c r="R28" s="742"/>
      <c r="S28" s="743">
        <f t="shared" si="0"/>
        <v>42308</v>
      </c>
      <c r="T28" s="743"/>
      <c r="U28" s="743"/>
      <c r="V28" s="743"/>
      <c r="W28" s="744">
        <f t="shared" si="1"/>
        <v>1.5676016154729704</v>
      </c>
      <c r="X28" s="744"/>
      <c r="Y28" s="744"/>
      <c r="Z28" s="744"/>
      <c r="AA28" s="744">
        <f t="shared" si="2"/>
        <v>2.2184009474490862</v>
      </c>
      <c r="AB28" s="744"/>
      <c r="AC28" s="744"/>
      <c r="AD28" s="745"/>
    </row>
    <row r="29" spans="2:30" s="159" customFormat="1" ht="29.25" customHeight="1" thickBot="1">
      <c r="B29" s="751"/>
      <c r="C29" s="752" t="s">
        <v>372</v>
      </c>
      <c r="D29" s="752"/>
      <c r="E29" s="752"/>
      <c r="F29" s="112" t="s">
        <v>154</v>
      </c>
      <c r="G29" s="753">
        <f>9!AK17</f>
        <v>63601</v>
      </c>
      <c r="H29" s="754"/>
      <c r="I29" s="754"/>
      <c r="J29" s="754"/>
      <c r="K29" s="755">
        <f>9!AK15</f>
        <v>49377</v>
      </c>
      <c r="L29" s="756"/>
      <c r="M29" s="756"/>
      <c r="N29" s="753"/>
      <c r="O29" s="755">
        <f>9!AK16</f>
        <v>4956.8</v>
      </c>
      <c r="P29" s="756"/>
      <c r="Q29" s="756"/>
      <c r="R29" s="753"/>
      <c r="S29" s="746">
        <f>G29-K29</f>
        <v>14224</v>
      </c>
      <c r="T29" s="746"/>
      <c r="U29" s="746"/>
      <c r="V29" s="746"/>
      <c r="W29" s="747">
        <f>(G29-K29)/K29</f>
        <v>0.2880693440265711</v>
      </c>
      <c r="X29" s="747"/>
      <c r="Y29" s="747"/>
      <c r="Z29" s="747"/>
      <c r="AA29" s="747">
        <f>(G29-O29)/O29</f>
        <v>11.831060361523562</v>
      </c>
      <c r="AB29" s="747"/>
      <c r="AC29" s="747"/>
      <c r="AD29" s="748"/>
    </row>
    <row r="30" s="159" customFormat="1" ht="14.25" customHeight="1"/>
    <row r="31" ht="14.25" customHeight="1"/>
    <row r="34" s="165" customFormat="1" ht="14.25" customHeight="1">
      <c r="A34" s="164"/>
    </row>
    <row r="35" s="165" customFormat="1" ht="14.25" customHeight="1">
      <c r="A35" s="164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2006-11-13T09:53:11Z</cp:lastPrinted>
  <dcterms:created xsi:type="dcterms:W3CDTF">2004-05-19T04:18:12Z</dcterms:created>
  <dcterms:modified xsi:type="dcterms:W3CDTF">2007-09-04T05:03:56Z</dcterms:modified>
  <cp:category/>
  <cp:version/>
  <cp:contentType/>
  <cp:contentStatus/>
</cp:coreProperties>
</file>