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67" sheetId="1" r:id="rId1"/>
  </sheets>
  <definedNames>
    <definedName name="_xlnm.Print_Area" localSheetId="0">'067'!$A$1:$T$47</definedName>
  </definedNames>
  <calcPr calcId="145621"/>
</workbook>
</file>

<file path=xl/calcChain.xml><?xml version="1.0" encoding="utf-8"?>
<calcChain xmlns="http://schemas.openxmlformats.org/spreadsheetml/2006/main">
  <c r="P41" i="1" l="1"/>
  <c r="L41" i="1"/>
  <c r="H41" i="1"/>
  <c r="D41" i="1"/>
  <c r="T32" i="1"/>
  <c r="S32" i="1"/>
  <c r="Q32" i="1"/>
  <c r="P32" i="1"/>
  <c r="L32" i="1"/>
  <c r="H32" i="1"/>
  <c r="D32" i="1"/>
  <c r="C32" i="1"/>
  <c r="B32" i="1"/>
  <c r="T31" i="1"/>
  <c r="S31" i="1"/>
  <c r="Q31" i="1"/>
  <c r="P31" i="1"/>
  <c r="L31" i="1"/>
  <c r="J31" i="1"/>
  <c r="H31" i="1"/>
  <c r="D31" i="1"/>
  <c r="C31" i="1"/>
  <c r="B31" i="1"/>
  <c r="T30" i="1"/>
  <c r="S30" i="1"/>
  <c r="Q30" i="1"/>
  <c r="P30" i="1"/>
  <c r="O30" i="1"/>
  <c r="M30" i="1"/>
  <c r="L30" i="1"/>
  <c r="H30" i="1"/>
  <c r="G30" i="1"/>
  <c r="E30" i="1"/>
  <c r="D30" i="1"/>
  <c r="C30" i="1"/>
  <c r="B30" i="1"/>
  <c r="R27" i="1"/>
  <c r="P46" i="1" s="1"/>
  <c r="O27" i="1"/>
  <c r="N27" i="1"/>
  <c r="L46" i="1" s="1"/>
  <c r="M27" i="1"/>
  <c r="K27" i="1"/>
  <c r="J27" i="1"/>
  <c r="I27" i="1"/>
  <c r="H46" i="1" s="1"/>
  <c r="G27" i="1"/>
  <c r="F27" i="1"/>
  <c r="E27" i="1"/>
  <c r="D46" i="1" s="1"/>
  <c r="R26" i="1"/>
  <c r="P45" i="1" s="1"/>
  <c r="O26" i="1"/>
  <c r="N26" i="1"/>
  <c r="M26" i="1"/>
  <c r="L45" i="1" s="1"/>
  <c r="K26" i="1"/>
  <c r="J26" i="1"/>
  <c r="I26" i="1"/>
  <c r="H45" i="1" s="1"/>
  <c r="G26" i="1"/>
  <c r="F26" i="1"/>
  <c r="D45" i="1" s="1"/>
  <c r="E26" i="1"/>
  <c r="R25" i="1"/>
  <c r="P44" i="1" s="1"/>
  <c r="N25" i="1"/>
  <c r="M25" i="1"/>
  <c r="L44" i="1" s="1"/>
  <c r="J25" i="1"/>
  <c r="I25" i="1"/>
  <c r="H44" i="1" s="1"/>
  <c r="F25" i="1"/>
  <c r="E25" i="1"/>
  <c r="D44" i="1" s="1"/>
  <c r="R24" i="1"/>
  <c r="P43" i="1" s="1"/>
  <c r="O24" i="1"/>
  <c r="O32" i="1" s="1"/>
  <c r="N24" i="1"/>
  <c r="M24" i="1"/>
  <c r="L43" i="1" s="1"/>
  <c r="K24" i="1"/>
  <c r="J24" i="1"/>
  <c r="I24" i="1"/>
  <c r="H43" i="1" s="1"/>
  <c r="G24" i="1"/>
  <c r="G32" i="1" s="1"/>
  <c r="F24" i="1"/>
  <c r="E24" i="1"/>
  <c r="D43" i="1" s="1"/>
  <c r="R21" i="1"/>
  <c r="P40" i="1" s="1"/>
  <c r="N21" i="1"/>
  <c r="L40" i="1" s="1"/>
  <c r="M21" i="1"/>
  <c r="K21" i="1"/>
  <c r="J21" i="1"/>
  <c r="I21" i="1"/>
  <c r="H40" i="1" s="1"/>
  <c r="G21" i="1"/>
  <c r="F21" i="1"/>
  <c r="E21" i="1"/>
  <c r="D40" i="1" s="1"/>
  <c r="R20" i="1"/>
  <c r="P39" i="1" s="1"/>
  <c r="O20" i="1"/>
  <c r="N20" i="1"/>
  <c r="N32" i="1" s="1"/>
  <c r="M20" i="1"/>
  <c r="L39" i="1" s="1"/>
  <c r="K20" i="1"/>
  <c r="K32" i="1" s="1"/>
  <c r="J20" i="1"/>
  <c r="J32" i="1" s="1"/>
  <c r="I20" i="1"/>
  <c r="H39" i="1" s="1"/>
  <c r="G20" i="1"/>
  <c r="F20" i="1"/>
  <c r="F32" i="1" s="1"/>
  <c r="E20" i="1"/>
  <c r="R17" i="1"/>
  <c r="P36" i="1" s="1"/>
  <c r="O17" i="1"/>
  <c r="N17" i="1"/>
  <c r="L36" i="1" s="1"/>
  <c r="M17" i="1"/>
  <c r="K17" i="1"/>
  <c r="J17" i="1"/>
  <c r="I17" i="1"/>
  <c r="H36" i="1" s="1"/>
  <c r="G17" i="1"/>
  <c r="F17" i="1"/>
  <c r="E17" i="1"/>
  <c r="D36" i="1" s="1"/>
  <c r="R16" i="1"/>
  <c r="P35" i="1" s="1"/>
  <c r="O16" i="1"/>
  <c r="N16" i="1"/>
  <c r="M16" i="1"/>
  <c r="L35" i="1" s="1"/>
  <c r="K16" i="1"/>
  <c r="J16" i="1"/>
  <c r="I16" i="1"/>
  <c r="H35" i="1" s="1"/>
  <c r="G16" i="1"/>
  <c r="F16" i="1"/>
  <c r="E16" i="1"/>
  <c r="D35" i="1" s="1"/>
  <c r="R12" i="1"/>
  <c r="R30" i="1" s="1"/>
  <c r="O12" i="1"/>
  <c r="O31" i="1" s="1"/>
  <c r="N12" i="1"/>
  <c r="N30" i="1" s="1"/>
  <c r="M12" i="1"/>
  <c r="M31" i="1" s="1"/>
  <c r="K12" i="1"/>
  <c r="K31" i="1" s="1"/>
  <c r="J12" i="1"/>
  <c r="J30" i="1" s="1"/>
  <c r="I12" i="1"/>
  <c r="I30" i="1" s="1"/>
  <c r="G12" i="1"/>
  <c r="G31" i="1" s="1"/>
  <c r="F12" i="1"/>
  <c r="F30" i="1" s="1"/>
  <c r="E12" i="1"/>
  <c r="E31" i="1" s="1"/>
  <c r="K30" i="1" l="1"/>
  <c r="E32" i="1"/>
  <c r="I32" i="1"/>
  <c r="M32" i="1"/>
  <c r="D39" i="1"/>
  <c r="I31" i="1"/>
  <c r="R32" i="1"/>
  <c r="F31" i="1"/>
  <c r="N31" i="1"/>
  <c r="R31" i="1"/>
</calcChain>
</file>

<file path=xl/sharedStrings.xml><?xml version="1.0" encoding="utf-8"?>
<sst xmlns="http://schemas.openxmlformats.org/spreadsheetml/2006/main" count="46" uniqueCount="34">
  <si>
    <t>６７　大臣・知事許可別，業種別建設業者数及び完成工事高，受注高</t>
    <rPh sb="3" eb="4">
      <t>オオ</t>
    </rPh>
    <rPh sb="4" eb="5">
      <t>シン</t>
    </rPh>
    <rPh sb="6" eb="7">
      <t>チ</t>
    </rPh>
    <rPh sb="7" eb="8">
      <t>コト</t>
    </rPh>
    <rPh sb="8" eb="9">
      <t>モト</t>
    </rPh>
    <rPh sb="9" eb="10">
      <t>カ</t>
    </rPh>
    <rPh sb="12" eb="14">
      <t>ギョウシュ</t>
    </rPh>
    <rPh sb="14" eb="15">
      <t>ベツ</t>
    </rPh>
    <rPh sb="20" eb="21">
      <t>オヨ</t>
    </rPh>
    <phoneticPr fontId="5"/>
  </si>
  <si>
    <t xml:space="preserve">                                      調査対象業者は，建設業法の許可業者であり，複数の許可を有する者であっても1業者として扱っている。</t>
    <phoneticPr fontId="3"/>
  </si>
  <si>
    <t>（単位　100万円）</t>
  </si>
  <si>
    <t>国土交通省総合政策局「建設工事施工統計調査報告」</t>
    <rPh sb="0" eb="2">
      <t>コクド</t>
    </rPh>
    <rPh sb="2" eb="4">
      <t>コウツウ</t>
    </rPh>
    <rPh sb="5" eb="7">
      <t>ソウゴウ</t>
    </rPh>
    <rPh sb="7" eb="9">
      <t>セイサク</t>
    </rPh>
    <phoneticPr fontId="5"/>
  </si>
  <si>
    <t>年              度</t>
  </si>
  <si>
    <t>完      成</t>
  </si>
  <si>
    <t xml:space="preserve">元           請           完           成           </t>
  </si>
  <si>
    <t>工　　　　　事　　　　　高</t>
    <rPh sb="0" eb="1">
      <t>コウ</t>
    </rPh>
    <rPh sb="6" eb="7">
      <t>コト</t>
    </rPh>
    <rPh sb="12" eb="13">
      <t>ダカ</t>
    </rPh>
    <phoneticPr fontId="3"/>
  </si>
  <si>
    <t>下    請    完    成    工    事    高</t>
  </si>
  <si>
    <t>業者数</t>
    <rPh sb="0" eb="1">
      <t>ギョウ</t>
    </rPh>
    <rPh sb="1" eb="2">
      <t>シャ</t>
    </rPh>
    <phoneticPr fontId="5"/>
  </si>
  <si>
    <t xml:space="preserve"> 計</t>
  </si>
  <si>
    <t>民                            間</t>
    <phoneticPr fontId="3"/>
  </si>
  <si>
    <t>公　　　　　　　　　　共</t>
    <rPh sb="0" eb="1">
      <t>コウ</t>
    </rPh>
    <rPh sb="11" eb="12">
      <t>トモ</t>
    </rPh>
    <phoneticPr fontId="3"/>
  </si>
  <si>
    <t>年度間受注高</t>
  </si>
  <si>
    <t>事  業  所  組  織</t>
  </si>
  <si>
    <t>工  事  高</t>
  </si>
  <si>
    <t>計</t>
    <phoneticPr fontId="3"/>
  </si>
  <si>
    <t>土    木</t>
    <phoneticPr fontId="3"/>
  </si>
  <si>
    <t>建    築</t>
    <phoneticPr fontId="3"/>
  </si>
  <si>
    <t>機    械</t>
    <phoneticPr fontId="3"/>
  </si>
  <si>
    <t>平  成  26  年  度</t>
    <rPh sb="0" eb="1">
      <t>ヒラ</t>
    </rPh>
    <rPh sb="3" eb="4">
      <t>シゲル</t>
    </rPh>
    <rPh sb="10" eb="11">
      <t>トシ</t>
    </rPh>
    <rPh sb="13" eb="14">
      <t>ド</t>
    </rPh>
    <phoneticPr fontId="5"/>
  </si>
  <si>
    <t xml:space="preserve"> 許   可   業   者</t>
  </si>
  <si>
    <t>(許可種別)</t>
  </si>
  <si>
    <t xml:space="preserve">   知 事 許 可 企 業</t>
  </si>
  <si>
    <t xml:space="preserve">   大 臣 許 可 企 業</t>
  </si>
  <si>
    <t>(業種別)</t>
  </si>
  <si>
    <t xml:space="preserve"> 総  合  工  事  業</t>
  </si>
  <si>
    <t xml:space="preserve">  一般土木建築工事業</t>
  </si>
  <si>
    <t xml:space="preserve">  土木･造園･水道施設・</t>
    <rPh sb="5" eb="7">
      <t>ゾウエン</t>
    </rPh>
    <rPh sb="8" eb="10">
      <t>スイドウ</t>
    </rPh>
    <rPh sb="10" eb="12">
      <t>シセツ</t>
    </rPh>
    <phoneticPr fontId="3"/>
  </si>
  <si>
    <t xml:space="preserve">  舗装・しゅんせつ工事業</t>
    <rPh sb="2" eb="4">
      <t>ホソウ</t>
    </rPh>
    <phoneticPr fontId="3"/>
  </si>
  <si>
    <t xml:space="preserve">  建  築  工  事  業　</t>
    <phoneticPr fontId="3"/>
  </si>
  <si>
    <t xml:space="preserve">  木造建築工事業</t>
  </si>
  <si>
    <t xml:space="preserve"> 職  別  工  事  業</t>
  </si>
  <si>
    <t xml:space="preserve"> 設  備  工  事  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</si>
</sst>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37" fontId="2" fillId="0" borderId="0" xfId="0" applyNumberFormat="1" applyFont="1" applyAlignment="1"/>
    <xf numFmtId="37" fontId="4" fillId="0" borderId="0" xfId="0" quotePrefix="1" applyNumberFormat="1" applyFont="1" applyAlignment="1" applyProtection="1">
      <alignment horizontal="left"/>
    </xf>
    <xf numFmtId="0" fontId="2" fillId="0" borderId="0" xfId="0" applyFont="1">
      <alignment vertical="center"/>
    </xf>
    <xf numFmtId="37" fontId="6" fillId="0" borderId="0" xfId="0" applyNumberFormat="1" applyFont="1" applyAlignment="1"/>
    <xf numFmtId="37" fontId="6" fillId="0" borderId="0" xfId="0" quotePrefix="1" applyNumberFormat="1" applyFont="1" applyAlignment="1" applyProtection="1">
      <alignment horizontal="left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center"/>
    </xf>
    <xf numFmtId="37" fontId="2" fillId="2" borderId="2" xfId="0" applyNumberFormat="1" applyFont="1" applyFill="1" applyBorder="1" applyAlignment="1"/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/>
    <xf numFmtId="37" fontId="2" fillId="2" borderId="3" xfId="0" applyNumberFormat="1" applyFont="1" applyFill="1" applyBorder="1" applyAlignment="1" applyProtection="1">
      <alignment horizontal="left"/>
    </xf>
    <xf numFmtId="37" fontId="2" fillId="2" borderId="4" xfId="0" applyNumberFormat="1" applyFont="1" applyFill="1" applyBorder="1" applyAlignment="1"/>
    <xf numFmtId="37" fontId="2" fillId="2" borderId="6" xfId="0" applyNumberFormat="1" applyFont="1" applyFill="1" applyBorder="1" applyAlignment="1"/>
    <xf numFmtId="37" fontId="2" fillId="2" borderId="7" xfId="0" applyNumberFormat="1" applyFont="1" applyFill="1" applyBorder="1" applyAlignment="1"/>
    <xf numFmtId="37" fontId="2" fillId="2" borderId="8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/>
    <xf numFmtId="37" fontId="2" fillId="2" borderId="9" xfId="0" applyNumberFormat="1" applyFont="1" applyFill="1" applyBorder="1" applyAlignment="1"/>
    <xf numFmtId="37" fontId="2" fillId="2" borderId="9" xfId="0" applyNumberFormat="1" applyFont="1" applyFill="1" applyBorder="1" applyAlignment="1" applyProtection="1">
      <alignment horizontal="right"/>
    </xf>
    <xf numFmtId="37" fontId="2" fillId="2" borderId="10" xfId="0" applyNumberFormat="1" applyFont="1" applyFill="1" applyBorder="1" applyAlignment="1"/>
    <xf numFmtId="37" fontId="2" fillId="2" borderId="9" xfId="0" applyNumberFormat="1" applyFont="1" applyFill="1" applyBorder="1" applyAlignment="1" applyProtection="1">
      <alignment horizontal="centerContinuous"/>
    </xf>
    <xf numFmtId="37" fontId="2" fillId="2" borderId="9" xfId="0" applyNumberFormat="1" applyFont="1" applyFill="1" applyBorder="1" applyAlignment="1">
      <alignment horizontal="centerContinuous"/>
    </xf>
    <xf numFmtId="37" fontId="2" fillId="2" borderId="9" xfId="0" applyNumberFormat="1" applyFont="1" applyFill="1" applyBorder="1" applyAlignment="1">
      <alignment horizontal="left"/>
    </xf>
    <xf numFmtId="37" fontId="2" fillId="2" borderId="10" xfId="0" applyNumberFormat="1" applyFont="1" applyFill="1" applyBorder="1" applyAlignment="1">
      <alignment horizontal="centerContinuous"/>
    </xf>
    <xf numFmtId="37" fontId="6" fillId="2" borderId="0" xfId="0" applyNumberFormat="1" applyFont="1" applyFill="1" applyBorder="1" applyAlignment="1" applyProtection="1">
      <alignment horizontal="center"/>
    </xf>
    <xf numFmtId="37" fontId="2" fillId="2" borderId="13" xfId="0" applyNumberFormat="1" applyFont="1" applyFill="1" applyBorder="1" applyAlignment="1" applyProtection="1">
      <alignment horizontal="center"/>
    </xf>
    <xf numFmtId="37" fontId="2" fillId="2" borderId="14" xfId="0" applyNumberFormat="1" applyFont="1" applyFill="1" applyBorder="1" applyAlignment="1"/>
    <xf numFmtId="37" fontId="2" fillId="2" borderId="14" xfId="0" applyNumberFormat="1" applyFont="1" applyFill="1" applyBorder="1" applyAlignment="1" applyProtection="1">
      <alignment horizontal="center"/>
    </xf>
    <xf numFmtId="37" fontId="2" fillId="2" borderId="15" xfId="0" applyNumberFormat="1" applyFont="1" applyFill="1" applyBorder="1" applyAlignment="1" applyProtection="1">
      <alignment horizontal="center"/>
    </xf>
    <xf numFmtId="37" fontId="2" fillId="2" borderId="12" xfId="0" applyNumberFormat="1" applyFont="1" applyFill="1" applyBorder="1" applyAlignment="1"/>
    <xf numFmtId="37" fontId="1" fillId="2" borderId="7" xfId="0" applyNumberFormat="1" applyFont="1" applyFill="1" applyBorder="1" applyAlignment="1"/>
    <xf numFmtId="176" fontId="1" fillId="0" borderId="16" xfId="0" applyNumberFormat="1" applyFont="1" applyBorder="1" applyAlignment="1"/>
    <xf numFmtId="176" fontId="1" fillId="0" borderId="17" xfId="0" applyNumberFormat="1" applyFont="1" applyBorder="1" applyAlignment="1"/>
    <xf numFmtId="176" fontId="1" fillId="0" borderId="0" xfId="0" applyNumberFormat="1" applyFont="1" applyBorder="1" applyAlignment="1"/>
    <xf numFmtId="37" fontId="2" fillId="2" borderId="7" xfId="0" applyNumberFormat="1" applyFont="1" applyFill="1" applyBorder="1" applyAlignment="1" applyProtection="1">
      <alignment horizontal="center"/>
    </xf>
    <xf numFmtId="176" fontId="0" fillId="3" borderId="18" xfId="0" applyNumberFormat="1" applyFont="1" applyFill="1" applyBorder="1" applyAlignment="1" applyProtection="1"/>
    <xf numFmtId="176" fontId="0" fillId="3" borderId="0" xfId="0" applyNumberFormat="1" applyFont="1" applyFill="1" applyBorder="1" applyAlignment="1" applyProtection="1"/>
    <xf numFmtId="37" fontId="2" fillId="2" borderId="7" xfId="0" quotePrefix="1" applyNumberFormat="1" applyFont="1" applyFill="1" applyBorder="1" applyAlignment="1" applyProtection="1">
      <alignment horizontal="center"/>
    </xf>
    <xf numFmtId="176" fontId="0" fillId="0" borderId="0" xfId="0" applyNumberFormat="1">
      <alignment vertical="center"/>
    </xf>
    <xf numFmtId="176" fontId="0" fillId="3" borderId="18" xfId="0" applyNumberFormat="1" applyFont="1" applyFill="1" applyBorder="1" applyAlignment="1"/>
    <xf numFmtId="176" fontId="0" fillId="3" borderId="0" xfId="0" applyNumberFormat="1" applyFont="1" applyFill="1" applyBorder="1" applyAlignment="1"/>
    <xf numFmtId="37" fontId="7" fillId="2" borderId="7" xfId="0" quotePrefix="1" applyNumberFormat="1" applyFont="1" applyFill="1" applyBorder="1" applyAlignment="1" applyProtection="1">
      <alignment horizontal="center"/>
    </xf>
    <xf numFmtId="176" fontId="7" fillId="3" borderId="18" xfId="0" applyNumberFormat="1" applyFont="1" applyFill="1" applyBorder="1" applyAlignment="1" applyProtection="1"/>
    <xf numFmtId="176" fontId="7" fillId="3" borderId="0" xfId="0" applyNumberFormat="1" applyFont="1" applyFill="1" applyBorder="1" applyAlignment="1" applyProtection="1"/>
    <xf numFmtId="37" fontId="1" fillId="2" borderId="7" xfId="0" applyNumberFormat="1" applyFont="1" applyFill="1" applyBorder="1" applyAlignment="1">
      <alignment horizontal="center"/>
    </xf>
    <xf numFmtId="176" fontId="1" fillId="3" borderId="18" xfId="0" applyNumberFormat="1" applyFont="1" applyFill="1" applyBorder="1" applyAlignment="1"/>
    <xf numFmtId="176" fontId="1" fillId="3" borderId="0" xfId="0" applyNumberFormat="1" applyFont="1" applyFill="1" applyBorder="1" applyAlignment="1"/>
    <xf numFmtId="37" fontId="2" fillId="2" borderId="7" xfId="0" applyNumberFormat="1" applyFont="1" applyFill="1" applyBorder="1" applyAlignment="1" applyProtection="1">
      <alignment horizontal="left"/>
    </xf>
    <xf numFmtId="176" fontId="1" fillId="3" borderId="18" xfId="0" applyNumberFormat="1" applyFont="1" applyFill="1" applyBorder="1" applyAlignment="1" applyProtection="1"/>
    <xf numFmtId="176" fontId="1" fillId="3" borderId="0" xfId="0" applyNumberFormat="1" applyFont="1" applyFill="1" applyBorder="1" applyAlignment="1" applyProtection="1"/>
    <xf numFmtId="37" fontId="2" fillId="2" borderId="7" xfId="0" quotePrefix="1" applyNumberFormat="1" applyFont="1" applyFill="1" applyBorder="1" applyAlignment="1" applyProtection="1">
      <alignment horizontal="left" vertical="center"/>
    </xf>
    <xf numFmtId="37" fontId="2" fillId="2" borderId="7" xfId="0" quotePrefix="1" applyNumberFormat="1" applyFont="1" applyFill="1" applyBorder="1" applyAlignment="1" applyProtection="1">
      <alignment horizontal="left" vertical="top" shrinkToFit="1"/>
    </xf>
    <xf numFmtId="176" fontId="0" fillId="3" borderId="0" xfId="0" applyNumberFormat="1" applyFont="1" applyFill="1" applyBorder="1" applyAlignment="1" applyProtection="1">
      <alignment horizontal="right"/>
    </xf>
    <xf numFmtId="37" fontId="2" fillId="2" borderId="13" xfId="0" applyNumberFormat="1" applyFont="1" applyFill="1" applyBorder="1" applyAlignment="1" applyProtection="1">
      <alignment horizontal="left"/>
    </xf>
    <xf numFmtId="176" fontId="1" fillId="3" borderId="11" xfId="0" applyNumberFormat="1" applyFont="1" applyFill="1" applyBorder="1" applyAlignment="1" applyProtection="1"/>
    <xf numFmtId="176" fontId="1" fillId="3" borderId="12" xfId="0" applyNumberFormat="1" applyFont="1" applyFill="1" applyBorder="1" applyAlignment="1" applyProtection="1"/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1" fillId="3" borderId="0" xfId="0" applyNumberFormat="1" applyFont="1" applyFill="1" applyBorder="1" applyAlignment="1" applyProtection="1">
      <alignment vertical="center"/>
    </xf>
    <xf numFmtId="37" fontId="2" fillId="2" borderId="5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 vertical="center"/>
    </xf>
    <xf numFmtId="37" fontId="2" fillId="2" borderId="1" xfId="0" applyNumberFormat="1" applyFont="1" applyFill="1" applyBorder="1" applyAlignment="1" applyProtection="1">
      <alignment horizontal="center" vertical="center"/>
    </xf>
    <xf numFmtId="37" fontId="2" fillId="2" borderId="11" xfId="0" applyNumberFormat="1" applyFont="1" applyFill="1" applyBorder="1" applyAlignment="1" applyProtection="1">
      <alignment horizontal="center" vertical="center"/>
    </xf>
    <xf numFmtId="37" fontId="2" fillId="2" borderId="12" xfId="0" applyNumberFormat="1" applyFont="1" applyFill="1" applyBorder="1" applyAlignment="1" applyProtection="1">
      <alignment horizontal="center" vertical="center"/>
    </xf>
    <xf numFmtId="37" fontId="2" fillId="2" borderId="13" xfId="0" applyNumberFormat="1" applyFont="1" applyFill="1" applyBorder="1" applyAlignment="1" applyProtection="1">
      <alignment horizontal="center" vertical="center"/>
    </xf>
    <xf numFmtId="176" fontId="1" fillId="3" borderId="18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46"/>
  <sheetViews>
    <sheetView showGridLines="0" tabSelected="1" zoomScaleNormal="100" zoomScaleSheetLayoutView="90" workbookViewId="0"/>
  </sheetViews>
  <sheetFormatPr defaultRowHeight="13.5"/>
  <cols>
    <col min="1" max="1" width="21.375" customWidth="1"/>
    <col min="2" max="20" width="10.25" customWidth="1"/>
  </cols>
  <sheetData>
    <row r="1" spans="1:20" ht="17.25">
      <c r="A1" s="1"/>
      <c r="B1" s="2" t="s">
        <v>0</v>
      </c>
      <c r="C1" s="1"/>
      <c r="D1" s="1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4" t="s">
        <v>1</v>
      </c>
      <c r="B2" s="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thickBot="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"/>
      <c r="R3" s="7"/>
      <c r="S3" s="7"/>
      <c r="T3" s="8" t="s">
        <v>3</v>
      </c>
    </row>
    <row r="4" spans="1:20" ht="14.25" customHeight="1" thickTop="1">
      <c r="A4" s="9" t="s">
        <v>4</v>
      </c>
      <c r="B4" s="10"/>
      <c r="C4" s="11" t="s">
        <v>5</v>
      </c>
      <c r="D4" s="12"/>
      <c r="E4" s="12"/>
      <c r="F4" s="12" t="s">
        <v>6</v>
      </c>
      <c r="G4" s="13"/>
      <c r="H4" s="12"/>
      <c r="I4" s="12"/>
      <c r="J4" s="12"/>
      <c r="K4" s="12" t="s">
        <v>7</v>
      </c>
      <c r="L4" s="12"/>
      <c r="M4" s="12"/>
      <c r="N4" s="12"/>
      <c r="O4" s="14"/>
      <c r="P4" s="61" t="s">
        <v>8</v>
      </c>
      <c r="Q4" s="62"/>
      <c r="R4" s="62"/>
      <c r="S4" s="63"/>
      <c r="T4" s="15"/>
    </row>
    <row r="5" spans="1:20" ht="14.25" customHeight="1">
      <c r="A5" s="16"/>
      <c r="B5" s="17" t="s">
        <v>9</v>
      </c>
      <c r="C5" s="18"/>
      <c r="D5" s="19"/>
      <c r="E5" s="20" t="s">
        <v>10</v>
      </c>
      <c r="F5" s="19"/>
      <c r="G5" s="21"/>
      <c r="H5" s="19"/>
      <c r="I5" s="22" t="s">
        <v>11</v>
      </c>
      <c r="J5" s="23"/>
      <c r="K5" s="21"/>
      <c r="L5" s="22"/>
      <c r="M5" s="24" t="s">
        <v>12</v>
      </c>
      <c r="N5" s="23"/>
      <c r="O5" s="25"/>
      <c r="P5" s="64"/>
      <c r="Q5" s="65"/>
      <c r="R5" s="65"/>
      <c r="S5" s="66"/>
      <c r="T5" s="26" t="s">
        <v>13</v>
      </c>
    </row>
    <row r="6" spans="1:20" ht="14.25" customHeight="1">
      <c r="A6" s="27" t="s">
        <v>14</v>
      </c>
      <c r="B6" s="28"/>
      <c r="C6" s="29" t="s">
        <v>15</v>
      </c>
      <c r="D6" s="30" t="s">
        <v>16</v>
      </c>
      <c r="E6" s="30" t="s">
        <v>17</v>
      </c>
      <c r="F6" s="30" t="s">
        <v>18</v>
      </c>
      <c r="G6" s="27" t="s">
        <v>19</v>
      </c>
      <c r="H6" s="30" t="s">
        <v>16</v>
      </c>
      <c r="I6" s="30" t="s">
        <v>17</v>
      </c>
      <c r="J6" s="30" t="s">
        <v>18</v>
      </c>
      <c r="K6" s="27" t="s">
        <v>19</v>
      </c>
      <c r="L6" s="30" t="s">
        <v>16</v>
      </c>
      <c r="M6" s="30" t="s">
        <v>17</v>
      </c>
      <c r="N6" s="30" t="s">
        <v>18</v>
      </c>
      <c r="O6" s="27" t="s">
        <v>19</v>
      </c>
      <c r="P6" s="30" t="s">
        <v>16</v>
      </c>
      <c r="Q6" s="30" t="s">
        <v>17</v>
      </c>
      <c r="R6" s="30" t="s">
        <v>18</v>
      </c>
      <c r="S6" s="27" t="s">
        <v>19</v>
      </c>
      <c r="T6" s="31"/>
    </row>
    <row r="7" spans="1:20" ht="14.25" customHeight="1">
      <c r="A7" s="32"/>
      <c r="B7" s="33"/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1:20" ht="14.25" customHeight="1">
      <c r="A8" s="36" t="s">
        <v>20</v>
      </c>
      <c r="B8" s="37">
        <v>3748</v>
      </c>
      <c r="C8" s="38">
        <v>716720</v>
      </c>
      <c r="D8" s="38">
        <v>399964</v>
      </c>
      <c r="E8" s="38">
        <v>125871</v>
      </c>
      <c r="F8" s="38">
        <v>217833</v>
      </c>
      <c r="G8" s="38">
        <v>56260</v>
      </c>
      <c r="H8" s="38">
        <v>249809</v>
      </c>
      <c r="I8" s="38">
        <v>27491</v>
      </c>
      <c r="J8" s="38">
        <v>170599</v>
      </c>
      <c r="K8" s="38">
        <v>51720</v>
      </c>
      <c r="L8" s="38">
        <v>150154</v>
      </c>
      <c r="M8" s="38">
        <v>98380</v>
      </c>
      <c r="N8" s="38">
        <v>47234</v>
      </c>
      <c r="O8" s="38">
        <v>4540</v>
      </c>
      <c r="P8" s="38">
        <v>316757</v>
      </c>
      <c r="Q8" s="38">
        <v>82964</v>
      </c>
      <c r="R8" s="38">
        <v>170757</v>
      </c>
      <c r="S8" s="38">
        <v>63035</v>
      </c>
      <c r="T8" s="38">
        <v>731986</v>
      </c>
    </row>
    <row r="9" spans="1:20" ht="14.25" customHeight="1">
      <c r="A9" s="36">
        <v>27</v>
      </c>
      <c r="B9" s="37">
        <v>3781</v>
      </c>
      <c r="C9" s="38">
        <v>751269</v>
      </c>
      <c r="D9" s="38">
        <v>410271</v>
      </c>
      <c r="E9" s="38">
        <v>142115</v>
      </c>
      <c r="F9" s="38">
        <v>214259</v>
      </c>
      <c r="G9" s="38">
        <v>53897</v>
      </c>
      <c r="H9" s="38">
        <v>250450</v>
      </c>
      <c r="I9" s="38">
        <v>39278</v>
      </c>
      <c r="J9" s="38">
        <v>164013</v>
      </c>
      <c r="K9" s="38">
        <v>47160</v>
      </c>
      <c r="L9" s="38">
        <v>159821</v>
      </c>
      <c r="M9" s="38">
        <v>102837</v>
      </c>
      <c r="N9" s="38">
        <v>50247</v>
      </c>
      <c r="O9" s="38">
        <v>6737</v>
      </c>
      <c r="P9" s="38">
        <v>340998</v>
      </c>
      <c r="Q9" s="38">
        <v>94002</v>
      </c>
      <c r="R9" s="38">
        <v>190845</v>
      </c>
      <c r="S9" s="38">
        <v>56151</v>
      </c>
      <c r="T9" s="38">
        <v>767558</v>
      </c>
    </row>
    <row r="10" spans="1:20" ht="14.25" customHeight="1">
      <c r="A10" s="39">
        <v>28</v>
      </c>
      <c r="B10" s="40">
        <v>3536</v>
      </c>
      <c r="C10" s="40">
        <v>747719</v>
      </c>
      <c r="D10" s="40">
        <v>408838</v>
      </c>
      <c r="E10" s="40">
        <v>125548</v>
      </c>
      <c r="F10" s="40">
        <v>223833</v>
      </c>
      <c r="G10" s="40">
        <v>59457</v>
      </c>
      <c r="H10" s="40">
        <v>259915</v>
      </c>
      <c r="I10" s="40">
        <v>35703</v>
      </c>
      <c r="J10" s="40">
        <v>171165</v>
      </c>
      <c r="K10" s="40">
        <v>53046</v>
      </c>
      <c r="L10" s="40">
        <v>148923</v>
      </c>
      <c r="M10" s="40">
        <v>89844</v>
      </c>
      <c r="N10" s="40">
        <v>52667</v>
      </c>
      <c r="O10" s="40">
        <v>6412</v>
      </c>
      <c r="P10" s="40">
        <v>338881</v>
      </c>
      <c r="Q10" s="40">
        <v>99434</v>
      </c>
      <c r="R10" s="40">
        <v>180657</v>
      </c>
      <c r="S10" s="40">
        <v>58790</v>
      </c>
      <c r="T10" s="40">
        <v>760820</v>
      </c>
    </row>
    <row r="11" spans="1:20" ht="14.25" customHeight="1">
      <c r="A11" s="16"/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14.25" customHeight="1">
      <c r="A12" s="43">
        <v>29</v>
      </c>
      <c r="B12" s="44">
        <v>3610</v>
      </c>
      <c r="C12" s="45">
        <v>726783</v>
      </c>
      <c r="D12" s="45">
        <v>397517</v>
      </c>
      <c r="E12" s="45">
        <f>77735+42984</f>
        <v>120719</v>
      </c>
      <c r="F12" s="45">
        <f>73698+46398+61507+43023</f>
        <v>224626</v>
      </c>
      <c r="G12" s="45">
        <f>15811+36361</f>
        <v>52172</v>
      </c>
      <c r="H12" s="45">
        <v>250321</v>
      </c>
      <c r="I12" s="45">
        <f>20431+14283</f>
        <v>34714</v>
      </c>
      <c r="J12" s="45">
        <f>60986+44412+35582+27356</f>
        <v>168336</v>
      </c>
      <c r="K12" s="45">
        <f>13189+34082</f>
        <v>47271</v>
      </c>
      <c r="L12" s="45">
        <v>147196</v>
      </c>
      <c r="M12" s="45">
        <f>57304+28702</f>
        <v>86006</v>
      </c>
      <c r="N12" s="45">
        <f>12711+1986+25925+15667</f>
        <v>56289</v>
      </c>
      <c r="O12" s="45">
        <f>2622+2279</f>
        <v>4901</v>
      </c>
      <c r="P12" s="45">
        <v>329266</v>
      </c>
      <c r="Q12" s="45">
        <v>99120</v>
      </c>
      <c r="R12" s="45">
        <f>59783+111777</f>
        <v>171560</v>
      </c>
      <c r="S12" s="45">
        <v>58586</v>
      </c>
      <c r="T12" s="45">
        <v>751836</v>
      </c>
    </row>
    <row r="13" spans="1:20" ht="14.25" customHeight="1">
      <c r="A13" s="46"/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14.25" customHeight="1">
      <c r="A14" s="49" t="s">
        <v>21</v>
      </c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14.25" customHeight="1">
      <c r="A15" s="49" t="s">
        <v>22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 ht="14.25" customHeight="1">
      <c r="A16" s="49" t="s">
        <v>23</v>
      </c>
      <c r="B16" s="50">
        <v>3545</v>
      </c>
      <c r="C16" s="51">
        <v>578763</v>
      </c>
      <c r="D16" s="51">
        <v>297155</v>
      </c>
      <c r="E16" s="51">
        <f>62011+36979</f>
        <v>98990</v>
      </c>
      <c r="F16" s="51">
        <f>55787+24251+46210+37998</f>
        <v>164246</v>
      </c>
      <c r="G16" s="51">
        <f>7945+25974</f>
        <v>33919</v>
      </c>
      <c r="H16" s="51">
        <v>179436</v>
      </c>
      <c r="I16" s="51">
        <f>14578+11357</f>
        <v>25935</v>
      </c>
      <c r="J16" s="51">
        <f>47150+22288+29534+23243</f>
        <v>122215</v>
      </c>
      <c r="K16" s="51">
        <f>6922+24364</f>
        <v>31286</v>
      </c>
      <c r="L16" s="51">
        <v>117719</v>
      </c>
      <c r="M16" s="51">
        <f>47433+25623</f>
        <v>73056</v>
      </c>
      <c r="N16" s="51">
        <f>8636+1963+16676+14755</f>
        <v>42030</v>
      </c>
      <c r="O16" s="51">
        <f>1023+1610</f>
        <v>2633</v>
      </c>
      <c r="P16" s="51">
        <v>281608</v>
      </c>
      <c r="Q16" s="51">
        <v>87981</v>
      </c>
      <c r="R16" s="51">
        <f>52728+98743</f>
        <v>151471</v>
      </c>
      <c r="S16" s="51">
        <v>42156</v>
      </c>
      <c r="T16" s="51">
        <v>590865</v>
      </c>
    </row>
    <row r="17" spans="1:20" ht="14.25" customHeight="1">
      <c r="A17" s="49" t="s">
        <v>24</v>
      </c>
      <c r="B17" s="50">
        <v>65</v>
      </c>
      <c r="C17" s="51">
        <v>148020</v>
      </c>
      <c r="D17" s="51">
        <v>100362</v>
      </c>
      <c r="E17" s="51">
        <f>15724+6005</f>
        <v>21729</v>
      </c>
      <c r="F17" s="51">
        <f>17911+22147+15297+5025</f>
        <v>60380</v>
      </c>
      <c r="G17" s="51">
        <f>7866+10387</f>
        <v>18253</v>
      </c>
      <c r="H17" s="51">
        <v>70885</v>
      </c>
      <c r="I17" s="51">
        <f>5853+2926</f>
        <v>8779</v>
      </c>
      <c r="J17" s="51">
        <f>13836+22124+6048+4113</f>
        <v>46121</v>
      </c>
      <c r="K17" s="51">
        <f>6267+9718</f>
        <v>15985</v>
      </c>
      <c r="L17" s="51">
        <v>29477</v>
      </c>
      <c r="M17" s="51">
        <f>9871+3079</f>
        <v>12950</v>
      </c>
      <c r="N17" s="51">
        <f>4075+23+9249+912</f>
        <v>14259</v>
      </c>
      <c r="O17" s="51">
        <f>1599+669</f>
        <v>2268</v>
      </c>
      <c r="P17" s="51">
        <v>47658</v>
      </c>
      <c r="Q17" s="51">
        <v>11139</v>
      </c>
      <c r="R17" s="51">
        <f>7055+13034</f>
        <v>20089</v>
      </c>
      <c r="S17" s="51">
        <v>16430</v>
      </c>
      <c r="T17" s="51">
        <v>160971</v>
      </c>
    </row>
    <row r="18" spans="1:20" ht="14.25" customHeight="1">
      <c r="A18" s="16"/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14.25" customHeight="1">
      <c r="A19" s="49" t="s">
        <v>25</v>
      </c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14.25" customHeight="1">
      <c r="A20" s="49" t="s">
        <v>26</v>
      </c>
      <c r="B20" s="37">
        <v>1508</v>
      </c>
      <c r="C20" s="38">
        <v>417510</v>
      </c>
      <c r="D20" s="38">
        <v>287892</v>
      </c>
      <c r="E20" s="38">
        <f>67645+35208</f>
        <v>102853</v>
      </c>
      <c r="F20" s="38">
        <f>68202+37707+48344+23611</f>
        <v>177864</v>
      </c>
      <c r="G20" s="38">
        <f>1404+5772</f>
        <v>7176</v>
      </c>
      <c r="H20" s="38">
        <v>170995</v>
      </c>
      <c r="I20" s="51">
        <f>18218+11772</f>
        <v>29990</v>
      </c>
      <c r="J20" s="51">
        <f>57063+36284+26691+14309</f>
        <v>134347</v>
      </c>
      <c r="K20" s="51">
        <f>1099+5560</f>
        <v>6659</v>
      </c>
      <c r="L20" s="51">
        <v>116896</v>
      </c>
      <c r="M20" s="51">
        <f>49426+23436</f>
        <v>72862</v>
      </c>
      <c r="N20" s="51">
        <f>11139+1423+21653+9302</f>
        <v>43517</v>
      </c>
      <c r="O20" s="51">
        <f>305+212</f>
        <v>517</v>
      </c>
      <c r="P20" s="51">
        <v>129618</v>
      </c>
      <c r="Q20" s="51">
        <v>63304</v>
      </c>
      <c r="R20" s="51">
        <f>19494+38744</f>
        <v>58238</v>
      </c>
      <c r="S20" s="51">
        <v>8076</v>
      </c>
      <c r="T20" s="51">
        <v>435720</v>
      </c>
    </row>
    <row r="21" spans="1:20" ht="14.25" customHeight="1">
      <c r="A21" s="49" t="s">
        <v>27</v>
      </c>
      <c r="B21" s="50">
        <v>70</v>
      </c>
      <c r="C21" s="51">
        <v>51241</v>
      </c>
      <c r="D21" s="51">
        <v>43169</v>
      </c>
      <c r="E21" s="51">
        <f>14312+5567</f>
        <v>19879</v>
      </c>
      <c r="F21" s="51">
        <f>5040+1085+13655+3015</f>
        <v>22795</v>
      </c>
      <c r="G21" s="51">
        <f>494+3</f>
        <v>497</v>
      </c>
      <c r="H21" s="51">
        <v>16024</v>
      </c>
      <c r="I21" s="51">
        <f>2441+1237</f>
        <v>3678</v>
      </c>
      <c r="J21" s="51">
        <f>1945+808+7464+1763</f>
        <v>11980</v>
      </c>
      <c r="K21" s="51">
        <f>363+3</f>
        <v>366</v>
      </c>
      <c r="L21" s="51">
        <v>27146</v>
      </c>
      <c r="M21" s="51">
        <f>11871+4329</f>
        <v>16200</v>
      </c>
      <c r="N21" s="51">
        <f>3095+278+6191+1251</f>
        <v>10815</v>
      </c>
      <c r="O21" s="51">
        <v>131</v>
      </c>
      <c r="P21" s="51">
        <v>8072</v>
      </c>
      <c r="Q21" s="51">
        <v>5640</v>
      </c>
      <c r="R21" s="51">
        <f>79+2120</f>
        <v>2199</v>
      </c>
      <c r="S21" s="51">
        <v>233</v>
      </c>
      <c r="T21" s="51">
        <v>52314</v>
      </c>
    </row>
    <row r="22" spans="1:20" ht="14.25" customHeight="1">
      <c r="A22" s="52" t="s">
        <v>28</v>
      </c>
      <c r="B22" s="67">
        <v>738</v>
      </c>
      <c r="C22" s="60">
        <v>134848</v>
      </c>
      <c r="D22" s="60">
        <v>80513</v>
      </c>
      <c r="E22" s="60">
        <v>72402</v>
      </c>
      <c r="F22" s="60">
        <v>6647</v>
      </c>
      <c r="G22" s="60">
        <v>1464</v>
      </c>
      <c r="H22" s="60">
        <v>26989</v>
      </c>
      <c r="I22" s="60">
        <v>21537</v>
      </c>
      <c r="J22" s="60">
        <v>4128</v>
      </c>
      <c r="K22" s="60">
        <v>1324</v>
      </c>
      <c r="L22" s="60">
        <v>53523</v>
      </c>
      <c r="M22" s="60">
        <v>50865</v>
      </c>
      <c r="N22" s="60">
        <v>2519</v>
      </c>
      <c r="O22" s="60">
        <v>140</v>
      </c>
      <c r="P22" s="60">
        <v>54336</v>
      </c>
      <c r="Q22" s="60">
        <v>53040</v>
      </c>
      <c r="R22" s="60">
        <v>737</v>
      </c>
      <c r="S22" s="60">
        <v>560</v>
      </c>
      <c r="T22" s="60">
        <v>140640</v>
      </c>
    </row>
    <row r="23" spans="1:20" ht="14.25" customHeight="1">
      <c r="A23" s="53" t="s">
        <v>29</v>
      </c>
      <c r="B23" s="67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</row>
    <row r="24" spans="1:20" ht="14.25" customHeight="1">
      <c r="A24" s="49" t="s">
        <v>30</v>
      </c>
      <c r="B24" s="50">
        <v>456</v>
      </c>
      <c r="C24" s="51">
        <v>200374</v>
      </c>
      <c r="D24" s="51">
        <v>136239</v>
      </c>
      <c r="E24" s="51">
        <f>3149+7111</f>
        <v>10260</v>
      </c>
      <c r="F24" s="51">
        <f>41809+30062+30244+18649</f>
        <v>120764</v>
      </c>
      <c r="G24" s="51">
        <f>159+5056</f>
        <v>5215</v>
      </c>
      <c r="H24" s="51">
        <v>100729</v>
      </c>
      <c r="I24" s="51">
        <f>1208+3347</f>
        <v>4555</v>
      </c>
      <c r="J24" s="51">
        <f>34794+29172+15952+11286</f>
        <v>91204</v>
      </c>
      <c r="K24" s="51">
        <f>98+4871</f>
        <v>4969</v>
      </c>
      <c r="L24" s="51">
        <v>35511</v>
      </c>
      <c r="M24" s="51">
        <f>1941+3764</f>
        <v>5705</v>
      </c>
      <c r="N24" s="51">
        <f>7015+890+14292+7364</f>
        <v>29561</v>
      </c>
      <c r="O24" s="51">
        <f>61+185</f>
        <v>246</v>
      </c>
      <c r="P24" s="51">
        <v>64134</v>
      </c>
      <c r="Q24" s="51">
        <v>4609</v>
      </c>
      <c r="R24" s="51">
        <f>16218+36024</f>
        <v>52242</v>
      </c>
      <c r="S24" s="51">
        <v>7283</v>
      </c>
      <c r="T24" s="51">
        <v>212141</v>
      </c>
    </row>
    <row r="25" spans="1:20" ht="14.25" customHeight="1">
      <c r="A25" s="49" t="s">
        <v>31</v>
      </c>
      <c r="B25" s="37">
        <v>245</v>
      </c>
      <c r="C25" s="38">
        <v>31047</v>
      </c>
      <c r="D25" s="38">
        <v>27970</v>
      </c>
      <c r="E25" s="54">
        <f>159+153</f>
        <v>312</v>
      </c>
      <c r="F25" s="38">
        <f>19614+6089+1448+508</f>
        <v>27659</v>
      </c>
      <c r="G25" s="54">
        <v>0</v>
      </c>
      <c r="H25" s="38">
        <v>27254</v>
      </c>
      <c r="I25" s="54">
        <f>85+134</f>
        <v>219</v>
      </c>
      <c r="J25" s="38">
        <f>19319+5943+1372+401</f>
        <v>27035</v>
      </c>
      <c r="K25" s="54">
        <v>0</v>
      </c>
      <c r="L25" s="38">
        <v>717</v>
      </c>
      <c r="M25" s="54">
        <f>74+19</f>
        <v>93</v>
      </c>
      <c r="N25" s="38">
        <f>295+146+76+107</f>
        <v>624</v>
      </c>
      <c r="O25" s="54">
        <v>0</v>
      </c>
      <c r="P25" s="38">
        <v>3077</v>
      </c>
      <c r="Q25" s="54">
        <v>15</v>
      </c>
      <c r="R25" s="38">
        <f>2806+256</f>
        <v>3062</v>
      </c>
      <c r="S25" s="54">
        <v>0</v>
      </c>
      <c r="T25" s="38">
        <v>30626</v>
      </c>
    </row>
    <row r="26" spans="1:20" ht="14.25" customHeight="1">
      <c r="A26" s="49" t="s">
        <v>32</v>
      </c>
      <c r="B26" s="50">
        <v>1087</v>
      </c>
      <c r="C26" s="51">
        <v>134657</v>
      </c>
      <c r="D26" s="51">
        <v>30937</v>
      </c>
      <c r="E26" s="51">
        <f>5412+6808</f>
        <v>12220</v>
      </c>
      <c r="F26" s="51">
        <f>2359+5494+3440+5277</f>
        <v>16570</v>
      </c>
      <c r="G26" s="51">
        <f>464+1684</f>
        <v>2148</v>
      </c>
      <c r="H26" s="51">
        <v>20422</v>
      </c>
      <c r="I26" s="51">
        <f>1743+1962</f>
        <v>3705</v>
      </c>
      <c r="J26" s="51">
        <f>2294+5163+3216+4044</f>
        <v>14717</v>
      </c>
      <c r="K26" s="51">
        <f>346+1653</f>
        <v>1999</v>
      </c>
      <c r="L26" s="51">
        <v>10516</v>
      </c>
      <c r="M26" s="51">
        <f>3669+4846</f>
        <v>8515</v>
      </c>
      <c r="N26" s="51">
        <f>65+331+224+1234</f>
        <v>1854</v>
      </c>
      <c r="O26" s="51">
        <f>118+30</f>
        <v>148</v>
      </c>
      <c r="P26" s="51">
        <v>103719</v>
      </c>
      <c r="Q26" s="51">
        <v>22899</v>
      </c>
      <c r="R26" s="51">
        <f>31083+46568</f>
        <v>77651</v>
      </c>
      <c r="S26" s="51">
        <v>3168</v>
      </c>
      <c r="T26" s="51">
        <v>134770</v>
      </c>
    </row>
    <row r="27" spans="1:20" ht="14.25" customHeight="1">
      <c r="A27" s="55" t="s">
        <v>33</v>
      </c>
      <c r="B27" s="56">
        <v>1015</v>
      </c>
      <c r="C27" s="57">
        <v>174616</v>
      </c>
      <c r="D27" s="57">
        <v>78688</v>
      </c>
      <c r="E27" s="57">
        <f>4678+969</f>
        <v>5647</v>
      </c>
      <c r="F27" s="57">
        <f>3137+3197+9723+14135</f>
        <v>30192</v>
      </c>
      <c r="G27" s="57">
        <f>13944+28906</f>
        <v>42850</v>
      </c>
      <c r="H27" s="57">
        <v>58904</v>
      </c>
      <c r="I27" s="57">
        <f>469+549</f>
        <v>1018</v>
      </c>
      <c r="J27" s="57">
        <f>1629+2966+5675+9004</f>
        <v>19274</v>
      </c>
      <c r="K27" s="57">
        <f>11744+26869</f>
        <v>38613</v>
      </c>
      <c r="L27" s="57">
        <v>19784</v>
      </c>
      <c r="M27" s="57">
        <f>4209+420</f>
        <v>4629</v>
      </c>
      <c r="N27" s="57">
        <f>1508+231+4048+5132</f>
        <v>10919</v>
      </c>
      <c r="O27" s="57">
        <f>2200+2036</f>
        <v>4236</v>
      </c>
      <c r="P27" s="57">
        <v>95928</v>
      </c>
      <c r="Q27" s="57">
        <v>12917</v>
      </c>
      <c r="R27" s="57">
        <f>9205+26464</f>
        <v>35669</v>
      </c>
      <c r="S27" s="57">
        <v>47342</v>
      </c>
      <c r="T27" s="57">
        <v>181345</v>
      </c>
    </row>
    <row r="29" spans="1:20">
      <c r="T29" s="40"/>
    </row>
    <row r="30" spans="1:20" s="58" customFormat="1" hidden="1">
      <c r="B30" s="59">
        <f>B12-B16-B17</f>
        <v>0</v>
      </c>
      <c r="C30" s="59">
        <f t="shared" ref="C30:T30" si="0">C12-C16-C17</f>
        <v>0</v>
      </c>
      <c r="D30" s="59">
        <f t="shared" si="0"/>
        <v>0</v>
      </c>
      <c r="E30" s="59">
        <f t="shared" si="0"/>
        <v>0</v>
      </c>
      <c r="F30" s="59">
        <f t="shared" si="0"/>
        <v>0</v>
      </c>
      <c r="G30" s="59">
        <f t="shared" si="0"/>
        <v>0</v>
      </c>
      <c r="H30" s="59">
        <f t="shared" si="0"/>
        <v>0</v>
      </c>
      <c r="I30" s="59">
        <f t="shared" si="0"/>
        <v>0</v>
      </c>
      <c r="J30" s="59">
        <f t="shared" si="0"/>
        <v>0</v>
      </c>
      <c r="K30" s="59">
        <f t="shared" si="0"/>
        <v>0</v>
      </c>
      <c r="L30" s="59">
        <f t="shared" si="0"/>
        <v>0</v>
      </c>
      <c r="M30" s="59">
        <f t="shared" si="0"/>
        <v>0</v>
      </c>
      <c r="N30" s="59">
        <f t="shared" si="0"/>
        <v>0</v>
      </c>
      <c r="O30" s="59">
        <f t="shared" si="0"/>
        <v>0</v>
      </c>
      <c r="P30" s="59">
        <f t="shared" si="0"/>
        <v>0</v>
      </c>
      <c r="Q30" s="59">
        <f t="shared" si="0"/>
        <v>0</v>
      </c>
      <c r="R30" s="59">
        <f t="shared" si="0"/>
        <v>0</v>
      </c>
      <c r="S30" s="59">
        <f t="shared" si="0"/>
        <v>0</v>
      </c>
      <c r="T30" s="59">
        <f t="shared" si="0"/>
        <v>0</v>
      </c>
    </row>
    <row r="31" spans="1:20" s="58" customFormat="1" hidden="1">
      <c r="B31" s="59">
        <f>B12-B20-B26-B27</f>
        <v>0</v>
      </c>
      <c r="C31" s="59">
        <f t="shared" ref="C31:T31" si="1">C12-C20-C26-C27</f>
        <v>0</v>
      </c>
      <c r="D31" s="59">
        <f t="shared" si="1"/>
        <v>0</v>
      </c>
      <c r="E31" s="59">
        <f t="shared" si="1"/>
        <v>-1</v>
      </c>
      <c r="F31" s="59">
        <f t="shared" si="1"/>
        <v>0</v>
      </c>
      <c r="G31" s="59">
        <f t="shared" si="1"/>
        <v>-2</v>
      </c>
      <c r="H31" s="59">
        <f t="shared" si="1"/>
        <v>0</v>
      </c>
      <c r="I31" s="59">
        <f t="shared" si="1"/>
        <v>1</v>
      </c>
      <c r="J31" s="59">
        <f t="shared" si="1"/>
        <v>-2</v>
      </c>
      <c r="K31" s="59">
        <f t="shared" si="1"/>
        <v>0</v>
      </c>
      <c r="L31" s="59">
        <f t="shared" si="1"/>
        <v>0</v>
      </c>
      <c r="M31" s="59">
        <f t="shared" si="1"/>
        <v>0</v>
      </c>
      <c r="N31" s="59">
        <f t="shared" si="1"/>
        <v>-1</v>
      </c>
      <c r="O31" s="59">
        <f t="shared" si="1"/>
        <v>0</v>
      </c>
      <c r="P31" s="59">
        <f t="shared" si="1"/>
        <v>1</v>
      </c>
      <c r="Q31" s="59">
        <f t="shared" si="1"/>
        <v>0</v>
      </c>
      <c r="R31" s="59">
        <f t="shared" si="1"/>
        <v>2</v>
      </c>
      <c r="S31" s="59">
        <f t="shared" si="1"/>
        <v>0</v>
      </c>
      <c r="T31" s="59">
        <f t="shared" si="1"/>
        <v>1</v>
      </c>
    </row>
    <row r="32" spans="1:20" s="58" customFormat="1" hidden="1">
      <c r="B32" s="59">
        <f>SUM(B21:B25)-B20</f>
        <v>1</v>
      </c>
      <c r="C32" s="59">
        <f t="shared" ref="C32:T32" si="2">SUM(C21:C25)-C20</f>
        <v>0</v>
      </c>
      <c r="D32" s="59">
        <f t="shared" si="2"/>
        <v>-1</v>
      </c>
      <c r="E32" s="59">
        <f t="shared" si="2"/>
        <v>0</v>
      </c>
      <c r="F32" s="59">
        <f t="shared" si="2"/>
        <v>1</v>
      </c>
      <c r="G32" s="59">
        <f t="shared" si="2"/>
        <v>0</v>
      </c>
      <c r="H32" s="59">
        <f t="shared" si="2"/>
        <v>1</v>
      </c>
      <c r="I32" s="59">
        <f t="shared" si="2"/>
        <v>-1</v>
      </c>
      <c r="J32" s="59">
        <f t="shared" si="2"/>
        <v>0</v>
      </c>
      <c r="K32" s="59">
        <f t="shared" si="2"/>
        <v>0</v>
      </c>
      <c r="L32" s="59">
        <f t="shared" si="2"/>
        <v>1</v>
      </c>
      <c r="M32" s="59">
        <f t="shared" si="2"/>
        <v>1</v>
      </c>
      <c r="N32" s="59">
        <f t="shared" si="2"/>
        <v>2</v>
      </c>
      <c r="O32" s="59">
        <f t="shared" si="2"/>
        <v>0</v>
      </c>
      <c r="P32" s="59">
        <f t="shared" si="2"/>
        <v>1</v>
      </c>
      <c r="Q32" s="59">
        <f t="shared" si="2"/>
        <v>0</v>
      </c>
      <c r="R32" s="59">
        <f t="shared" si="2"/>
        <v>2</v>
      </c>
      <c r="S32" s="59">
        <f t="shared" si="2"/>
        <v>0</v>
      </c>
      <c r="T32" s="59">
        <f t="shared" si="2"/>
        <v>1</v>
      </c>
    </row>
    <row r="33" spans="2:20" s="58" customFormat="1" hidden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2:20" hidden="1"/>
    <row r="35" spans="2:20" hidden="1">
      <c r="D35" s="40">
        <f>SUM(E16:G16)-D16</f>
        <v>0</v>
      </c>
      <c r="E35" s="40"/>
      <c r="H35" s="40">
        <f>SUM(I16:K16)-H16</f>
        <v>0</v>
      </c>
      <c r="I35" s="40"/>
      <c r="L35" s="40">
        <f>SUM(M16:O16)-L16</f>
        <v>0</v>
      </c>
      <c r="M35" s="40"/>
      <c r="P35" s="40">
        <f>SUM(Q16:S16)-P16</f>
        <v>0</v>
      </c>
      <c r="Q35" s="40"/>
    </row>
    <row r="36" spans="2:20" hidden="1">
      <c r="D36" s="40">
        <f>SUM(E17:G17)-D17</f>
        <v>0</v>
      </c>
      <c r="E36" s="40"/>
      <c r="H36" s="40">
        <f>SUM(I17:K17)-H17</f>
        <v>0</v>
      </c>
      <c r="I36" s="40"/>
      <c r="L36" s="40">
        <f>SUM(M17:O17)-L17</f>
        <v>0</v>
      </c>
      <c r="M36" s="40"/>
      <c r="P36" s="40">
        <f>SUM(Q17:S17)-P17</f>
        <v>0</v>
      </c>
      <c r="Q36" s="40"/>
    </row>
    <row r="37" spans="2:20" hidden="1">
      <c r="E37" s="40"/>
      <c r="I37" s="40"/>
      <c r="M37" s="40"/>
      <c r="Q37" s="40"/>
    </row>
    <row r="38" spans="2:20" hidden="1">
      <c r="E38" s="40"/>
      <c r="I38" s="40"/>
      <c r="M38" s="40"/>
      <c r="Q38" s="40"/>
    </row>
    <row r="39" spans="2:20" hidden="1">
      <c r="D39" s="40">
        <f>SUM(E20:G20)-D20</f>
        <v>1</v>
      </c>
      <c r="E39" s="40"/>
      <c r="H39" s="40">
        <f>SUM(I20:K20)-H20</f>
        <v>1</v>
      </c>
      <c r="I39" s="40"/>
      <c r="L39" s="40">
        <f>SUM(M20:O20)-L20</f>
        <v>0</v>
      </c>
      <c r="M39" s="40"/>
      <c r="P39" s="40">
        <f>SUM(Q20:S20)-P20</f>
        <v>0</v>
      </c>
      <c r="Q39" s="40"/>
    </row>
    <row r="40" spans="2:20" hidden="1">
      <c r="D40" s="40">
        <f t="shared" ref="D40:D46" si="3">SUM(E21:G21)-D21</f>
        <v>2</v>
      </c>
      <c r="E40" s="40"/>
      <c r="H40" s="40">
        <f>SUM(I21:K21)-H21</f>
        <v>0</v>
      </c>
      <c r="I40" s="40"/>
      <c r="L40" s="40">
        <f>SUM(M21:O21)-L21</f>
        <v>0</v>
      </c>
      <c r="M40" s="40"/>
      <c r="P40" s="40">
        <f>SUM(Q21:S21)-P21</f>
        <v>0</v>
      </c>
      <c r="Q40" s="40"/>
    </row>
    <row r="41" spans="2:20" hidden="1">
      <c r="D41" s="40">
        <f t="shared" si="3"/>
        <v>0</v>
      </c>
      <c r="E41" s="40"/>
      <c r="H41" s="40">
        <f>SUM(I22:K22)-H22</f>
        <v>0</v>
      </c>
      <c r="I41" s="40"/>
      <c r="L41" s="40">
        <f>SUM(M22:O22)-L22</f>
        <v>1</v>
      </c>
      <c r="M41" s="40"/>
      <c r="P41" s="40">
        <f>SUM(Q22:S22)-P22</f>
        <v>1</v>
      </c>
      <c r="Q41" s="40"/>
    </row>
    <row r="42" spans="2:20" hidden="1">
      <c r="D42" s="40"/>
      <c r="E42" s="40"/>
      <c r="H42" s="40"/>
      <c r="I42" s="40"/>
      <c r="L42" s="40"/>
      <c r="M42" s="40"/>
      <c r="P42" s="40"/>
      <c r="Q42" s="40"/>
    </row>
    <row r="43" spans="2:20" hidden="1">
      <c r="D43" s="40">
        <f t="shared" si="3"/>
        <v>0</v>
      </c>
      <c r="E43" s="40"/>
      <c r="H43" s="40">
        <f>SUM(I24:K24)-H24</f>
        <v>-1</v>
      </c>
      <c r="I43" s="40"/>
      <c r="L43" s="40">
        <f>SUM(M24:O24)-L24</f>
        <v>1</v>
      </c>
      <c r="M43" s="40"/>
      <c r="P43" s="40">
        <f>SUM(Q24:S24)-P24</f>
        <v>0</v>
      </c>
      <c r="Q43" s="40"/>
    </row>
    <row r="44" spans="2:20" hidden="1">
      <c r="D44" s="40">
        <f t="shared" si="3"/>
        <v>1</v>
      </c>
      <c r="E44" s="40"/>
      <c r="H44" s="40">
        <f>SUM(I25:K25)-H25</f>
        <v>0</v>
      </c>
      <c r="I44" s="40"/>
      <c r="L44" s="40">
        <f>SUM(M25:O25)-L25</f>
        <v>0</v>
      </c>
      <c r="M44" s="40"/>
      <c r="P44" s="40">
        <f>SUM(Q25:S25)-P25</f>
        <v>0</v>
      </c>
      <c r="Q44" s="40"/>
    </row>
    <row r="45" spans="2:20" hidden="1">
      <c r="D45" s="40">
        <f t="shared" si="3"/>
        <v>1</v>
      </c>
      <c r="E45" s="40"/>
      <c r="H45" s="40">
        <f>SUM(I26:K26)-H26</f>
        <v>-1</v>
      </c>
      <c r="I45" s="40"/>
      <c r="L45" s="40">
        <f>SUM(M26:O26)-L26</f>
        <v>1</v>
      </c>
      <c r="M45" s="40"/>
      <c r="P45" s="40">
        <f>SUM(Q26:S26)-P26</f>
        <v>-1</v>
      </c>
      <c r="Q45" s="40"/>
    </row>
    <row r="46" spans="2:20" hidden="1">
      <c r="D46" s="40">
        <f t="shared" si="3"/>
        <v>1</v>
      </c>
      <c r="E46" s="40"/>
      <c r="H46" s="40">
        <f>SUM(I27:K27)-H27</f>
        <v>1</v>
      </c>
      <c r="I46" s="40"/>
      <c r="L46" s="40">
        <f>SUM(M27:O27)-L27</f>
        <v>0</v>
      </c>
      <c r="M46" s="40"/>
      <c r="P46" s="40">
        <f>SUM(Q27:S27)-P27</f>
        <v>0</v>
      </c>
      <c r="Q46" s="40"/>
    </row>
  </sheetData>
  <mergeCells count="20">
    <mergeCell ref="P4:S5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Q22:Q23"/>
    <mergeCell ref="R22:R23"/>
    <mergeCell ref="S22:S23"/>
    <mergeCell ref="T22:T23"/>
    <mergeCell ref="K22:K23"/>
    <mergeCell ref="L22:L23"/>
    <mergeCell ref="M22:M23"/>
    <mergeCell ref="N22:N23"/>
    <mergeCell ref="O22:O23"/>
    <mergeCell ref="P22:P23"/>
  </mergeCells>
  <phoneticPr fontId="3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</vt:lpstr>
      <vt:lpstr>'067'!Print_Area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2020-06-04T05:54:14Z</dcterms:created>
  <dcterms:modified xsi:type="dcterms:W3CDTF">2020-06-04T05:54:21Z</dcterms:modified>
</cp:coreProperties>
</file>