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7830" tabRatio="675" activeTab="0"/>
  </bookViews>
  <sheets>
    <sheet name="175-1" sheetId="1" r:id="rId1"/>
    <sheet name="175-2" sheetId="2" r:id="rId2"/>
    <sheet name="175-3" sheetId="3" r:id="rId3"/>
    <sheet name="175-4" sheetId="4" r:id="rId4"/>
    <sheet name="175-5" sheetId="5" r:id="rId5"/>
    <sheet name="175-6" sheetId="6" r:id="rId6"/>
    <sheet name="175-7" sheetId="7" r:id="rId7"/>
    <sheet name="175-8" sheetId="8" r:id="rId8"/>
    <sheet name="175-9" sheetId="9" r:id="rId9"/>
    <sheet name="175-10" sheetId="10" r:id="rId10"/>
    <sheet name="175-11" sheetId="11" r:id="rId11"/>
    <sheet name="175-12" sheetId="12" r:id="rId12"/>
    <sheet name="175-13" sheetId="13" r:id="rId13"/>
    <sheet name="175-14" sheetId="14" r:id="rId14"/>
    <sheet name="175-15" sheetId="15" r:id="rId15"/>
    <sheet name="175-16" sheetId="16" r:id="rId16"/>
    <sheet name="175-17" sheetId="17" r:id="rId17"/>
  </sheets>
  <definedNames/>
  <calcPr fullCalcOnLoad="1"/>
</workbook>
</file>

<file path=xl/sharedStrings.xml><?xml version="1.0" encoding="utf-8"?>
<sst xmlns="http://schemas.openxmlformats.org/spreadsheetml/2006/main" count="1048" uniqueCount="513">
  <si>
    <t>１７５　学     校     基     本     調     査 (平成25年度)</t>
  </si>
  <si>
    <t>　この調査は，５月１日現在で，文部科学省が行ったものである。なお，学校数には休校中のものを含む。</t>
  </si>
  <si>
    <t xml:space="preserve">                              （１7）   中 学 校 ・ 高 等 学 校 卒 業 者 の 県 外 就 職 状 況</t>
  </si>
  <si>
    <t>産                  業</t>
  </si>
  <si>
    <t>平成22年度</t>
  </si>
  <si>
    <t>平成21年度</t>
  </si>
  <si>
    <t>（23年3月）</t>
  </si>
  <si>
    <t>（24年3月）</t>
  </si>
  <si>
    <t>（25年3月）</t>
  </si>
  <si>
    <t>都    道    府    県</t>
  </si>
  <si>
    <t>中        学        校</t>
  </si>
  <si>
    <t>卸売業、小売業</t>
  </si>
  <si>
    <t>【産業別】</t>
  </si>
  <si>
    <t>金融業、保険業</t>
  </si>
  <si>
    <t xml:space="preserve"> 第  １  次  産  業</t>
  </si>
  <si>
    <t>不動産業、物品賃貸業</t>
  </si>
  <si>
    <t xml:space="preserve"> 第  ２  次  産  業</t>
  </si>
  <si>
    <t>学術研究、専門・技術サービス業</t>
  </si>
  <si>
    <t xml:space="preserve"> 第  ３  次  産  業</t>
  </si>
  <si>
    <t>宿泊業、飲食サービス業</t>
  </si>
  <si>
    <t xml:space="preserve"> 上 記 以 外 の も の</t>
  </si>
  <si>
    <t>生活関連サービス業、娯楽業</t>
  </si>
  <si>
    <t>教育、学習支援業</t>
  </si>
  <si>
    <t>医療、福祉</t>
  </si>
  <si>
    <t>高     等     学     校</t>
  </si>
  <si>
    <t>複合サービス事業</t>
  </si>
  <si>
    <t>サービス業（他に分類されないもの）</t>
  </si>
  <si>
    <t>公務（他に分類されるものを除く）</t>
  </si>
  <si>
    <t>農　業　、　林　業</t>
  </si>
  <si>
    <t>漁                業</t>
  </si>
  <si>
    <t>【都道府県別】</t>
  </si>
  <si>
    <t>鉱業、採石業、砂利採取業</t>
  </si>
  <si>
    <t>広         島         県</t>
  </si>
  <si>
    <t>建      設       業</t>
  </si>
  <si>
    <t>大         阪         府</t>
  </si>
  <si>
    <t>製      造       業</t>
  </si>
  <si>
    <t>東         京         都</t>
  </si>
  <si>
    <t>愛         知         県</t>
  </si>
  <si>
    <t xml:space="preserve"> 第  ３  次  産  業</t>
  </si>
  <si>
    <t>福         岡         県</t>
  </si>
  <si>
    <t>電気・ガス・熱供給・水道業</t>
  </si>
  <si>
    <t>兵         庫         県</t>
  </si>
  <si>
    <t>情報通信業</t>
  </si>
  <si>
    <t>神     奈     川     県</t>
  </si>
  <si>
    <t>運輸業、郵便業</t>
  </si>
  <si>
    <t>上記以外の道府県・その他</t>
  </si>
  <si>
    <t>１７５　学     校     基     本     調     査 (平成25年度)</t>
  </si>
  <si>
    <t>　　　            （１６）  大学院・高等専門学校の卒業者数</t>
  </si>
  <si>
    <t>　                      この表は，各年度とも3月卒業者について，翌年度5月1日現在の状況を調査したものである。</t>
  </si>
  <si>
    <t>区               分</t>
  </si>
  <si>
    <t>22（23年3月）</t>
  </si>
  <si>
    <t>23（24年3月）</t>
  </si>
  <si>
    <t>24（25年3月）</t>
  </si>
  <si>
    <t>計</t>
  </si>
  <si>
    <t>男</t>
  </si>
  <si>
    <t>女</t>
  </si>
  <si>
    <t xml:space="preserve"> 大　　　　学　　　　院</t>
  </si>
  <si>
    <t>修　　士　　課　　程</t>
  </si>
  <si>
    <t>博　　士　　課　　程</t>
  </si>
  <si>
    <t>専 門 職 学 位 課 程</t>
  </si>
  <si>
    <t xml:space="preserve"> 高  等  専　門　学  校</t>
  </si>
  <si>
    <t>１７５　学     校     基     本     調     査 (平成25年度)</t>
  </si>
  <si>
    <r>
      <t xml:space="preserve">　　　            （１5）  </t>
    </r>
    <r>
      <rPr>
        <sz val="11"/>
        <color indexed="8"/>
        <rFont val="ＭＳ Ｐ明朝"/>
        <family val="1"/>
      </rPr>
      <t>大　学</t>
    </r>
    <r>
      <rPr>
        <sz val="11"/>
        <rFont val="ＭＳ Ｐ明朝"/>
        <family val="1"/>
      </rPr>
      <t xml:space="preserve">  卒   業   後   の   状   況</t>
    </r>
  </si>
  <si>
    <t>　                     この表は，各年度とも3月に学部を卒業した者（年度途中の卒業者を含む）について，翌年度5月1日現在の状況を</t>
  </si>
  <si>
    <t>　　　　　　　　　調査したものである。</t>
  </si>
  <si>
    <t xml:space="preserve"> 卒    業    者    数</t>
  </si>
  <si>
    <t>進         学         者</t>
  </si>
  <si>
    <t>就         職         者</t>
  </si>
  <si>
    <t>上　記　以　外　の　者</t>
  </si>
  <si>
    <t>不  詳 ・死  亡  の 者</t>
  </si>
  <si>
    <t>上記「進学者」のうち就職している者（再掲）</t>
  </si>
  <si>
    <t>１７5　学     校     基     本     調     査 (平成25年度)</t>
  </si>
  <si>
    <r>
      <t>　　　          （１</t>
    </r>
    <r>
      <rPr>
        <sz val="11"/>
        <color indexed="8"/>
        <rFont val="ＭＳ Ｐ明朝"/>
        <family val="1"/>
      </rPr>
      <t>4</t>
    </r>
    <r>
      <rPr>
        <sz val="11"/>
        <rFont val="ＭＳ Ｐ明朝"/>
        <family val="1"/>
      </rPr>
      <t xml:space="preserve">）  </t>
    </r>
    <r>
      <rPr>
        <sz val="11"/>
        <color indexed="8"/>
        <rFont val="ＭＳ Ｐ明朝"/>
        <family val="1"/>
      </rPr>
      <t>短　期　大　学</t>
    </r>
    <r>
      <rPr>
        <sz val="11"/>
        <rFont val="ＭＳ Ｐ明朝"/>
        <family val="1"/>
      </rPr>
      <t xml:space="preserve">  卒   業   後   の   状   況</t>
    </r>
  </si>
  <si>
    <t>　                      この表は，各年度とも3月に本科を卒業した者について，翌年度5月1日現在の状況を調査したものである。</t>
  </si>
  <si>
    <t xml:space="preserve"> 卒    業    者    数</t>
  </si>
  <si>
    <t>進         学         者</t>
  </si>
  <si>
    <t>就         職         者</t>
  </si>
  <si>
    <t>専修学校・外国の学校等入学者</t>
  </si>
  <si>
    <t>一時的な仕事に就いた者</t>
  </si>
  <si>
    <t>不  詳 ・死  亡  の 者</t>
  </si>
  <si>
    <t>上記「進学者」のうち就職している者（再掲）</t>
  </si>
  <si>
    <t>１７５　学     校     基     本     調     査 (平成25年度)</t>
  </si>
  <si>
    <t>（１３）   高　　等　　学　　校　　卒　　業　　後　　の　　状　　況</t>
  </si>
  <si>
    <t>この表は，各年度とも3月に全日制・定時制の本科を卒業した者について，翌年度5月1日現在の状況を調査したものである。</t>
  </si>
  <si>
    <t>平　　成</t>
  </si>
  <si>
    <t>23年度</t>
  </si>
  <si>
    <t>性　　別</t>
  </si>
  <si>
    <t>学　　　　　　　　　科　　　　　　　　　別</t>
  </si>
  <si>
    <t>(24年3月)</t>
  </si>
  <si>
    <t>普通</t>
  </si>
  <si>
    <t>農業</t>
  </si>
  <si>
    <t>工業</t>
  </si>
  <si>
    <t>商業</t>
  </si>
  <si>
    <t>水産</t>
  </si>
  <si>
    <t>家庭</t>
  </si>
  <si>
    <t>看護</t>
  </si>
  <si>
    <t>福祉</t>
  </si>
  <si>
    <t>その他</t>
  </si>
  <si>
    <t>総合</t>
  </si>
  <si>
    <t>卒    業    者    数</t>
  </si>
  <si>
    <t xml:space="preserve"> 大　学　等　進　学　者</t>
  </si>
  <si>
    <t>大　学（学　部）</t>
  </si>
  <si>
    <t>短期大学（本科）</t>
  </si>
  <si>
    <t>大学・短期大学の通信教育部及び
放送大学</t>
  </si>
  <si>
    <t>大学・短期大学（別科）</t>
  </si>
  <si>
    <t>高等学校（専攻科）</t>
  </si>
  <si>
    <t>特別支援学校高等部（専攻科）</t>
  </si>
  <si>
    <t xml:space="preserve"> 専修学校（専門課程）進学者</t>
  </si>
  <si>
    <t xml:space="preserve"> 専修学校（一般課程）等入学者</t>
  </si>
  <si>
    <t xml:space="preserve"> 公共職業能力開発施設等入学者</t>
  </si>
  <si>
    <t xml:space="preserve"> 就　　　　職　　　　者</t>
  </si>
  <si>
    <t xml:space="preserve"> 一時的な仕事に就いた者</t>
  </si>
  <si>
    <t xml:space="preserve"> 上　記　以　外　の　者</t>
  </si>
  <si>
    <t xml:space="preserve"> 不　詳　・　死　亡　の　者</t>
  </si>
  <si>
    <t xml:space="preserve"> 就  職  進  学  者 （再 掲）　1)</t>
  </si>
  <si>
    <t>産  業  別  就  職  者  数</t>
  </si>
  <si>
    <t xml:space="preserve"> 第    １    次    産    業</t>
  </si>
  <si>
    <t>漁  業</t>
  </si>
  <si>
    <t xml:space="preserve"> 第    ２    次    産    業</t>
  </si>
  <si>
    <t>建  設  業</t>
  </si>
  <si>
    <t>製  造  業</t>
  </si>
  <si>
    <t xml:space="preserve"> 第    ３    次    産    業</t>
  </si>
  <si>
    <t>電気・ガス・熱供給・水道業</t>
  </si>
  <si>
    <t>情報通信業</t>
  </si>
  <si>
    <t>運輸業、郵便業</t>
  </si>
  <si>
    <t>教　育、学習支援業</t>
  </si>
  <si>
    <t>医　療、福　祉</t>
  </si>
  <si>
    <t xml:space="preserve"> 上　記　以　外　の　も　の</t>
  </si>
  <si>
    <t>職  業  別  就  職  者  数</t>
  </si>
  <si>
    <t xml:space="preserve"> 専門的・技術的職業従事者</t>
  </si>
  <si>
    <t xml:space="preserve"> 事務従事者</t>
  </si>
  <si>
    <t xml:space="preserve"> 販売従事者</t>
  </si>
  <si>
    <t xml:space="preserve"> サービス職業従事者</t>
  </si>
  <si>
    <t xml:space="preserve"> 保安職業従事者</t>
  </si>
  <si>
    <t xml:space="preserve"> 農林業従事者</t>
  </si>
  <si>
    <t xml:space="preserve"> 漁業従事者</t>
  </si>
  <si>
    <t xml:space="preserve"> 生産工程従事者</t>
  </si>
  <si>
    <t xml:space="preserve"> 輸送・機械運転従事者</t>
  </si>
  <si>
    <t xml:space="preserve"> 建設・採掘従事者</t>
  </si>
  <si>
    <t xml:space="preserve"> 運搬・清掃等従事者</t>
  </si>
  <si>
    <t xml:space="preserve"> 上記以外のもの</t>
  </si>
  <si>
    <t>注　１）大学等進学者，専修学校（専門課程）進学者，専修学校（一般課程）等入学者，公共職業能力開発施設等入学者のうち就職している者である。</t>
  </si>
  <si>
    <t xml:space="preserve">                                    （１２）   中   学   校   卒   業   後   の   状   況</t>
  </si>
  <si>
    <t>　                                      この表は，各年度とも3月卒業者について，翌年度5月1日現在の状況を調査したものである。</t>
  </si>
  <si>
    <t>卒     業     者     数</t>
  </si>
  <si>
    <t xml:space="preserve"> 高 等 学 校 等 進 学 者</t>
  </si>
  <si>
    <t>高   等   学   校　（本   科）</t>
  </si>
  <si>
    <t>全　　日　　制</t>
  </si>
  <si>
    <t>定　　時　　制</t>
  </si>
  <si>
    <t>通　　信　　制</t>
  </si>
  <si>
    <t>高   等   学   校　（別   科）</t>
  </si>
  <si>
    <t>中等教育学校後期課程（本科）</t>
  </si>
  <si>
    <t>高   等   専   門   学   校</t>
  </si>
  <si>
    <t>特別支援学校高等部(本科)</t>
  </si>
  <si>
    <t xml:space="preserve"> 専修学校 （高等課程）進学者</t>
  </si>
  <si>
    <t xml:space="preserve"> 専修学校 （一般課程）等入学者</t>
  </si>
  <si>
    <t xml:space="preserve"> 公共職業能力開発施設等入学者</t>
  </si>
  <si>
    <t xml:space="preserve"> 就        職        者</t>
  </si>
  <si>
    <t xml:space="preserve"> 上　記　以　外　の  者</t>
  </si>
  <si>
    <t xml:space="preserve"> 不　詳　・　死　亡　の　者</t>
  </si>
  <si>
    <t xml:space="preserve"> 就  職  進  学  者  （再掲） 1)</t>
  </si>
  <si>
    <t xml:space="preserve"> 第   １   次   産   業</t>
  </si>
  <si>
    <t xml:space="preserve"> 第   ２   次   産   業</t>
  </si>
  <si>
    <t xml:space="preserve"> 第   ３   次   産   業</t>
  </si>
  <si>
    <t xml:space="preserve"> 上 記 以 外 の  も の</t>
  </si>
  <si>
    <t>注　１）高等学校等進学者，専修学校（高等課程）進学者，専修学校（一般課程）等入学者，公共職業能力開発施設等入学者のうち就職して</t>
  </si>
  <si>
    <t>　　　　いる者である。</t>
  </si>
  <si>
    <t xml:space="preserve">                                   （１１）   不  就  学  学  齢  児  童  生  徒  数</t>
  </si>
  <si>
    <t>学　　齢　　児　　童</t>
  </si>
  <si>
    <t>学　　齢　　生　　徒</t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</si>
  <si>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</si>
  <si>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</si>
  <si>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</si>
  <si>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</si>
  <si>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</si>
  <si>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</si>
  <si>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</si>
  <si>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</si>
  <si>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</si>
  <si>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</si>
  <si>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23　年　度</t>
  </si>
  <si>
    <t>就     学     免     除     者</t>
  </si>
  <si>
    <t>肢　体　不　自　由</t>
  </si>
  <si>
    <t>病　 弱  ・  虚 　弱</t>
  </si>
  <si>
    <t>知　　的　　障　　害</t>
  </si>
  <si>
    <t>児童自立支援施設又は
少 年 院 に い る た め</t>
  </si>
  <si>
    <t>そ　　　の　　　他</t>
  </si>
  <si>
    <t>就     学     猶     予     者</t>
  </si>
  <si>
    <t>視　　覚　　障　　害</t>
  </si>
  <si>
    <t>弱　　　　　　　　  視</t>
  </si>
  <si>
    <t>聴　　覚　　障　　害</t>
  </si>
  <si>
    <t>難　　　　　　　　　聴</t>
  </si>
  <si>
    <t>１７5　学     校     基     本     調     査 (平成25年度)</t>
  </si>
  <si>
    <t>（１０）   各　　　　種　　　　学　　　　校</t>
  </si>
  <si>
    <t>年度、設置者</t>
  </si>
  <si>
    <t>課 程 数</t>
  </si>
  <si>
    <t>生　　　徒　　　数</t>
  </si>
  <si>
    <t>課      程</t>
  </si>
  <si>
    <t>平成23年度</t>
  </si>
  <si>
    <t>准 看 護</t>
  </si>
  <si>
    <t>和 洋 裁</t>
  </si>
  <si>
    <t>編物・手芸</t>
  </si>
  <si>
    <t>　</t>
  </si>
  <si>
    <t>法律行政</t>
  </si>
  <si>
    <t>公     立</t>
  </si>
  <si>
    <t>予 備 校</t>
  </si>
  <si>
    <t>私     立</t>
  </si>
  <si>
    <t>自動車操縦</t>
  </si>
  <si>
    <t>外国人学校</t>
  </si>
  <si>
    <t xml:space="preserve"> </t>
  </si>
  <si>
    <t>　この調査は，５月１日現在で，文部科学省が行ったものである。なお，学科数には休校中のものを含む。</t>
  </si>
  <si>
    <t>（９）   専　　　　修　　　　学　　　　校</t>
  </si>
  <si>
    <t>年  度、学　科</t>
  </si>
  <si>
    <t>学 科 数</t>
  </si>
  <si>
    <t>学　　科</t>
  </si>
  <si>
    <t>歯科衛生</t>
  </si>
  <si>
    <t>歯科技工</t>
  </si>
  <si>
    <t>理学・作業療法</t>
  </si>
  <si>
    <t>調     理</t>
  </si>
  <si>
    <t>国      立</t>
  </si>
  <si>
    <t>理     容</t>
  </si>
  <si>
    <t>公      立</t>
  </si>
  <si>
    <t>美     容</t>
  </si>
  <si>
    <t>私      立</t>
  </si>
  <si>
    <t>製菓･製パン</t>
  </si>
  <si>
    <t>介護福祉</t>
  </si>
  <si>
    <t xml:space="preserve"> 高 等 課 程</t>
  </si>
  <si>
    <r>
      <t>経理</t>
    </r>
    <r>
      <rPr>
        <sz val="11"/>
        <color indexed="8"/>
        <rFont val="ＭＳ Ｐ明朝"/>
        <family val="1"/>
      </rPr>
      <t>・</t>
    </r>
    <r>
      <rPr>
        <sz val="11"/>
        <rFont val="ＭＳ Ｐ明朝"/>
        <family val="1"/>
      </rPr>
      <t>簿記</t>
    </r>
  </si>
  <si>
    <t>情     報</t>
  </si>
  <si>
    <t>調     理</t>
  </si>
  <si>
    <t>ビジネス</t>
  </si>
  <si>
    <t>和 洋 裁</t>
  </si>
  <si>
    <t>音     楽</t>
  </si>
  <si>
    <t>デザイン</t>
  </si>
  <si>
    <t>社会福祉</t>
  </si>
  <si>
    <t>動     物</t>
  </si>
  <si>
    <t>商     業</t>
  </si>
  <si>
    <r>
      <t>法</t>
    </r>
    <r>
      <rPr>
        <sz val="11"/>
        <color indexed="8"/>
        <rFont val="ＭＳ Ｐ明朝"/>
        <family val="1"/>
      </rPr>
      <t>律行政</t>
    </r>
  </si>
  <si>
    <t>そ の 他</t>
  </si>
  <si>
    <t xml:space="preserve"> 専 門 課 程</t>
  </si>
  <si>
    <t xml:space="preserve"> 一 般 課 程</t>
  </si>
  <si>
    <t>情報処理</t>
  </si>
  <si>
    <t>　 受験･補習</t>
  </si>
  <si>
    <t>農     業</t>
  </si>
  <si>
    <t>動　　　物</t>
  </si>
  <si>
    <t>看     護</t>
  </si>
  <si>
    <t xml:space="preserve">（８）   特　別　支　援　学　級 </t>
  </si>
  <si>
    <t>年 度、学級種類</t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</si>
  <si>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</si>
  <si>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</si>
  <si>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</si>
  <si>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</si>
  <si>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</si>
  <si>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</si>
  <si>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</si>
  <si>
    <t>肢体不自由</t>
  </si>
  <si>
    <t>病弱・身体虚弱</t>
  </si>
  <si>
    <t>弱　視</t>
  </si>
  <si>
    <t>難　聴</t>
  </si>
  <si>
    <t>言語障害</t>
  </si>
  <si>
    <t>-</t>
  </si>
  <si>
    <t>自閉症・情緒障害</t>
  </si>
  <si>
    <t>　　（７）   特    別    支    援    学    校</t>
  </si>
  <si>
    <t>年    度</t>
  </si>
  <si>
    <t>学    校    数</t>
  </si>
  <si>
    <t>学級数</t>
  </si>
  <si>
    <t>在              学              者              数</t>
  </si>
  <si>
    <t>教    員    数</t>
  </si>
  <si>
    <t>職員数
（本務者）</t>
  </si>
  <si>
    <t>本    校</t>
  </si>
  <si>
    <t>分    校</t>
  </si>
  <si>
    <t>幼稚部</t>
  </si>
  <si>
    <t>小学部</t>
  </si>
  <si>
    <t>中学部</t>
  </si>
  <si>
    <t>高等部</t>
  </si>
  <si>
    <t>本務者</t>
  </si>
  <si>
    <t>兼務者</t>
  </si>
  <si>
    <t>（６）   高　　　　等　　　　学　　　　校　　（全　日　制　・　定　時　制）</t>
  </si>
  <si>
    <t>区    分</t>
  </si>
  <si>
    <t>公　　立</t>
  </si>
  <si>
    <t>私    立</t>
  </si>
  <si>
    <t>　学　校　数</t>
  </si>
  <si>
    <t>　　本　　校</t>
  </si>
  <si>
    <t>　　分　　校</t>
  </si>
  <si>
    <t>　教　員　数</t>
  </si>
  <si>
    <t>　　本 務 者</t>
  </si>
  <si>
    <t>　　　男</t>
  </si>
  <si>
    <t>　　　女</t>
  </si>
  <si>
    <t>　　兼 務 者</t>
  </si>
  <si>
    <t>　職　員　数</t>
  </si>
  <si>
    <t>　　うち事務職員</t>
  </si>
  <si>
    <t>　生　徒　数</t>
  </si>
  <si>
    <t>　　男</t>
  </si>
  <si>
    <t>　　女</t>
  </si>
  <si>
    <t>　　本　　科</t>
  </si>
  <si>
    <t>　　　１ 学 年</t>
  </si>
  <si>
    <t>　　　２ 学 年</t>
  </si>
  <si>
    <t>　　　３ 学 年</t>
  </si>
  <si>
    <t>　　　４ 学 年</t>
  </si>
  <si>
    <t>　　専 攻 科</t>
  </si>
  <si>
    <t>　本科学科別生徒数</t>
  </si>
  <si>
    <t>　　普　　通</t>
  </si>
  <si>
    <t>　　農　　業</t>
  </si>
  <si>
    <t>　　工　　業</t>
  </si>
  <si>
    <t>　　商　　業</t>
  </si>
  <si>
    <t>　　水　　産</t>
  </si>
  <si>
    <t>　　家　　庭</t>
  </si>
  <si>
    <t>　　看　　護</t>
  </si>
  <si>
    <t>　　福　　祉</t>
  </si>
  <si>
    <t>　　そ の 他</t>
  </si>
  <si>
    <t>　　総　　合</t>
  </si>
  <si>
    <t>　　</t>
  </si>
  <si>
    <r>
      <t xml:space="preserve">　本科卒業者数 </t>
    </r>
    <r>
      <rPr>
        <sz val="11"/>
        <rFont val="ＭＳ Ｐゴシック"/>
        <family val="3"/>
      </rPr>
      <t>1)</t>
    </r>
  </si>
  <si>
    <t>　　女</t>
  </si>
  <si>
    <t>　　普  通　　男</t>
  </si>
  <si>
    <t>…</t>
  </si>
  <si>
    <t>　　　　　  　　女</t>
  </si>
  <si>
    <t>　　農　業　　男</t>
  </si>
  <si>
    <t>　　工　業　　男</t>
  </si>
  <si>
    <t>　　商　業　　男</t>
  </si>
  <si>
    <t>　　水　産　　男</t>
  </si>
  <si>
    <t>　　家　庭　　男</t>
  </si>
  <si>
    <t>　　看　護　　男</t>
  </si>
  <si>
    <t>　　福　祉　　男</t>
  </si>
  <si>
    <t>　　その他   男</t>
  </si>
  <si>
    <t>　　総　合　　男</t>
  </si>
  <si>
    <t>注　1）前年度間の卒業者数である。</t>
  </si>
  <si>
    <t>１７5　学     校     基     本     調     査 (平成25年度)</t>
  </si>
  <si>
    <t>（５）   中          学          校</t>
  </si>
  <si>
    <t>　　　市町別の内訳は，国・公・私立の合計である。</t>
  </si>
  <si>
    <t>学  　校  　数</t>
  </si>
  <si>
    <t>学        級        数</t>
  </si>
  <si>
    <t>生</t>
  </si>
  <si>
    <t>徒</t>
  </si>
  <si>
    <t>数</t>
  </si>
  <si>
    <t>教           員           数</t>
  </si>
  <si>
    <t>職員数（本務者）</t>
  </si>
  <si>
    <t>本校</t>
  </si>
  <si>
    <t>分校</t>
  </si>
  <si>
    <t>単式</t>
  </si>
  <si>
    <t>複式</t>
  </si>
  <si>
    <t>特別支援</t>
  </si>
  <si>
    <t>1学年</t>
  </si>
  <si>
    <t>2学年</t>
  </si>
  <si>
    <t>3学年</t>
  </si>
  <si>
    <t>本</t>
  </si>
  <si>
    <t>務</t>
  </si>
  <si>
    <t>者</t>
  </si>
  <si>
    <t>兼務者</t>
  </si>
  <si>
    <t xml:space="preserve"> う　ち</t>
  </si>
  <si>
    <t>市　　町</t>
  </si>
  <si>
    <t>学級</t>
  </si>
  <si>
    <t>男</t>
  </si>
  <si>
    <t>女</t>
  </si>
  <si>
    <t>計</t>
  </si>
  <si>
    <t>男</t>
  </si>
  <si>
    <t>事務職員</t>
  </si>
  <si>
    <t>市　　町</t>
  </si>
  <si>
    <t xml:space="preserve"> 国    立</t>
  </si>
  <si>
    <t xml:space="preserve"> 公    立</t>
  </si>
  <si>
    <t xml:space="preserve"> 私    立</t>
  </si>
  <si>
    <t xml:space="preserve"> 市  　計</t>
  </si>
  <si>
    <t>下 関 市</t>
  </si>
  <si>
    <t>下 関 市</t>
  </si>
  <si>
    <t>宇 部 市</t>
  </si>
  <si>
    <t>山 口 市</t>
  </si>
  <si>
    <t>山 口 市</t>
  </si>
  <si>
    <t>萩 　　市</t>
  </si>
  <si>
    <t>萩 　　市</t>
  </si>
  <si>
    <t>防 府 市</t>
  </si>
  <si>
    <t>防 府 市</t>
  </si>
  <si>
    <t>下 松 市</t>
  </si>
  <si>
    <t>岩 国 市</t>
  </si>
  <si>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</si>
  <si>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</si>
  <si>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</si>
  <si>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>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</si>
  <si>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>周 南</t>
    </r>
    <r>
      <rPr>
        <sz val="11"/>
        <rFont val="ＭＳ Ｐ明朝"/>
        <family val="1"/>
      </rPr>
      <t xml:space="preserve"> 市</t>
    </r>
  </si>
  <si>
    <t>山陽小野田市</t>
  </si>
  <si>
    <t xml:space="preserve"> 町　　計</t>
  </si>
  <si>
    <r>
      <rPr>
        <sz val="11"/>
        <color indexed="8"/>
        <rFont val="ＭＳ Ｐ明朝"/>
        <family val="1"/>
      </rPr>
      <t>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</si>
  <si>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和 木</t>
    </r>
    <r>
      <rPr>
        <sz val="11"/>
        <rFont val="ＭＳ Ｐ明朝"/>
        <family val="1"/>
      </rPr>
      <t xml:space="preserve"> 町</t>
    </r>
  </si>
  <si>
    <t>上 関 町</t>
  </si>
  <si>
    <r>
      <rPr>
        <sz val="11"/>
        <color indexed="8"/>
        <rFont val="ＭＳ Ｐ明朝"/>
        <family val="1"/>
      </rPr>
      <t>田布施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</si>
  <si>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平 生</t>
    </r>
    <r>
      <rPr>
        <sz val="11"/>
        <rFont val="ＭＳ Ｐ明朝"/>
        <family val="1"/>
      </rPr>
      <t xml:space="preserve"> 町</t>
    </r>
  </si>
  <si>
    <r>
      <rPr>
        <sz val="11"/>
        <color indexed="8"/>
        <rFont val="ＭＳ Ｐ明朝"/>
        <family val="1"/>
      </rPr>
      <t>阿 武</t>
    </r>
    <r>
      <rPr>
        <sz val="11"/>
        <rFont val="ＭＳ Ｐ明朝"/>
        <family val="1"/>
      </rPr>
      <t xml:space="preserve"> 町</t>
    </r>
  </si>
  <si>
    <t>１７５　学     校     基     本     調     査 (平成25年度)</t>
  </si>
  <si>
    <t>（４）   小     　　　学　　　　　　校</t>
  </si>
  <si>
    <t>　　　市町別の内訳は，国・公・私立の合計である。</t>
  </si>
  <si>
    <t>年   度</t>
  </si>
  <si>
    <t>学        級        数</t>
  </si>
  <si>
    <t>児</t>
  </si>
  <si>
    <t>童</t>
  </si>
  <si>
    <t>年   度</t>
  </si>
  <si>
    <t xml:space="preserve"> 本校</t>
  </si>
  <si>
    <t xml:space="preserve"> 分校</t>
  </si>
  <si>
    <t xml:space="preserve"> 単式</t>
  </si>
  <si>
    <t xml:space="preserve"> 複式</t>
  </si>
  <si>
    <t>4学年</t>
  </si>
  <si>
    <t>5学年</t>
  </si>
  <si>
    <t>6学年</t>
  </si>
  <si>
    <t>務</t>
  </si>
  <si>
    <t xml:space="preserve"> 兼務者</t>
  </si>
  <si>
    <t>市 　町</t>
  </si>
  <si>
    <t xml:space="preserve"> 学級</t>
  </si>
  <si>
    <t>学　　　級</t>
  </si>
  <si>
    <t>市　 町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</si>
  <si>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</si>
  <si>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</si>
  <si>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</si>
  <si>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</si>
  <si>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　　市</t>
  </si>
  <si>
    <t xml:space="preserve"> 萩 　　市</t>
  </si>
  <si>
    <t xml:space="preserve"> 防 府 市</t>
  </si>
  <si>
    <t xml:space="preserve"> 下 松 市</t>
  </si>
  <si>
    <t xml:space="preserve"> 岩 国 市</t>
  </si>
  <si>
    <r>
      <t xml:space="preserve"> </t>
    </r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</si>
  <si>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t xml:space="preserve"> </t>
    </r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</si>
  <si>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</si>
  <si>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</si>
  <si>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 xml:space="preserve"> 周 南</t>
    </r>
    <r>
      <rPr>
        <sz val="11"/>
        <rFont val="ＭＳ Ｐ明朝"/>
        <family val="1"/>
      </rPr>
      <t xml:space="preserve"> 市</t>
    </r>
  </si>
  <si>
    <t xml:space="preserve"> 山陽小野田市</t>
  </si>
  <si>
    <t xml:space="preserve"> 町　　計</t>
  </si>
  <si>
    <t xml:space="preserve"> 町    計</t>
  </si>
  <si>
    <r>
      <rPr>
        <sz val="11"/>
        <color indexed="8"/>
        <rFont val="ＭＳ Ｐ明朝"/>
        <family val="1"/>
      </rPr>
      <t xml:space="preserve"> 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</si>
  <si>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 xml:space="preserve"> 和 木</t>
    </r>
    <r>
      <rPr>
        <sz val="11"/>
        <rFont val="ＭＳ Ｐ明朝"/>
        <family val="1"/>
      </rPr>
      <t xml:space="preserve"> 町</t>
    </r>
  </si>
  <si>
    <t xml:space="preserve"> 上 関 町</t>
  </si>
  <si>
    <t xml:space="preserve"> 田布施町</t>
  </si>
  <si>
    <t xml:space="preserve"> 平 生 町</t>
  </si>
  <si>
    <t xml:space="preserve"> 阿 武 町</t>
  </si>
  <si>
    <t>１７５　学   校   基   本   調   査 (平成25年度)</t>
  </si>
  <si>
    <t>この調査は，5月1日現在で，文部科学省が行ったものである。なお，学校数には休校中のものを含む。</t>
  </si>
  <si>
    <t xml:space="preserve">              （３）   幼          稚          園</t>
  </si>
  <si>
    <t>国・公・私立の合計数である。</t>
  </si>
  <si>
    <t>年　　度
市    町</t>
  </si>
  <si>
    <t>園　　　　　数</t>
  </si>
  <si>
    <t>教　　　　員　　　　数</t>
  </si>
  <si>
    <t>園                  児                  数</t>
  </si>
  <si>
    <t>本    園</t>
  </si>
  <si>
    <t>分    園</t>
  </si>
  <si>
    <t>学 級 数</t>
  </si>
  <si>
    <t>本    務</t>
  </si>
  <si>
    <t>兼    務</t>
  </si>
  <si>
    <t>性　　　　別</t>
  </si>
  <si>
    <t>年　　　　齢　　　　別</t>
  </si>
  <si>
    <t>３歳児</t>
  </si>
  <si>
    <t>４歳児</t>
  </si>
  <si>
    <t>５歳児</t>
  </si>
  <si>
    <t xml:space="preserve"> 平成25年度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</si>
  <si>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</si>
  <si>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</si>
  <si>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</si>
  <si>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</si>
  <si>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</si>
  <si>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</si>
  <si>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</si>
  <si>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</si>
  <si>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</si>
  <si>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</si>
  <si>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</si>
  <si>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r>
      <t xml:space="preserve"> 周</t>
    </r>
    <r>
      <rPr>
        <sz val="11"/>
        <color indexed="8"/>
        <rFont val="ＭＳ Ｐ明朝"/>
        <family val="1"/>
      </rPr>
      <t xml:space="preserve"> </t>
    </r>
    <r>
      <rPr>
        <sz val="11"/>
        <rFont val="ＭＳ Ｐ明朝"/>
        <family val="1"/>
      </rPr>
      <t>南</t>
    </r>
    <r>
      <rPr>
        <sz val="11"/>
        <color indexed="8"/>
        <rFont val="ＭＳ Ｐ明朝"/>
        <family val="1"/>
      </rPr>
      <t xml:space="preserve"> </t>
    </r>
    <r>
      <rPr>
        <sz val="11"/>
        <rFont val="ＭＳ Ｐ明朝"/>
        <family val="1"/>
      </rPr>
      <t>市</t>
    </r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</si>
  <si>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</si>
  <si>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</si>
  <si>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</si>
  <si>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</si>
  <si>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</si>
  <si>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</si>
  <si>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r>
      <t xml:space="preserve">  （２）   教　　   　 　員　　　    　数　　</t>
    </r>
    <r>
      <rPr>
        <sz val="12"/>
        <rFont val="ＭＳ Ｐ明朝"/>
        <family val="1"/>
      </rPr>
      <t>（　本　　務　　者　）</t>
    </r>
  </si>
  <si>
    <t>校    種
年　　度</t>
  </si>
  <si>
    <t>校　（園）　長</t>
  </si>
  <si>
    <t>副校（園）長</t>
  </si>
  <si>
    <t>教       頭</t>
  </si>
  <si>
    <t>主幹教諭</t>
  </si>
  <si>
    <t>指導教諭</t>
  </si>
  <si>
    <t>教       諭</t>
  </si>
  <si>
    <t>助   教   諭</t>
  </si>
  <si>
    <t>養護教諭</t>
  </si>
  <si>
    <t>養護助教諭</t>
  </si>
  <si>
    <t>栄養教諭</t>
  </si>
  <si>
    <t>講    師</t>
  </si>
  <si>
    <t xml:space="preserve"> 幼 稚 園</t>
  </si>
  <si>
    <t xml:space="preserve"> 小 学 校</t>
  </si>
  <si>
    <t xml:space="preserve"> 中 学 校</t>
  </si>
  <si>
    <t xml:space="preserve"> 高等学校</t>
  </si>
  <si>
    <t>　　　　　　　　　　　　　　この調査は，5月1日現在で，文部科学省が行ったものである。なお，学校数には休校中のものを含む。</t>
  </si>
  <si>
    <t>　　　　　　　　　　　　　（１）   学          校          総          覧</t>
  </si>
  <si>
    <t>文部科学省</t>
  </si>
  <si>
    <t>年      度</t>
  </si>
  <si>
    <t>在    学    者    数</t>
  </si>
  <si>
    <t>卒    業    者    数 1)</t>
  </si>
  <si>
    <t>校      種</t>
  </si>
  <si>
    <t>平　成　19　年　度</t>
  </si>
  <si>
    <t>幼    稚    園</t>
  </si>
  <si>
    <t>　　国　　　立</t>
  </si>
  <si>
    <t>　　公　　　立</t>
  </si>
  <si>
    <t>　　私　　　立</t>
  </si>
  <si>
    <t>小    学    校</t>
  </si>
  <si>
    <t>中    学    校</t>
  </si>
  <si>
    <r>
      <t xml:space="preserve">中等教育学校 </t>
    </r>
    <r>
      <rPr>
        <sz val="11"/>
        <rFont val="ＭＳ Ｐ明朝"/>
        <family val="1"/>
      </rPr>
      <t>2)</t>
    </r>
  </si>
  <si>
    <t>　　公　　　立</t>
  </si>
  <si>
    <r>
      <t xml:space="preserve">高等学校(全日制・定時制) </t>
    </r>
    <r>
      <rPr>
        <sz val="11"/>
        <rFont val="ＭＳ Ｐ明朝"/>
        <family val="1"/>
      </rPr>
      <t>3)</t>
    </r>
  </si>
  <si>
    <r>
      <t xml:space="preserve">特別支援学校 </t>
    </r>
    <r>
      <rPr>
        <sz val="11"/>
        <rFont val="ＭＳ Ｐ明朝"/>
        <family val="1"/>
      </rPr>
      <t>4)</t>
    </r>
  </si>
  <si>
    <t>高等専門学校</t>
  </si>
  <si>
    <r>
      <t xml:space="preserve">短  期  大  学 </t>
    </r>
    <r>
      <rPr>
        <sz val="11"/>
        <rFont val="ＭＳ Ｐ明朝"/>
        <family val="1"/>
      </rPr>
      <t>5)</t>
    </r>
  </si>
  <si>
    <r>
      <t xml:space="preserve">大           学 </t>
    </r>
    <r>
      <rPr>
        <sz val="11"/>
        <rFont val="ＭＳ Ｐ明朝"/>
        <family val="1"/>
      </rPr>
      <t>6)</t>
    </r>
  </si>
  <si>
    <t>　　国　　　立　 7)</t>
  </si>
  <si>
    <t>専  修  学  校</t>
  </si>
  <si>
    <t/>
  </si>
  <si>
    <t>各  種  学  校</t>
  </si>
  <si>
    <t xml:space="preserve">注　1）前年度間の卒業者数である。　2）在学者数及び卒業者数は，前期課程と後期課程の合計数である。 </t>
  </si>
  <si>
    <t>　　 3)卒業者数は，本科を卒業した者の数である。 4)卒業者数は，中学部と高等部の卒業者の合計数である。</t>
  </si>
  <si>
    <t>　　 5）在学者数は本科学生数，卒業者数は本科を卒業した者の数である。　6)在学者数は学部学生数，卒業者数は学部を卒業した者の数である。</t>
  </si>
  <si>
    <t>　　 7）水産大学校は含まない。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</si>
</sst>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;\-#\ ##0;&quot;-&quot;"/>
    <numFmt numFmtId="178" formatCode="#\ ###\ ##0;\-#\ ##0;&quot;－&quot;"/>
    <numFmt numFmtId="179" formatCode="###\ ##0"/>
    <numFmt numFmtId="180" formatCode="#,##0;0;&quot;－&quot;"/>
    <numFmt numFmtId="181" formatCode="#,##0;\-#,##0;&quot;－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Continuous" vertical="center"/>
    </xf>
    <xf numFmtId="3" fontId="5" fillId="33" borderId="12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centerContinuous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 quotePrefix="1">
      <alignment horizontal="center" vertical="center"/>
    </xf>
    <xf numFmtId="3" fontId="2" fillId="33" borderId="16" xfId="0" applyNumberFormat="1" applyFont="1" applyFill="1" applyBorder="1" applyAlignment="1" quotePrefix="1">
      <alignment horizontal="center" vertical="center"/>
    </xf>
    <xf numFmtId="3" fontId="7" fillId="33" borderId="16" xfId="0" applyNumberFormat="1" applyFont="1" applyFill="1" applyBorder="1" applyAlignment="1" quotePrefix="1">
      <alignment horizontal="center" vertical="center"/>
    </xf>
    <xf numFmtId="0" fontId="5" fillId="33" borderId="16" xfId="0" applyNumberFormat="1" applyFont="1" applyFill="1" applyBorder="1" applyAlignment="1">
      <alignment horizontal="left" vertical="center" indent="1"/>
    </xf>
    <xf numFmtId="0" fontId="5" fillId="33" borderId="16" xfId="0" applyNumberFormat="1" applyFont="1" applyFill="1" applyBorder="1" applyAlignment="1">
      <alignment horizontal="left" vertical="center" indent="2"/>
    </xf>
    <xf numFmtId="0" fontId="5" fillId="33" borderId="16" xfId="0" applyNumberFormat="1" applyFont="1" applyFill="1" applyBorder="1" applyAlignment="1">
      <alignment horizontal="left" vertical="center" wrapText="1" indent="2" shrinkToFit="1"/>
    </xf>
    <xf numFmtId="0" fontId="5" fillId="33" borderId="10" xfId="0" applyNumberFormat="1" applyFont="1" applyFill="1" applyBorder="1" applyAlignment="1">
      <alignment horizontal="left" vertical="center" indent="2"/>
    </xf>
    <xf numFmtId="178" fontId="2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 quotePrefix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 quotePrefix="1">
      <alignment horizontal="lef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4" fillId="0" borderId="0" xfId="0" applyNumberFormat="1" applyFont="1" applyAlignment="1" applyProtection="1">
      <alignment horizontal="left" vertical="top" indent="2"/>
      <protection/>
    </xf>
    <xf numFmtId="3" fontId="4" fillId="0" borderId="0" xfId="0" applyNumberFormat="1" applyFont="1" applyAlignment="1" applyProtection="1">
      <alignment horizontal="left" vertical="center" indent="2"/>
      <protection/>
    </xf>
    <xf numFmtId="3" fontId="5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3" fontId="5" fillId="33" borderId="15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horizontal="centerContinuous" vertical="center"/>
      <protection/>
    </xf>
    <xf numFmtId="3" fontId="5" fillId="33" borderId="12" xfId="0" applyNumberFormat="1" applyFont="1" applyFill="1" applyBorder="1" applyAlignment="1" applyProtection="1">
      <alignment horizontal="centerContinuous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2" fillId="33" borderId="16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vertical="center"/>
      <protection/>
    </xf>
    <xf numFmtId="3" fontId="7" fillId="33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horizontal="lef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7" fillId="33" borderId="16" xfId="0" applyNumberFormat="1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left"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" fontId="5" fillId="0" borderId="0" xfId="0" applyNumberFormat="1" applyFont="1" applyAlignment="1" applyProtection="1" quotePrefix="1">
      <alignment vertical="center"/>
      <protection/>
    </xf>
    <xf numFmtId="3" fontId="48" fillId="0" borderId="0" xfId="0" applyNumberFormat="1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 quotePrefix="1">
      <alignment horizontal="center" vertical="center"/>
      <protection/>
    </xf>
    <xf numFmtId="178" fontId="0" fillId="0" borderId="0" xfId="0" applyNumberFormat="1" applyFont="1" applyAlignment="1" applyProtection="1">
      <alignment vertical="center"/>
      <protection/>
    </xf>
    <xf numFmtId="3" fontId="7" fillId="33" borderId="16" xfId="0" applyNumberFormat="1" applyFont="1" applyFill="1" applyBorder="1" applyAlignment="1" applyProtection="1" quotePrefix="1">
      <alignment horizontal="center"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 quotePrefix="1">
      <alignment horizontal="center" vertical="center"/>
      <protection/>
    </xf>
    <xf numFmtId="178" fontId="7" fillId="0" borderId="19" xfId="0" applyNumberFormat="1" applyFont="1" applyFill="1" applyBorder="1" applyAlignment="1" applyProtection="1">
      <alignment horizontal="right" vertical="center"/>
      <protection/>
    </xf>
    <xf numFmtId="178" fontId="15" fillId="0" borderId="19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horizontal="right"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 applyProtection="1">
      <alignment horizontal="centerContinuous" vertical="center"/>
      <protection/>
    </xf>
    <xf numFmtId="3" fontId="5" fillId="33" borderId="27" xfId="0" applyNumberFormat="1" applyFont="1" applyFill="1" applyBorder="1" applyAlignment="1" applyProtection="1">
      <alignment horizontal="centerContinuous"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 quotePrefix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28" borderId="11" xfId="0" applyNumberFormat="1" applyFont="1" applyFill="1" applyBorder="1" applyAlignment="1" applyProtection="1">
      <alignment vertical="center"/>
      <protection/>
    </xf>
    <xf numFmtId="0" fontId="48" fillId="28" borderId="11" xfId="0" applyFont="1" applyFill="1" applyBorder="1" applyAlignment="1" applyProtection="1">
      <alignment horizontal="center" vertical="center"/>
      <protection/>
    </xf>
    <xf numFmtId="0" fontId="48" fillId="28" borderId="11" xfId="0" applyFont="1" applyFill="1" applyBorder="1" applyAlignment="1" applyProtection="1">
      <alignment vertical="center"/>
      <protection/>
    </xf>
    <xf numFmtId="0" fontId="48" fillId="28" borderId="12" xfId="0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horizontal="centerContinuous" vertical="center"/>
      <protection/>
    </xf>
    <xf numFmtId="3" fontId="5" fillId="33" borderId="28" xfId="0" applyNumberFormat="1" applyFont="1" applyFill="1" applyBorder="1" applyAlignment="1" applyProtection="1">
      <alignment horizontal="centerContinuous" vertical="center"/>
      <protection/>
    </xf>
    <xf numFmtId="3" fontId="5" fillId="33" borderId="23" xfId="0" applyNumberFormat="1" applyFont="1" applyFill="1" applyBorder="1" applyAlignment="1" applyProtection="1">
      <alignment horizontal="center"/>
      <protection/>
    </xf>
    <xf numFmtId="3" fontId="5" fillId="33" borderId="24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48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5" fillId="33" borderId="19" xfId="0" applyNumberFormat="1" applyFont="1" applyFill="1" applyBorder="1" applyAlignment="1" applyProtection="1">
      <alignment horizontal="center" vertical="top"/>
      <protection/>
    </xf>
    <xf numFmtId="3" fontId="48" fillId="33" borderId="21" xfId="0" applyNumberFormat="1" applyFont="1" applyFill="1" applyBorder="1" applyAlignment="1" applyProtection="1">
      <alignment horizontal="center" vertical="center"/>
      <protection/>
    </xf>
    <xf numFmtId="3" fontId="2" fillId="33" borderId="25" xfId="0" applyNumberFormat="1" applyFont="1" applyFill="1" applyBorder="1" applyAlignment="1" applyProtection="1">
      <alignment horizontal="center" vertical="center"/>
      <protection/>
    </xf>
    <xf numFmtId="176" fontId="2" fillId="0" borderId="25" xfId="50" applyNumberFormat="1" applyFont="1" applyFill="1" applyBorder="1" applyAlignment="1" applyProtection="1">
      <alignment vertical="center"/>
      <protection/>
    </xf>
    <xf numFmtId="176" fontId="2" fillId="0" borderId="0" xfId="50" applyNumberFormat="1" applyFont="1" applyFill="1" applyAlignment="1" applyProtection="1">
      <alignment vertical="center"/>
      <protection/>
    </xf>
    <xf numFmtId="176" fontId="7" fillId="0" borderId="25" xfId="50" applyNumberFormat="1" applyFont="1" applyFill="1" applyBorder="1" applyAlignment="1" applyProtection="1">
      <alignment vertical="center"/>
      <protection/>
    </xf>
    <xf numFmtId="176" fontId="7" fillId="0" borderId="0" xfId="50" applyNumberFormat="1" applyFont="1" applyFill="1" applyAlignment="1" applyProtection="1">
      <alignment vertical="center"/>
      <protection/>
    </xf>
    <xf numFmtId="3" fontId="7" fillId="33" borderId="25" xfId="0" applyNumberFormat="1" applyFont="1" applyFill="1" applyBorder="1" applyAlignment="1" applyProtection="1">
      <alignment horizontal="center" vertical="center"/>
      <protection/>
    </xf>
    <xf numFmtId="176" fontId="2" fillId="0" borderId="0" xfId="50" applyNumberFormat="1" applyFont="1" applyFill="1" applyBorder="1" applyAlignment="1" applyProtection="1">
      <alignment horizontal="right" vertical="center"/>
      <protection/>
    </xf>
    <xf numFmtId="181" fontId="2" fillId="0" borderId="0" xfId="50" applyNumberFormat="1" applyFont="1" applyFill="1" applyAlignment="1" applyProtection="1">
      <alignment vertical="center"/>
      <protection/>
    </xf>
    <xf numFmtId="176" fontId="7" fillId="0" borderId="0" xfId="50" applyNumberFormat="1" applyFont="1" applyFill="1" applyBorder="1" applyAlignment="1" applyProtection="1">
      <alignment vertical="center"/>
      <protection/>
    </xf>
    <xf numFmtId="181" fontId="7" fillId="0" borderId="0" xfId="50" applyNumberFormat="1" applyFont="1" applyFill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181" fontId="2" fillId="0" borderId="19" xfId="50" applyNumberFormat="1" applyFont="1" applyFill="1" applyBorder="1" applyAlignment="1" applyProtection="1">
      <alignment horizontal="right" vertical="center"/>
      <protection/>
    </xf>
    <xf numFmtId="176" fontId="2" fillId="0" borderId="19" xfId="50" applyNumberFormat="1" applyFont="1" applyFill="1" applyBorder="1" applyAlignment="1" applyProtection="1">
      <alignment horizontal="right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" fontId="48" fillId="0" borderId="0" xfId="0" applyNumberFormat="1" applyFont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5" xfId="0" applyNumberFormat="1" applyFont="1" applyFill="1" applyBorder="1" applyAlignment="1" applyProtection="1">
      <alignment vertical="top"/>
      <protection/>
    </xf>
    <xf numFmtId="176" fontId="2" fillId="0" borderId="0" xfId="50" applyNumberFormat="1" applyFont="1" applyFill="1" applyBorder="1" applyAlignment="1" applyProtection="1">
      <alignment vertical="center"/>
      <protection/>
    </xf>
    <xf numFmtId="176" fontId="14" fillId="0" borderId="0" xfId="50" applyNumberFormat="1" applyFont="1" applyFill="1" applyAlignment="1" applyProtection="1">
      <alignment vertical="center"/>
      <protection/>
    </xf>
    <xf numFmtId="178" fontId="2" fillId="0" borderId="0" xfId="50" applyNumberFormat="1" applyFont="1" applyFill="1" applyAlignment="1" applyProtection="1">
      <alignment vertical="center"/>
      <protection/>
    </xf>
    <xf numFmtId="178" fontId="7" fillId="0" borderId="0" xfId="50" applyNumberFormat="1" applyFont="1" applyFill="1" applyAlignment="1" applyProtection="1">
      <alignment vertical="center"/>
      <protection/>
    </xf>
    <xf numFmtId="178" fontId="2" fillId="0" borderId="19" xfId="5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Border="1" applyAlignment="1" applyProtection="1">
      <alignment horizontal="right" vertical="center"/>
      <protection/>
    </xf>
    <xf numFmtId="3" fontId="2" fillId="0" borderId="31" xfId="0" applyNumberFormat="1" applyFont="1" applyFill="1" applyBorder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horizontal="left" vertical="center" indent="2"/>
      <protection/>
    </xf>
    <xf numFmtId="3" fontId="5" fillId="0" borderId="0" xfId="0" applyNumberFormat="1" applyFont="1" applyBorder="1" applyAlignment="1" applyProtection="1">
      <alignment horizontal="left" vertical="center" indent="2"/>
      <protection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79" fontId="2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vertical="center"/>
      <protection/>
    </xf>
    <xf numFmtId="179" fontId="7" fillId="0" borderId="19" xfId="0" applyNumberFormat="1" applyFont="1" applyFill="1" applyBorder="1" applyAlignment="1" applyProtection="1">
      <alignment horizontal="right" vertical="center"/>
      <protection/>
    </xf>
    <xf numFmtId="3" fontId="12" fillId="0" borderId="31" xfId="0" applyNumberFormat="1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179" fontId="2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horizontal="left" vertical="center" indent="1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left" vertical="center" indent="1"/>
      <protection/>
    </xf>
    <xf numFmtId="177" fontId="2" fillId="0" borderId="19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Border="1" applyAlignment="1" applyProtection="1" quotePrefix="1">
      <alignment/>
      <protection/>
    </xf>
    <xf numFmtId="3" fontId="4" fillId="0" borderId="0" xfId="0" applyNumberFormat="1" applyFont="1" applyBorder="1" applyAlignment="1" applyProtection="1">
      <alignment horizontal="left" indent="5"/>
      <protection/>
    </xf>
    <xf numFmtId="3" fontId="11" fillId="0" borderId="0" xfId="0" applyNumberFormat="1" applyFont="1" applyAlignment="1" applyProtection="1">
      <alignment horizontal="left" indent="2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 vertical="center" inden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left" vertical="center" indent="1"/>
      <protection/>
    </xf>
    <xf numFmtId="0" fontId="5" fillId="33" borderId="16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5" fillId="28" borderId="17" xfId="0" applyNumberFormat="1" applyFont="1" applyFill="1" applyBorder="1" applyAlignment="1" applyProtection="1">
      <alignment horizontal="left" vertical="center" indent="1"/>
      <protection/>
    </xf>
    <xf numFmtId="0" fontId="5" fillId="33" borderId="10" xfId="0" applyNumberFormat="1" applyFont="1" applyFill="1" applyBorder="1" applyAlignment="1" applyProtection="1">
      <alignment horizontal="left" vertical="center" indent="1"/>
      <protection/>
    </xf>
    <xf numFmtId="179" fontId="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18" xfId="0" applyNumberFormat="1" applyFont="1" applyFill="1" applyBorder="1" applyAlignment="1" applyProtection="1">
      <alignment horizontal="left" vertical="center" indent="1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left" indent="2"/>
      <protection/>
    </xf>
    <xf numFmtId="3" fontId="5" fillId="0" borderId="0" xfId="0" applyNumberFormat="1" applyFont="1" applyAlignment="1" applyProtection="1">
      <alignment horizontal="left" indent="2"/>
      <protection/>
    </xf>
    <xf numFmtId="178" fontId="2" fillId="0" borderId="0" xfId="0" applyNumberFormat="1" applyFont="1" applyFill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horizontal="left" vertical="center" indent="1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/>
      <protection/>
    </xf>
    <xf numFmtId="178" fontId="2" fillId="0" borderId="19" xfId="0" applyNumberFormat="1" applyFont="1" applyFill="1" applyBorder="1" applyAlignment="1" applyProtection="1">
      <alignment horizontal="right"/>
      <protection/>
    </xf>
    <xf numFmtId="178" fontId="2" fillId="0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 indent="11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25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25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 horizontal="left" vertical="center" wrapText="1" indent="1"/>
      <protection/>
    </xf>
    <xf numFmtId="177" fontId="0" fillId="0" borderId="0" xfId="0" applyNumberFormat="1" applyFill="1" applyAlignment="1" applyProtection="1">
      <alignment vertical="center"/>
      <protection/>
    </xf>
    <xf numFmtId="177" fontId="2" fillId="0" borderId="2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3" fontId="8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21" xfId="0" applyNumberFormat="1" applyFont="1" applyFill="1" applyBorder="1" applyAlignment="1" applyProtection="1">
      <alignment horizontal="centerContinuous" vertical="center"/>
      <protection/>
    </xf>
    <xf numFmtId="3" fontId="4" fillId="33" borderId="20" xfId="0" applyNumberFormat="1" applyFont="1" applyFill="1" applyBorder="1" applyAlignment="1" applyProtection="1">
      <alignment horizontal="centerContinuous" vertical="center"/>
      <protection/>
    </xf>
    <xf numFmtId="3" fontId="4" fillId="33" borderId="19" xfId="0" applyNumberFormat="1" applyFont="1" applyFill="1" applyBorder="1" applyAlignment="1" applyProtection="1">
      <alignment horizontal="centerContinuous" vertical="center"/>
      <protection/>
    </xf>
    <xf numFmtId="3" fontId="4" fillId="33" borderId="10" xfId="0" applyNumberFormat="1" applyFont="1" applyFill="1" applyBorder="1" applyAlignment="1" applyProtection="1">
      <alignment horizontal="centerContinuous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left" vertical="center" indent="1"/>
      <protection/>
    </xf>
    <xf numFmtId="177" fontId="8" fillId="0" borderId="25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 indent="1"/>
      <protection/>
    </xf>
    <xf numFmtId="177" fontId="8" fillId="0" borderId="25" xfId="0" applyNumberFormat="1" applyFont="1" applyFill="1" applyBorder="1" applyAlignment="1" applyProtection="1" quotePrefix="1">
      <alignment horizontal="right" vertical="center"/>
      <protection/>
    </xf>
    <xf numFmtId="0" fontId="4" fillId="33" borderId="16" xfId="0" applyNumberFormat="1" applyFont="1" applyFill="1" applyBorder="1" applyAlignment="1" applyProtection="1">
      <alignment horizontal="left" vertical="center" indent="1"/>
      <protection/>
    </xf>
    <xf numFmtId="0" fontId="4" fillId="33" borderId="10" xfId="0" applyNumberFormat="1" applyFont="1" applyFill="1" applyBorder="1" applyAlignment="1" applyProtection="1">
      <alignment horizontal="left" vertical="center" indent="1"/>
      <protection/>
    </xf>
    <xf numFmtId="177" fontId="8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177" fontId="7" fillId="0" borderId="25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left" vertical="center" indent="1"/>
      <protection/>
    </xf>
    <xf numFmtId="177" fontId="2" fillId="0" borderId="25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3" fontId="49" fillId="33" borderId="0" xfId="0" applyNumberFormat="1" applyFont="1" applyFill="1" applyBorder="1" applyAlignment="1" applyProtection="1">
      <alignment horizontal="left" vertical="center" indent="1"/>
      <protection/>
    </xf>
    <xf numFmtId="3" fontId="4" fillId="33" borderId="16" xfId="0" applyNumberFormat="1" applyFont="1" applyFill="1" applyBorder="1" applyAlignment="1" applyProtection="1">
      <alignment horizontal="left" vertical="center" indent="1"/>
      <protection/>
    </xf>
    <xf numFmtId="3" fontId="4" fillId="33" borderId="19" xfId="0" applyNumberFormat="1" applyFont="1" applyFill="1" applyBorder="1" applyAlignment="1" applyProtection="1">
      <alignment horizontal="left" vertical="center" indent="1"/>
      <protection/>
    </xf>
    <xf numFmtId="177" fontId="2" fillId="0" borderId="21" xfId="0" applyNumberFormat="1" applyFont="1" applyFill="1" applyBorder="1" applyAlignment="1" applyProtection="1" quotePrefix="1">
      <alignment horizontal="right" vertical="center"/>
      <protection/>
    </xf>
    <xf numFmtId="177" fontId="2" fillId="0" borderId="19" xfId="0" applyNumberFormat="1" applyFont="1" applyFill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 quotePrefix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3" fontId="9" fillId="33" borderId="19" xfId="0" applyNumberFormat="1" applyFont="1" applyFill="1" applyBorder="1" applyAlignment="1" applyProtection="1">
      <alignment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horizontal="right" vertical="center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vertical="center"/>
      <protection/>
    </xf>
    <xf numFmtId="3" fontId="5" fillId="33" borderId="17" xfId="0" applyNumberFormat="1" applyFont="1" applyFill="1" applyBorder="1" applyAlignment="1" applyProtection="1">
      <alignment horizontal="left" vertical="center" indent="1"/>
      <protection/>
    </xf>
    <xf numFmtId="3" fontId="5" fillId="33" borderId="0" xfId="0" applyNumberFormat="1" applyFont="1" applyFill="1" applyBorder="1" applyAlignment="1" applyProtection="1">
      <alignment horizontal="left" vertical="center" indent="1"/>
      <protection/>
    </xf>
    <xf numFmtId="3" fontId="5" fillId="33" borderId="19" xfId="0" applyNumberFormat="1" applyFont="1" applyFill="1" applyBorder="1" applyAlignment="1" applyProtection="1">
      <alignment horizontal="left" vertical="center" indent="1"/>
      <protection/>
    </xf>
    <xf numFmtId="177" fontId="2" fillId="0" borderId="21" xfId="0" applyNumberFormat="1" applyFont="1" applyFill="1" applyBorder="1" applyAlignment="1" applyProtection="1">
      <alignment horizontal="right" vertical="center"/>
      <protection/>
    </xf>
    <xf numFmtId="3" fontId="5" fillId="33" borderId="18" xfId="0" applyNumberFormat="1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horizontal="centerContinuous" vertical="center"/>
      <protection/>
    </xf>
    <xf numFmtId="3" fontId="5" fillId="33" borderId="20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>
      <alignment horizontal="centerContinuous" vertical="center"/>
      <protection/>
    </xf>
    <xf numFmtId="3" fontId="5" fillId="33" borderId="10" xfId="0" applyNumberFormat="1" applyFont="1" applyFill="1" applyBorder="1" applyAlignment="1" applyProtection="1">
      <alignment horizontal="centerContinuous"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left" vertical="center" indent="2"/>
      <protection/>
    </xf>
    <xf numFmtId="177" fontId="2" fillId="0" borderId="25" xfId="0" applyNumberFormat="1" applyFont="1" applyFill="1" applyBorder="1" applyAlignment="1" applyProtection="1" quotePrefix="1">
      <alignment horizontal="right" vertical="center"/>
      <protection/>
    </xf>
    <xf numFmtId="177" fontId="2" fillId="0" borderId="0" xfId="0" applyNumberFormat="1" applyFont="1" applyFill="1" applyBorder="1" applyAlignment="1" applyProtection="1" quotePrefix="1">
      <alignment horizontal="right" vertical="center"/>
      <protection/>
    </xf>
    <xf numFmtId="3" fontId="48" fillId="33" borderId="0" xfId="0" applyNumberFormat="1" applyFont="1" applyFill="1" applyBorder="1" applyAlignment="1" applyProtection="1">
      <alignment horizontal="left" vertical="center" indent="1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3" fontId="48" fillId="33" borderId="15" xfId="0" applyNumberFormat="1" applyFont="1" applyFill="1" applyBorder="1" applyAlignment="1" applyProtection="1">
      <alignment horizontal="center" vertical="center"/>
      <protection/>
    </xf>
    <xf numFmtId="3" fontId="48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5" fillId="33" borderId="33" xfId="0" applyNumberFormat="1" applyFont="1" applyFill="1" applyBorder="1" applyAlignment="1" applyProtection="1">
      <alignment horizontal="center" vertical="center"/>
      <protection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3" fontId="5" fillId="33" borderId="23" xfId="0" applyNumberFormat="1" applyFont="1" applyFill="1" applyBorder="1" applyAlignment="1" applyProtection="1">
      <alignment horizontal="center" vertical="center" wrapText="1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28" borderId="13" xfId="0" applyNumberFormat="1" applyFont="1" applyFill="1" applyBorder="1" applyAlignment="1" applyProtection="1">
      <alignment horizontal="center" vertical="center"/>
      <protection/>
    </xf>
    <xf numFmtId="3" fontId="4" fillId="28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5.57421875" style="35" customWidth="1"/>
    <col min="2" max="5" width="8.7109375" style="35" customWidth="1"/>
    <col min="6" max="8" width="9.140625" style="35" customWidth="1"/>
    <col min="9" max="10" width="8.7109375" style="35" customWidth="1"/>
    <col min="11" max="11" width="8.7109375" style="72" customWidth="1"/>
    <col min="12" max="12" width="2.57421875" style="35" customWidth="1"/>
    <col min="13" max="16384" width="9.00390625" style="35" customWidth="1"/>
  </cols>
  <sheetData>
    <row r="1" spans="1:11" s="30" customFormat="1" ht="33" customHeight="1">
      <c r="A1" s="25"/>
      <c r="B1" s="26" t="s">
        <v>430</v>
      </c>
      <c r="C1" s="27"/>
      <c r="D1" s="27"/>
      <c r="E1" s="27"/>
      <c r="F1" s="27"/>
      <c r="G1" s="28"/>
      <c r="H1" s="27"/>
      <c r="I1" s="27"/>
      <c r="J1" s="27"/>
      <c r="K1" s="29"/>
    </row>
    <row r="2" spans="1:11" s="30" customFormat="1" ht="16.5" customHeight="1">
      <c r="A2" s="31" t="s">
        <v>484</v>
      </c>
      <c r="B2" s="32"/>
      <c r="C2" s="27"/>
      <c r="D2" s="27"/>
      <c r="E2" s="27"/>
      <c r="F2" s="27"/>
      <c r="G2" s="27"/>
      <c r="H2" s="27"/>
      <c r="I2" s="27"/>
      <c r="J2" s="27"/>
      <c r="K2" s="29"/>
    </row>
    <row r="3" spans="1:11" s="30" customFormat="1" ht="13.5">
      <c r="A3" s="29" t="s">
        <v>485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4" t="s">
        <v>486</v>
      </c>
    </row>
    <row r="5" spans="1:11" s="30" customFormat="1" ht="14.25" customHeight="1" thickTop="1">
      <c r="A5" s="36" t="s">
        <v>487</v>
      </c>
      <c r="B5" s="37" t="s">
        <v>264</v>
      </c>
      <c r="C5" s="38"/>
      <c r="D5" s="37" t="s">
        <v>267</v>
      </c>
      <c r="E5" s="39"/>
      <c r="F5" s="37" t="s">
        <v>488</v>
      </c>
      <c r="G5" s="38"/>
      <c r="H5" s="39"/>
      <c r="I5" s="38" t="s">
        <v>489</v>
      </c>
      <c r="J5" s="38"/>
      <c r="K5" s="38"/>
    </row>
    <row r="6" spans="1:11" s="30" customFormat="1" ht="14.25" customHeight="1">
      <c r="A6" s="40" t="s">
        <v>490</v>
      </c>
      <c r="B6" s="41" t="s">
        <v>269</v>
      </c>
      <c r="C6" s="42" t="s">
        <v>270</v>
      </c>
      <c r="D6" s="43" t="s">
        <v>441</v>
      </c>
      <c r="E6" s="42" t="s">
        <v>442</v>
      </c>
      <c r="F6" s="43" t="s">
        <v>53</v>
      </c>
      <c r="G6" s="42" t="s">
        <v>54</v>
      </c>
      <c r="H6" s="40" t="s">
        <v>55</v>
      </c>
      <c r="I6" s="41" t="s">
        <v>53</v>
      </c>
      <c r="J6" s="42" t="s">
        <v>54</v>
      </c>
      <c r="K6" s="41" t="s">
        <v>55</v>
      </c>
    </row>
    <row r="7" spans="1:11" ht="14.2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30" customFormat="1" ht="14.25" customHeight="1">
      <c r="A8" s="47" t="s">
        <v>491</v>
      </c>
      <c r="B8" s="48">
        <v>955</v>
      </c>
      <c r="C8" s="48">
        <v>15</v>
      </c>
      <c r="D8" s="48">
        <v>17100</v>
      </c>
      <c r="E8" s="49" t="s">
        <v>315</v>
      </c>
      <c r="F8" s="48">
        <v>207845</v>
      </c>
      <c r="G8" s="48">
        <v>107118</v>
      </c>
      <c r="H8" s="48">
        <v>100727</v>
      </c>
      <c r="I8" s="49" t="s">
        <v>315</v>
      </c>
      <c r="J8" s="49" t="s">
        <v>315</v>
      </c>
      <c r="K8" s="50" t="s">
        <v>315</v>
      </c>
    </row>
    <row r="9" spans="1:11" s="30" customFormat="1" ht="14.25" customHeight="1">
      <c r="A9" s="47">
        <v>20</v>
      </c>
      <c r="B9" s="48">
        <v>944</v>
      </c>
      <c r="C9" s="48">
        <v>17</v>
      </c>
      <c r="D9" s="48">
        <v>16706</v>
      </c>
      <c r="E9" s="49" t="s">
        <v>315</v>
      </c>
      <c r="F9" s="48">
        <v>204684</v>
      </c>
      <c r="G9" s="48">
        <v>105341</v>
      </c>
      <c r="H9" s="48">
        <v>99343</v>
      </c>
      <c r="I9" s="49" t="s">
        <v>315</v>
      </c>
      <c r="J9" s="49" t="s">
        <v>315</v>
      </c>
      <c r="K9" s="50" t="s">
        <v>315</v>
      </c>
    </row>
    <row r="10" spans="1:11" s="30" customFormat="1" ht="14.25" customHeight="1">
      <c r="A10" s="47">
        <v>21</v>
      </c>
      <c r="B10" s="48">
        <v>929</v>
      </c>
      <c r="C10" s="48">
        <v>17</v>
      </c>
      <c r="D10" s="48">
        <v>16536</v>
      </c>
      <c r="E10" s="49" t="s">
        <v>315</v>
      </c>
      <c r="F10" s="48">
        <v>202302</v>
      </c>
      <c r="G10" s="48">
        <v>104094</v>
      </c>
      <c r="H10" s="48">
        <v>98208</v>
      </c>
      <c r="I10" s="49" t="s">
        <v>315</v>
      </c>
      <c r="J10" s="49" t="s">
        <v>315</v>
      </c>
      <c r="K10" s="50" t="s">
        <v>315</v>
      </c>
    </row>
    <row r="11" spans="1:11" s="30" customFormat="1" ht="14.25" customHeight="1">
      <c r="A11" s="47">
        <v>22</v>
      </c>
      <c r="B11" s="51">
        <v>925</v>
      </c>
      <c r="C11" s="51">
        <v>13</v>
      </c>
      <c r="D11" s="51">
        <v>16505</v>
      </c>
      <c r="E11" s="50" t="s">
        <v>315</v>
      </c>
      <c r="F11" s="51">
        <v>200260</v>
      </c>
      <c r="G11" s="51">
        <v>102887</v>
      </c>
      <c r="H11" s="51">
        <v>97373</v>
      </c>
      <c r="I11" s="49" t="s">
        <v>315</v>
      </c>
      <c r="J11" s="49" t="s">
        <v>315</v>
      </c>
      <c r="K11" s="50" t="s">
        <v>315</v>
      </c>
    </row>
    <row r="12" spans="1:11" s="30" customFormat="1" ht="14.25" customHeight="1">
      <c r="A12" s="47">
        <v>23</v>
      </c>
      <c r="B12" s="51">
        <v>917</v>
      </c>
      <c r="C12" s="51">
        <v>13</v>
      </c>
      <c r="D12" s="51">
        <v>16511</v>
      </c>
      <c r="E12" s="50" t="s">
        <v>315</v>
      </c>
      <c r="F12" s="51">
        <v>198198</v>
      </c>
      <c r="G12" s="51">
        <v>101991</v>
      </c>
      <c r="H12" s="51">
        <v>96207</v>
      </c>
      <c r="I12" s="50" t="s">
        <v>315</v>
      </c>
      <c r="J12" s="50" t="s">
        <v>315</v>
      </c>
      <c r="K12" s="50" t="s">
        <v>315</v>
      </c>
    </row>
    <row r="13" spans="1:11" s="30" customFormat="1" ht="14.25" customHeight="1">
      <c r="A13" s="47">
        <v>24</v>
      </c>
      <c r="B13" s="51">
        <v>914</v>
      </c>
      <c r="C13" s="51">
        <v>15</v>
      </c>
      <c r="D13" s="51">
        <v>16362</v>
      </c>
      <c r="E13" s="50" t="s">
        <v>315</v>
      </c>
      <c r="F13" s="51">
        <v>196143</v>
      </c>
      <c r="G13" s="51">
        <v>100918</v>
      </c>
      <c r="H13" s="51">
        <v>95225</v>
      </c>
      <c r="I13" s="50" t="s">
        <v>315</v>
      </c>
      <c r="J13" s="50" t="s">
        <v>315</v>
      </c>
      <c r="K13" s="50" t="s">
        <v>315</v>
      </c>
    </row>
    <row r="14" spans="1:11" s="30" customFormat="1" ht="14.25" customHeight="1">
      <c r="A14" s="52"/>
      <c r="B14" s="48"/>
      <c r="C14" s="48"/>
      <c r="D14" s="48"/>
      <c r="E14" s="48"/>
      <c r="F14" s="48"/>
      <c r="G14" s="48"/>
      <c r="H14" s="48"/>
      <c r="I14" s="48"/>
      <c r="J14" s="48"/>
      <c r="K14" s="51"/>
    </row>
    <row r="15" spans="1:11" s="30" customFormat="1" ht="14.25" customHeight="1">
      <c r="A15" s="53">
        <v>25</v>
      </c>
      <c r="B15" s="54">
        <f>SUM(B17,B22,B27,B32,B35,B39,B43,B46,B49,B54,B58)</f>
        <v>904</v>
      </c>
      <c r="C15" s="54">
        <f aca="true" t="shared" si="0" ref="C15:H15">SUM(C17,C22,C27,C32,C35,C39,C43,C46,C49,C54,C58)</f>
        <v>15</v>
      </c>
      <c r="D15" s="54">
        <f t="shared" si="0"/>
        <v>16286</v>
      </c>
      <c r="E15" s="55" t="s">
        <v>315</v>
      </c>
      <c r="F15" s="54">
        <f t="shared" si="0"/>
        <v>193869</v>
      </c>
      <c r="G15" s="54">
        <f t="shared" si="0"/>
        <v>99745</v>
      </c>
      <c r="H15" s="54">
        <f t="shared" si="0"/>
        <v>94124</v>
      </c>
      <c r="I15" s="55" t="s">
        <v>315</v>
      </c>
      <c r="J15" s="55" t="s">
        <v>315</v>
      </c>
      <c r="K15" s="55" t="s">
        <v>315</v>
      </c>
    </row>
    <row r="16" spans="1:11" s="30" customFormat="1" ht="14.25" customHeight="1">
      <c r="A16" s="56"/>
      <c r="B16" s="48"/>
      <c r="C16" s="48"/>
      <c r="D16" s="48"/>
      <c r="E16" s="49"/>
      <c r="F16" s="48"/>
      <c r="G16" s="48"/>
      <c r="H16" s="48"/>
      <c r="I16" s="48"/>
      <c r="J16" s="48"/>
      <c r="K16" s="51"/>
    </row>
    <row r="17" spans="1:11" s="30" customFormat="1" ht="14.25" customHeight="1">
      <c r="A17" s="57" t="s">
        <v>492</v>
      </c>
      <c r="B17" s="58">
        <v>202</v>
      </c>
      <c r="C17" s="59" t="s">
        <v>260</v>
      </c>
      <c r="D17" s="58">
        <v>1220</v>
      </c>
      <c r="E17" s="59">
        <v>307</v>
      </c>
      <c r="F17" s="58">
        <v>16395</v>
      </c>
      <c r="G17" s="58">
        <v>8365</v>
      </c>
      <c r="H17" s="58">
        <v>8030</v>
      </c>
      <c r="I17" s="58">
        <v>5823</v>
      </c>
      <c r="J17" s="58">
        <v>2917</v>
      </c>
      <c r="K17" s="54">
        <v>2906</v>
      </c>
    </row>
    <row r="18" spans="1:11" s="30" customFormat="1" ht="14.25" customHeight="1">
      <c r="A18" s="60" t="s">
        <v>493</v>
      </c>
      <c r="B18" s="48">
        <v>1</v>
      </c>
      <c r="C18" s="49" t="s">
        <v>260</v>
      </c>
      <c r="D18" s="48">
        <v>7</v>
      </c>
      <c r="E18" s="49">
        <v>1</v>
      </c>
      <c r="F18" s="48">
        <v>117</v>
      </c>
      <c r="G18" s="48">
        <v>62</v>
      </c>
      <c r="H18" s="48">
        <v>55</v>
      </c>
      <c r="I18" s="48">
        <v>43</v>
      </c>
      <c r="J18" s="48">
        <v>20</v>
      </c>
      <c r="K18" s="51">
        <v>23</v>
      </c>
    </row>
    <row r="19" spans="1:11" s="30" customFormat="1" ht="14.25" customHeight="1">
      <c r="A19" s="61" t="s">
        <v>494</v>
      </c>
      <c r="B19" s="49">
        <v>60</v>
      </c>
      <c r="C19" s="49" t="s">
        <v>260</v>
      </c>
      <c r="D19" s="49">
        <v>207</v>
      </c>
      <c r="E19" s="49">
        <v>19</v>
      </c>
      <c r="F19" s="49">
        <v>2116</v>
      </c>
      <c r="G19" s="49">
        <v>1089</v>
      </c>
      <c r="H19" s="49">
        <v>1027</v>
      </c>
      <c r="I19" s="49">
        <v>1012</v>
      </c>
      <c r="J19" s="49">
        <v>518</v>
      </c>
      <c r="K19" s="50">
        <v>494</v>
      </c>
    </row>
    <row r="20" spans="1:11" s="30" customFormat="1" ht="14.25" customHeight="1">
      <c r="A20" s="60" t="s">
        <v>495</v>
      </c>
      <c r="B20" s="48">
        <v>141</v>
      </c>
      <c r="C20" s="49" t="s">
        <v>260</v>
      </c>
      <c r="D20" s="48">
        <v>1006</v>
      </c>
      <c r="E20" s="49">
        <v>287</v>
      </c>
      <c r="F20" s="48">
        <v>14162</v>
      </c>
      <c r="G20" s="48">
        <v>7214</v>
      </c>
      <c r="H20" s="48">
        <v>6948</v>
      </c>
      <c r="I20" s="48">
        <v>4768</v>
      </c>
      <c r="J20" s="48">
        <v>2379</v>
      </c>
      <c r="K20" s="51">
        <v>2389</v>
      </c>
    </row>
    <row r="21" spans="1:11" s="30" customFormat="1" ht="14.25" customHeight="1">
      <c r="A21" s="56"/>
      <c r="B21" s="48"/>
      <c r="C21" s="48"/>
      <c r="D21" s="48"/>
      <c r="E21" s="48"/>
      <c r="F21" s="48"/>
      <c r="G21" s="48"/>
      <c r="H21" s="48"/>
      <c r="I21" s="48"/>
      <c r="J21" s="48"/>
      <c r="K21" s="51"/>
    </row>
    <row r="22" spans="1:11" s="30" customFormat="1" ht="14.25" customHeight="1">
      <c r="A22" s="57" t="s">
        <v>496</v>
      </c>
      <c r="B22" s="58">
        <v>335</v>
      </c>
      <c r="C22" s="58">
        <v>4</v>
      </c>
      <c r="D22" s="58">
        <v>5189</v>
      </c>
      <c r="E22" s="58">
        <v>400</v>
      </c>
      <c r="F22" s="58">
        <v>72541</v>
      </c>
      <c r="G22" s="58">
        <v>37011</v>
      </c>
      <c r="H22" s="58">
        <v>35530</v>
      </c>
      <c r="I22" s="59" t="s">
        <v>315</v>
      </c>
      <c r="J22" s="59" t="s">
        <v>315</v>
      </c>
      <c r="K22" s="55" t="s">
        <v>315</v>
      </c>
    </row>
    <row r="23" spans="1:11" s="30" customFormat="1" ht="14.25" customHeight="1">
      <c r="A23" s="60" t="s">
        <v>493</v>
      </c>
      <c r="B23" s="48">
        <v>2</v>
      </c>
      <c r="C23" s="49" t="s">
        <v>260</v>
      </c>
      <c r="D23" s="48">
        <v>39</v>
      </c>
      <c r="E23" s="49">
        <v>19</v>
      </c>
      <c r="F23" s="48">
        <v>782</v>
      </c>
      <c r="G23" s="48">
        <v>380</v>
      </c>
      <c r="H23" s="48">
        <v>402</v>
      </c>
      <c r="I23" s="49" t="s">
        <v>315</v>
      </c>
      <c r="J23" s="49" t="s">
        <v>315</v>
      </c>
      <c r="K23" s="50" t="s">
        <v>315</v>
      </c>
    </row>
    <row r="24" spans="1:11" s="30" customFormat="1" ht="14.25" customHeight="1">
      <c r="A24" s="61" t="s">
        <v>494</v>
      </c>
      <c r="B24" s="48">
        <v>332</v>
      </c>
      <c r="C24" s="48">
        <v>4</v>
      </c>
      <c r="D24" s="48">
        <v>5150</v>
      </c>
      <c r="E24" s="48">
        <v>381</v>
      </c>
      <c r="F24" s="48">
        <v>71759</v>
      </c>
      <c r="G24" s="48">
        <v>36631</v>
      </c>
      <c r="H24" s="48">
        <v>35128</v>
      </c>
      <c r="I24" s="49" t="s">
        <v>315</v>
      </c>
      <c r="J24" s="49" t="s">
        <v>315</v>
      </c>
      <c r="K24" s="50" t="s">
        <v>315</v>
      </c>
    </row>
    <row r="25" spans="1:11" s="30" customFormat="1" ht="14.25" customHeight="1">
      <c r="A25" s="60" t="s">
        <v>495</v>
      </c>
      <c r="B25" s="48">
        <v>1</v>
      </c>
      <c r="C25" s="49" t="s">
        <v>260</v>
      </c>
      <c r="D25" s="49" t="s">
        <v>260</v>
      </c>
      <c r="E25" s="49" t="s">
        <v>260</v>
      </c>
      <c r="F25" s="49" t="s">
        <v>260</v>
      </c>
      <c r="G25" s="49" t="s">
        <v>260</v>
      </c>
      <c r="H25" s="49" t="s">
        <v>260</v>
      </c>
      <c r="I25" s="49" t="s">
        <v>315</v>
      </c>
      <c r="J25" s="49" t="s">
        <v>315</v>
      </c>
      <c r="K25" s="50" t="s">
        <v>315</v>
      </c>
    </row>
    <row r="26" spans="1:11" s="30" customFormat="1" ht="14.25" customHeight="1">
      <c r="A26" s="56"/>
      <c r="B26" s="48"/>
      <c r="C26" s="48"/>
      <c r="D26" s="48"/>
      <c r="E26" s="48"/>
      <c r="F26" s="48"/>
      <c r="G26" s="48"/>
      <c r="H26" s="48"/>
      <c r="I26" s="48"/>
      <c r="J26" s="48"/>
      <c r="K26" s="51"/>
    </row>
    <row r="27" spans="1:11" s="30" customFormat="1" ht="14.25" customHeight="1">
      <c r="A27" s="57" t="s">
        <v>497</v>
      </c>
      <c r="B27" s="58">
        <v>172</v>
      </c>
      <c r="C27" s="58">
        <v>2</v>
      </c>
      <c r="D27" s="58">
        <v>3213</v>
      </c>
      <c r="E27" s="58">
        <v>453</v>
      </c>
      <c r="F27" s="58">
        <v>38377</v>
      </c>
      <c r="G27" s="58">
        <v>19597</v>
      </c>
      <c r="H27" s="58">
        <v>18780</v>
      </c>
      <c r="I27" s="58">
        <v>13030</v>
      </c>
      <c r="J27" s="58">
        <f>SUM(J28:J30)</f>
        <v>6690</v>
      </c>
      <c r="K27" s="54">
        <f>SUM(K28:K30)</f>
        <v>6340</v>
      </c>
    </row>
    <row r="28" spans="1:11" s="30" customFormat="1" ht="14.25" customHeight="1">
      <c r="A28" s="60" t="s">
        <v>493</v>
      </c>
      <c r="B28" s="48">
        <v>2</v>
      </c>
      <c r="C28" s="49" t="s">
        <v>260</v>
      </c>
      <c r="D28" s="48">
        <v>42</v>
      </c>
      <c r="E28" s="48">
        <v>16</v>
      </c>
      <c r="F28" s="48">
        <v>735</v>
      </c>
      <c r="G28" s="48">
        <v>358</v>
      </c>
      <c r="H28" s="48">
        <v>377</v>
      </c>
      <c r="I28" s="48">
        <f>SUM(J28:K28)</f>
        <v>262</v>
      </c>
      <c r="J28" s="48">
        <v>131</v>
      </c>
      <c r="K28" s="51">
        <v>131</v>
      </c>
    </row>
    <row r="29" spans="1:11" s="30" customFormat="1" ht="14.25" customHeight="1">
      <c r="A29" s="61" t="s">
        <v>494</v>
      </c>
      <c r="B29" s="48">
        <v>162</v>
      </c>
      <c r="C29" s="48">
        <v>2</v>
      </c>
      <c r="D29" s="48">
        <v>3079</v>
      </c>
      <c r="E29" s="48">
        <v>296</v>
      </c>
      <c r="F29" s="48">
        <v>36410</v>
      </c>
      <c r="G29" s="48">
        <v>18654</v>
      </c>
      <c r="H29" s="48">
        <v>17756</v>
      </c>
      <c r="I29" s="48">
        <f>SUM(J29:K29)</f>
        <v>12396</v>
      </c>
      <c r="J29" s="48">
        <v>6373</v>
      </c>
      <c r="K29" s="51">
        <v>6023</v>
      </c>
    </row>
    <row r="30" spans="1:11" s="30" customFormat="1" ht="14.25" customHeight="1">
      <c r="A30" s="60" t="s">
        <v>495</v>
      </c>
      <c r="B30" s="48">
        <v>8</v>
      </c>
      <c r="C30" s="49" t="s">
        <v>260</v>
      </c>
      <c r="D30" s="48">
        <v>92</v>
      </c>
      <c r="E30" s="48">
        <v>141</v>
      </c>
      <c r="F30" s="48">
        <v>1232</v>
      </c>
      <c r="G30" s="48">
        <v>585</v>
      </c>
      <c r="H30" s="48">
        <v>647</v>
      </c>
      <c r="I30" s="48">
        <f>SUM(J30:K30)</f>
        <v>372</v>
      </c>
      <c r="J30" s="48">
        <v>186</v>
      </c>
      <c r="K30" s="51">
        <v>186</v>
      </c>
    </row>
    <row r="31" spans="1:11" s="30" customFormat="1" ht="14.25" customHeight="1">
      <c r="A31" s="56"/>
      <c r="B31" s="48"/>
      <c r="C31" s="48"/>
      <c r="D31" s="48"/>
      <c r="E31" s="48"/>
      <c r="F31" s="48"/>
      <c r="G31" s="48"/>
      <c r="H31" s="48"/>
      <c r="I31" s="48"/>
      <c r="J31" s="48"/>
      <c r="K31" s="51"/>
    </row>
    <row r="32" spans="1:11" s="30" customFormat="1" ht="14.25" customHeight="1">
      <c r="A32" s="57" t="s">
        <v>498</v>
      </c>
      <c r="B32" s="58">
        <f>B33</f>
        <v>1</v>
      </c>
      <c r="C32" s="59" t="s">
        <v>260</v>
      </c>
      <c r="D32" s="58">
        <f aca="true" t="shared" si="1" ref="D32:K32">D33</f>
        <v>61</v>
      </c>
      <c r="E32" s="58">
        <f t="shared" si="1"/>
        <v>6</v>
      </c>
      <c r="F32" s="58">
        <f t="shared" si="1"/>
        <v>682</v>
      </c>
      <c r="G32" s="58">
        <f t="shared" si="1"/>
        <v>268</v>
      </c>
      <c r="H32" s="58">
        <f t="shared" si="1"/>
        <v>414</v>
      </c>
      <c r="I32" s="59">
        <f t="shared" si="1"/>
        <v>223</v>
      </c>
      <c r="J32" s="59">
        <f t="shared" si="1"/>
        <v>94</v>
      </c>
      <c r="K32" s="55">
        <f t="shared" si="1"/>
        <v>129</v>
      </c>
    </row>
    <row r="33" spans="1:11" s="30" customFormat="1" ht="14.25" customHeight="1">
      <c r="A33" s="61" t="s">
        <v>499</v>
      </c>
      <c r="B33" s="48">
        <v>1</v>
      </c>
      <c r="C33" s="49" t="s">
        <v>260</v>
      </c>
      <c r="D33" s="48">
        <v>61</v>
      </c>
      <c r="E33" s="49">
        <v>6</v>
      </c>
      <c r="F33" s="48">
        <f>357+325</f>
        <v>682</v>
      </c>
      <c r="G33" s="48">
        <f>139+129</f>
        <v>268</v>
      </c>
      <c r="H33" s="48">
        <f>218+196</f>
        <v>414</v>
      </c>
      <c r="I33" s="49">
        <f>112+111</f>
        <v>223</v>
      </c>
      <c r="J33" s="49">
        <f>44+50</f>
        <v>94</v>
      </c>
      <c r="K33" s="50">
        <f>68+61</f>
        <v>129</v>
      </c>
    </row>
    <row r="34" spans="1:11" s="30" customFormat="1" ht="14.25" customHeight="1">
      <c r="A34" s="56"/>
      <c r="B34" s="48"/>
      <c r="C34" s="49"/>
      <c r="D34" s="48"/>
      <c r="E34" s="48"/>
      <c r="F34" s="48"/>
      <c r="G34" s="48"/>
      <c r="H34" s="48"/>
      <c r="I34" s="48"/>
      <c r="J34" s="48"/>
      <c r="K34" s="51"/>
    </row>
    <row r="35" spans="1:11" s="30" customFormat="1" ht="14.25" customHeight="1">
      <c r="A35" s="57" t="s">
        <v>500</v>
      </c>
      <c r="B35" s="58">
        <v>76</v>
      </c>
      <c r="C35" s="58">
        <v>7</v>
      </c>
      <c r="D35" s="58">
        <v>2985</v>
      </c>
      <c r="E35" s="58">
        <v>1069</v>
      </c>
      <c r="F35" s="58">
        <v>35475</v>
      </c>
      <c r="G35" s="58">
        <v>17693</v>
      </c>
      <c r="H35" s="58">
        <v>17782</v>
      </c>
      <c r="I35" s="58">
        <v>11813</v>
      </c>
      <c r="J35" s="58">
        <v>5959</v>
      </c>
      <c r="K35" s="54">
        <v>5854</v>
      </c>
    </row>
    <row r="36" spans="1:11" s="30" customFormat="1" ht="14.25" customHeight="1">
      <c r="A36" s="60" t="s">
        <v>494</v>
      </c>
      <c r="B36" s="48">
        <v>56</v>
      </c>
      <c r="C36" s="48">
        <v>7</v>
      </c>
      <c r="D36" s="48">
        <v>2258</v>
      </c>
      <c r="E36" s="48">
        <v>629</v>
      </c>
      <c r="F36" s="48">
        <v>25120</v>
      </c>
      <c r="G36" s="48">
        <v>12650</v>
      </c>
      <c r="H36" s="48">
        <v>12470</v>
      </c>
      <c r="I36" s="48">
        <f>SUM(J36:K36)</f>
        <v>8627</v>
      </c>
      <c r="J36" s="48">
        <v>4402</v>
      </c>
      <c r="K36" s="51">
        <v>4225</v>
      </c>
    </row>
    <row r="37" spans="1:11" s="30" customFormat="1" ht="14.25" customHeight="1">
      <c r="A37" s="60" t="s">
        <v>495</v>
      </c>
      <c r="B37" s="48">
        <v>20</v>
      </c>
      <c r="C37" s="49" t="s">
        <v>260</v>
      </c>
      <c r="D37" s="48">
        <v>727</v>
      </c>
      <c r="E37" s="49">
        <v>440</v>
      </c>
      <c r="F37" s="48">
        <v>10355</v>
      </c>
      <c r="G37" s="48">
        <v>5043</v>
      </c>
      <c r="H37" s="48">
        <v>5312</v>
      </c>
      <c r="I37" s="48">
        <f>SUM(J37:K37)</f>
        <v>3186</v>
      </c>
      <c r="J37" s="48">
        <v>1557</v>
      </c>
      <c r="K37" s="51">
        <v>1629</v>
      </c>
    </row>
    <row r="38" spans="1:11" s="30" customFormat="1" ht="14.25" customHeight="1">
      <c r="A38" s="62"/>
      <c r="B38" s="48"/>
      <c r="C38" s="48"/>
      <c r="D38" s="48"/>
      <c r="E38" s="49"/>
      <c r="F38" s="48"/>
      <c r="G38" s="48"/>
      <c r="H38" s="48"/>
      <c r="I38" s="48"/>
      <c r="J38" s="48"/>
      <c r="K38" s="51"/>
    </row>
    <row r="39" spans="1:11" s="30" customFormat="1" ht="14.25" customHeight="1">
      <c r="A39" s="57" t="s">
        <v>501</v>
      </c>
      <c r="B39" s="58">
        <v>13</v>
      </c>
      <c r="C39" s="58">
        <v>2</v>
      </c>
      <c r="D39" s="58">
        <v>1153</v>
      </c>
      <c r="E39" s="58">
        <v>46</v>
      </c>
      <c r="F39" s="58">
        <v>1710</v>
      </c>
      <c r="G39" s="58">
        <v>1099</v>
      </c>
      <c r="H39" s="58">
        <v>611</v>
      </c>
      <c r="I39" s="58">
        <v>376</v>
      </c>
      <c r="J39" s="58">
        <v>240</v>
      </c>
      <c r="K39" s="54">
        <v>136</v>
      </c>
    </row>
    <row r="40" spans="1:11" s="30" customFormat="1" ht="14.25" customHeight="1">
      <c r="A40" s="60" t="s">
        <v>493</v>
      </c>
      <c r="B40" s="48">
        <v>1</v>
      </c>
      <c r="C40" s="49" t="s">
        <v>260</v>
      </c>
      <c r="D40" s="48">
        <v>28</v>
      </c>
      <c r="E40" s="49">
        <v>5</v>
      </c>
      <c r="F40" s="48">
        <v>44</v>
      </c>
      <c r="G40" s="48">
        <v>27</v>
      </c>
      <c r="H40" s="48">
        <v>17</v>
      </c>
      <c r="I40" s="49">
        <v>14</v>
      </c>
      <c r="J40" s="49">
        <v>7</v>
      </c>
      <c r="K40" s="50">
        <v>7</v>
      </c>
    </row>
    <row r="41" spans="1:11" s="30" customFormat="1" ht="14.25" customHeight="1">
      <c r="A41" s="60" t="s">
        <v>494</v>
      </c>
      <c r="B41" s="48">
        <v>12</v>
      </c>
      <c r="C41" s="49">
        <v>2</v>
      </c>
      <c r="D41" s="48">
        <v>1125</v>
      </c>
      <c r="E41" s="49">
        <v>41</v>
      </c>
      <c r="F41" s="48">
        <v>1666</v>
      </c>
      <c r="G41" s="48">
        <v>1072</v>
      </c>
      <c r="H41" s="48">
        <v>594</v>
      </c>
      <c r="I41" s="49">
        <v>362</v>
      </c>
      <c r="J41" s="49">
        <v>233</v>
      </c>
      <c r="K41" s="50">
        <v>129</v>
      </c>
    </row>
    <row r="42" spans="1:11" s="30" customFormat="1" ht="14.25" customHeight="1">
      <c r="A42" s="56"/>
      <c r="B42" s="48"/>
      <c r="C42" s="48"/>
      <c r="D42" s="48"/>
      <c r="E42" s="48"/>
      <c r="F42" s="48"/>
      <c r="G42" s="48"/>
      <c r="H42" s="48"/>
      <c r="I42" s="48"/>
      <c r="J42" s="48"/>
      <c r="K42" s="51"/>
    </row>
    <row r="43" spans="1:11" s="30" customFormat="1" ht="14.25" customHeight="1">
      <c r="A43" s="57" t="s">
        <v>502</v>
      </c>
      <c r="B43" s="58">
        <f>B44</f>
        <v>3</v>
      </c>
      <c r="C43" s="59" t="s">
        <v>260</v>
      </c>
      <c r="D43" s="58">
        <f>D44</f>
        <v>198</v>
      </c>
      <c r="E43" s="59" t="s">
        <v>315</v>
      </c>
      <c r="F43" s="58">
        <f aca="true" t="shared" si="2" ref="F43:K43">F44</f>
        <v>2468</v>
      </c>
      <c r="G43" s="58">
        <f t="shared" si="2"/>
        <v>1918</v>
      </c>
      <c r="H43" s="58">
        <f t="shared" si="2"/>
        <v>550</v>
      </c>
      <c r="I43" s="59">
        <f t="shared" si="2"/>
        <v>424</v>
      </c>
      <c r="J43" s="59">
        <f t="shared" si="2"/>
        <v>319</v>
      </c>
      <c r="K43" s="55">
        <f t="shared" si="2"/>
        <v>105</v>
      </c>
    </row>
    <row r="44" spans="1:11" s="30" customFormat="1" ht="14.25" customHeight="1">
      <c r="A44" s="60" t="s">
        <v>493</v>
      </c>
      <c r="B44" s="49">
        <v>3</v>
      </c>
      <c r="C44" s="49" t="s">
        <v>260</v>
      </c>
      <c r="D44" s="49">
        <v>198</v>
      </c>
      <c r="E44" s="49" t="s">
        <v>315</v>
      </c>
      <c r="F44" s="49">
        <v>2468</v>
      </c>
      <c r="G44" s="49">
        <v>1918</v>
      </c>
      <c r="H44" s="49">
        <v>550</v>
      </c>
      <c r="I44" s="49">
        <v>424</v>
      </c>
      <c r="J44" s="49">
        <v>319</v>
      </c>
      <c r="K44" s="50">
        <v>105</v>
      </c>
    </row>
    <row r="45" spans="1:11" s="30" customFormat="1" ht="14.25" customHeight="1">
      <c r="A45" s="56"/>
      <c r="B45" s="48"/>
      <c r="C45" s="49"/>
      <c r="D45" s="48"/>
      <c r="E45" s="49"/>
      <c r="F45" s="48"/>
      <c r="G45" s="48"/>
      <c r="H45" s="48"/>
      <c r="I45" s="49"/>
      <c r="J45" s="49"/>
      <c r="K45" s="50"/>
    </row>
    <row r="46" spans="1:11" s="30" customFormat="1" ht="14.25" customHeight="1">
      <c r="A46" s="57" t="s">
        <v>503</v>
      </c>
      <c r="B46" s="58">
        <f>B47</f>
        <v>5</v>
      </c>
      <c r="C46" s="59" t="s">
        <v>260</v>
      </c>
      <c r="D46" s="58">
        <f>D47</f>
        <v>100</v>
      </c>
      <c r="E46" s="59" t="s">
        <v>315</v>
      </c>
      <c r="F46" s="58">
        <f aca="true" t="shared" si="3" ref="F46:K46">F47</f>
        <v>949</v>
      </c>
      <c r="G46" s="58">
        <f t="shared" si="3"/>
        <v>148</v>
      </c>
      <c r="H46" s="58">
        <f t="shared" si="3"/>
        <v>801</v>
      </c>
      <c r="I46" s="58">
        <f t="shared" si="3"/>
        <v>493</v>
      </c>
      <c r="J46" s="58">
        <f t="shared" si="3"/>
        <v>69</v>
      </c>
      <c r="K46" s="54">
        <f t="shared" si="3"/>
        <v>424</v>
      </c>
    </row>
    <row r="47" spans="1:11" s="30" customFormat="1" ht="14.25" customHeight="1">
      <c r="A47" s="60" t="s">
        <v>495</v>
      </c>
      <c r="B47" s="48">
        <v>5</v>
      </c>
      <c r="C47" s="49" t="s">
        <v>260</v>
      </c>
      <c r="D47" s="48">
        <v>100</v>
      </c>
      <c r="E47" s="49" t="s">
        <v>315</v>
      </c>
      <c r="F47" s="48">
        <v>949</v>
      </c>
      <c r="G47" s="48">
        <v>148</v>
      </c>
      <c r="H47" s="48">
        <v>801</v>
      </c>
      <c r="I47" s="49">
        <v>493</v>
      </c>
      <c r="J47" s="49">
        <f>I47-K47</f>
        <v>69</v>
      </c>
      <c r="K47" s="50">
        <v>424</v>
      </c>
    </row>
    <row r="48" spans="1:11" s="30" customFormat="1" ht="14.25" customHeight="1">
      <c r="A48" s="62"/>
      <c r="B48" s="48"/>
      <c r="C48" s="49"/>
      <c r="D48" s="48"/>
      <c r="E48" s="49"/>
      <c r="F48" s="48"/>
      <c r="G48" s="48"/>
      <c r="H48" s="48"/>
      <c r="I48" s="49"/>
      <c r="J48" s="49"/>
      <c r="K48" s="50"/>
    </row>
    <row r="49" spans="1:11" s="30" customFormat="1" ht="14.25" customHeight="1">
      <c r="A49" s="57" t="s">
        <v>504</v>
      </c>
      <c r="B49" s="58">
        <v>10</v>
      </c>
      <c r="C49" s="59" t="s">
        <v>260</v>
      </c>
      <c r="D49" s="58">
        <v>1457</v>
      </c>
      <c r="E49" s="59" t="s">
        <v>315</v>
      </c>
      <c r="F49" s="58">
        <v>16923</v>
      </c>
      <c r="G49" s="58">
        <v>9810</v>
      </c>
      <c r="H49" s="58">
        <v>7113</v>
      </c>
      <c r="I49" s="59">
        <v>3703</v>
      </c>
      <c r="J49" s="59">
        <v>2024</v>
      </c>
      <c r="K49" s="55">
        <v>1679</v>
      </c>
    </row>
    <row r="50" spans="1:11" s="30" customFormat="1" ht="14.25" customHeight="1">
      <c r="A50" s="60" t="s">
        <v>505</v>
      </c>
      <c r="B50" s="48">
        <v>1</v>
      </c>
      <c r="C50" s="49" t="s">
        <v>260</v>
      </c>
      <c r="D50" s="48">
        <v>943</v>
      </c>
      <c r="E50" s="49" t="s">
        <v>315</v>
      </c>
      <c r="F50" s="48">
        <v>8761</v>
      </c>
      <c r="G50" s="48">
        <v>5491</v>
      </c>
      <c r="H50" s="48">
        <v>3270</v>
      </c>
      <c r="I50" s="49" t="s">
        <v>315</v>
      </c>
      <c r="J50" s="49" t="s">
        <v>315</v>
      </c>
      <c r="K50" s="50" t="s">
        <v>315</v>
      </c>
    </row>
    <row r="51" spans="1:11" s="30" customFormat="1" ht="14.25" customHeight="1">
      <c r="A51" s="60" t="s">
        <v>494</v>
      </c>
      <c r="B51" s="48">
        <v>2</v>
      </c>
      <c r="C51" s="49" t="s">
        <v>260</v>
      </c>
      <c r="D51" s="48">
        <v>177</v>
      </c>
      <c r="E51" s="49" t="s">
        <v>315</v>
      </c>
      <c r="F51" s="48">
        <v>3392</v>
      </c>
      <c r="G51" s="48">
        <v>1525</v>
      </c>
      <c r="H51" s="48">
        <v>1867</v>
      </c>
      <c r="I51" s="49" t="s">
        <v>315</v>
      </c>
      <c r="J51" s="49" t="s">
        <v>315</v>
      </c>
      <c r="K51" s="50" t="s">
        <v>315</v>
      </c>
    </row>
    <row r="52" spans="1:11" s="30" customFormat="1" ht="14.25" customHeight="1">
      <c r="A52" s="60" t="s">
        <v>495</v>
      </c>
      <c r="B52" s="48">
        <v>7</v>
      </c>
      <c r="C52" s="49" t="s">
        <v>260</v>
      </c>
      <c r="D52" s="49">
        <v>337</v>
      </c>
      <c r="E52" s="49" t="s">
        <v>315</v>
      </c>
      <c r="F52" s="48">
        <v>4770</v>
      </c>
      <c r="G52" s="48">
        <v>2794</v>
      </c>
      <c r="H52" s="48">
        <v>1976</v>
      </c>
      <c r="I52" s="49" t="s">
        <v>315</v>
      </c>
      <c r="J52" s="49" t="s">
        <v>315</v>
      </c>
      <c r="K52" s="50" t="s">
        <v>315</v>
      </c>
    </row>
    <row r="53" spans="1:11" s="30" customFormat="1" ht="14.25" customHeight="1">
      <c r="A53" s="62"/>
      <c r="B53" s="48"/>
      <c r="C53" s="49"/>
      <c r="D53" s="49"/>
      <c r="E53" s="49"/>
      <c r="F53" s="48"/>
      <c r="G53" s="48"/>
      <c r="H53" s="48"/>
      <c r="I53" s="48"/>
      <c r="J53" s="48"/>
      <c r="K53" s="51"/>
    </row>
    <row r="54" spans="1:11" s="30" customFormat="1" ht="14.25" customHeight="1">
      <c r="A54" s="57" t="s">
        <v>506</v>
      </c>
      <c r="B54" s="58">
        <v>41</v>
      </c>
      <c r="C54" s="59" t="s">
        <v>260</v>
      </c>
      <c r="D54" s="59">
        <v>372</v>
      </c>
      <c r="E54" s="59">
        <v>1435</v>
      </c>
      <c r="F54" s="58">
        <v>5168</v>
      </c>
      <c r="G54" s="58">
        <v>1946</v>
      </c>
      <c r="H54" s="58">
        <v>3222</v>
      </c>
      <c r="I54" s="58">
        <v>2020</v>
      </c>
      <c r="J54" s="58">
        <v>815</v>
      </c>
      <c r="K54" s="54">
        <v>1205</v>
      </c>
    </row>
    <row r="55" spans="1:11" s="30" customFormat="1" ht="14.25" customHeight="1">
      <c r="A55" s="60" t="s">
        <v>494</v>
      </c>
      <c r="B55" s="48">
        <v>3</v>
      </c>
      <c r="C55" s="49" t="s">
        <v>260</v>
      </c>
      <c r="D55" s="48">
        <v>48</v>
      </c>
      <c r="E55" s="48">
        <v>163</v>
      </c>
      <c r="F55" s="48">
        <v>368</v>
      </c>
      <c r="G55" s="48">
        <v>74</v>
      </c>
      <c r="H55" s="48">
        <v>294</v>
      </c>
      <c r="I55" s="48">
        <v>139</v>
      </c>
      <c r="J55" s="48">
        <v>25</v>
      </c>
      <c r="K55" s="51">
        <v>114</v>
      </c>
    </row>
    <row r="56" spans="1:11" s="30" customFormat="1" ht="14.25" customHeight="1">
      <c r="A56" s="60" t="s">
        <v>495</v>
      </c>
      <c r="B56" s="51">
        <v>38</v>
      </c>
      <c r="C56" s="50" t="s">
        <v>260</v>
      </c>
      <c r="D56" s="51">
        <v>324</v>
      </c>
      <c r="E56" s="51">
        <v>1272</v>
      </c>
      <c r="F56" s="51">
        <v>4800</v>
      </c>
      <c r="G56" s="51">
        <v>1872</v>
      </c>
      <c r="H56" s="51">
        <v>2928</v>
      </c>
      <c r="I56" s="51">
        <v>1881</v>
      </c>
      <c r="J56" s="51">
        <v>790</v>
      </c>
      <c r="K56" s="51">
        <v>1091</v>
      </c>
    </row>
    <row r="57" spans="1:11" s="30" customFormat="1" ht="14.25" customHeight="1">
      <c r="A57" s="62"/>
      <c r="B57" s="63"/>
      <c r="C57" s="63"/>
      <c r="D57" s="63"/>
      <c r="E57" s="63"/>
      <c r="F57" s="63"/>
      <c r="G57" s="63"/>
      <c r="H57" s="63"/>
      <c r="I57" s="63"/>
      <c r="J57" s="63" t="s">
        <v>507</v>
      </c>
      <c r="K57" s="63"/>
    </row>
    <row r="58" spans="1:11" s="30" customFormat="1" ht="14.25" customHeight="1">
      <c r="A58" s="64" t="s">
        <v>508</v>
      </c>
      <c r="B58" s="54">
        <v>46</v>
      </c>
      <c r="C58" s="49" t="s">
        <v>260</v>
      </c>
      <c r="D58" s="54">
        <f>D59</f>
        <v>338</v>
      </c>
      <c r="E58" s="54">
        <f aca="true" t="shared" si="4" ref="E58:K58">E59</f>
        <v>225</v>
      </c>
      <c r="F58" s="54">
        <f t="shared" si="4"/>
        <v>3181</v>
      </c>
      <c r="G58" s="54">
        <f t="shared" si="4"/>
        <v>1890</v>
      </c>
      <c r="H58" s="54">
        <f t="shared" si="4"/>
        <v>1291</v>
      </c>
      <c r="I58" s="54">
        <f t="shared" si="4"/>
        <v>15337</v>
      </c>
      <c r="J58" s="54">
        <f t="shared" si="4"/>
        <v>9334</v>
      </c>
      <c r="K58" s="54">
        <f t="shared" si="4"/>
        <v>6003</v>
      </c>
    </row>
    <row r="59" spans="1:11" s="30" customFormat="1" ht="14.25" customHeight="1">
      <c r="A59" s="65" t="s">
        <v>495</v>
      </c>
      <c r="B59" s="66">
        <v>46</v>
      </c>
      <c r="C59" s="67" t="s">
        <v>260</v>
      </c>
      <c r="D59" s="66">
        <v>338</v>
      </c>
      <c r="E59" s="66">
        <v>225</v>
      </c>
      <c r="F59" s="66">
        <v>3181</v>
      </c>
      <c r="G59" s="66">
        <v>1890</v>
      </c>
      <c r="H59" s="66">
        <v>1291</v>
      </c>
      <c r="I59" s="66">
        <v>15337</v>
      </c>
      <c r="J59" s="66">
        <v>9334</v>
      </c>
      <c r="K59" s="66">
        <v>6003</v>
      </c>
    </row>
    <row r="60" spans="1:11" ht="14.25" customHeight="1">
      <c r="A60" s="68" t="s">
        <v>509</v>
      </c>
      <c r="B60" s="69"/>
      <c r="C60" s="69"/>
      <c r="D60" s="69"/>
      <c r="E60" s="69"/>
      <c r="F60" s="69"/>
      <c r="G60" s="69"/>
      <c r="H60" s="69"/>
      <c r="I60" s="69"/>
      <c r="J60" s="69"/>
      <c r="K60" s="70"/>
    </row>
    <row r="61" spans="1:11" ht="14.25" customHeight="1">
      <c r="A61" s="68" t="s">
        <v>510</v>
      </c>
      <c r="B61" s="69"/>
      <c r="C61" s="69"/>
      <c r="D61" s="69"/>
      <c r="E61" s="69"/>
      <c r="F61" s="69"/>
      <c r="G61" s="69"/>
      <c r="H61" s="69"/>
      <c r="I61" s="69"/>
      <c r="J61" s="69"/>
      <c r="K61" s="70"/>
    </row>
    <row r="62" spans="1:11" ht="14.25" customHeight="1">
      <c r="A62" s="71" t="s">
        <v>511</v>
      </c>
      <c r="B62" s="69"/>
      <c r="C62" s="69"/>
      <c r="D62" s="69"/>
      <c r="E62" s="69"/>
      <c r="F62" s="69"/>
      <c r="G62" s="69"/>
      <c r="H62" s="69"/>
      <c r="I62" s="69"/>
      <c r="J62" s="69"/>
      <c r="K62" s="70"/>
    </row>
    <row r="63" ht="13.5">
      <c r="A63" s="71" t="s">
        <v>512</v>
      </c>
    </row>
  </sheetData>
  <sheetProtection password="EE7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28125" style="35" customWidth="1"/>
    <col min="2" max="5" width="10.8515625" style="35" customWidth="1"/>
    <col min="6" max="6" width="13.57421875" style="35" customWidth="1"/>
    <col min="7" max="10" width="10.8515625" style="35" customWidth="1"/>
    <col min="11" max="16384" width="9.00390625" style="35" customWidth="1"/>
  </cols>
  <sheetData>
    <row r="1" spans="1:10" ht="13.5">
      <c r="A1" s="191"/>
      <c r="B1" s="202" t="s">
        <v>192</v>
      </c>
      <c r="C1" s="191"/>
      <c r="D1" s="191"/>
      <c r="E1" s="191"/>
      <c r="F1" s="191"/>
      <c r="G1" s="191"/>
      <c r="H1" s="191"/>
      <c r="I1" s="191"/>
      <c r="J1" s="191"/>
    </row>
    <row r="2" spans="1:10" ht="13.5">
      <c r="A2" s="22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3.5">
      <c r="A3" s="191"/>
      <c r="B3" s="222" t="s">
        <v>193</v>
      </c>
      <c r="C3" s="191"/>
      <c r="D3" s="191"/>
      <c r="E3" s="191"/>
      <c r="F3" s="191"/>
      <c r="G3" s="191"/>
      <c r="H3" s="191"/>
      <c r="I3" s="191"/>
      <c r="J3" s="191"/>
    </row>
    <row r="4" spans="1:10" ht="14.25" thickBot="1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" customHeight="1" thickTop="1">
      <c r="A5" s="349" t="s">
        <v>194</v>
      </c>
      <c r="B5" s="350" t="s">
        <v>195</v>
      </c>
      <c r="C5" s="330" t="s">
        <v>196</v>
      </c>
      <c r="D5" s="338"/>
      <c r="E5" s="331"/>
      <c r="F5" s="350" t="s">
        <v>197</v>
      </c>
      <c r="G5" s="350" t="s">
        <v>195</v>
      </c>
      <c r="H5" s="330" t="s">
        <v>196</v>
      </c>
      <c r="I5" s="338"/>
      <c r="J5" s="338"/>
    </row>
    <row r="6" spans="1:10" ht="15" customHeight="1">
      <c r="A6" s="335"/>
      <c r="B6" s="341"/>
      <c r="C6" s="124" t="s">
        <v>53</v>
      </c>
      <c r="D6" s="42" t="s">
        <v>54</v>
      </c>
      <c r="E6" s="125" t="s">
        <v>55</v>
      </c>
      <c r="F6" s="341"/>
      <c r="G6" s="341"/>
      <c r="H6" s="42" t="s">
        <v>53</v>
      </c>
      <c r="I6" s="42" t="s">
        <v>54</v>
      </c>
      <c r="J6" s="41" t="s">
        <v>55</v>
      </c>
    </row>
    <row r="7" spans="1:10" ht="13.5">
      <c r="A7" s="44"/>
      <c r="B7" s="223"/>
      <c r="C7" s="223"/>
      <c r="D7" s="223"/>
      <c r="E7" s="223"/>
      <c r="F7" s="224"/>
      <c r="G7" s="223"/>
      <c r="H7" s="223"/>
      <c r="I7" s="223"/>
      <c r="J7" s="223"/>
    </row>
    <row r="8" spans="1:10" s="30" customFormat="1" ht="13.5">
      <c r="A8" s="208" t="s">
        <v>198</v>
      </c>
      <c r="B8" s="196">
        <v>37</v>
      </c>
      <c r="C8" s="196">
        <v>2654</v>
      </c>
      <c r="D8" s="196">
        <v>1515</v>
      </c>
      <c r="E8" s="196">
        <v>1139</v>
      </c>
      <c r="F8" s="209" t="s">
        <v>199</v>
      </c>
      <c r="G8" s="213">
        <v>4</v>
      </c>
      <c r="H8" s="196">
        <v>197</v>
      </c>
      <c r="I8" s="196">
        <v>46</v>
      </c>
      <c r="J8" s="196">
        <v>151</v>
      </c>
    </row>
    <row r="9" spans="1:10" s="30" customFormat="1" ht="13.5">
      <c r="A9" s="208">
        <v>24</v>
      </c>
      <c r="B9" s="196">
        <v>59</v>
      </c>
      <c r="C9" s="196">
        <v>2873</v>
      </c>
      <c r="D9" s="196">
        <v>1662</v>
      </c>
      <c r="E9" s="196">
        <v>1211</v>
      </c>
      <c r="F9" s="216" t="s">
        <v>200</v>
      </c>
      <c r="G9" s="196">
        <v>4</v>
      </c>
      <c r="H9" s="196">
        <v>32</v>
      </c>
      <c r="I9" s="196">
        <v>0</v>
      </c>
      <c r="J9" s="196">
        <v>32</v>
      </c>
    </row>
    <row r="10" spans="1:10" s="30" customFormat="1" ht="13.5">
      <c r="A10" s="210">
        <v>25</v>
      </c>
      <c r="B10" s="225">
        <v>59</v>
      </c>
      <c r="C10" s="225">
        <v>3181</v>
      </c>
      <c r="D10" s="225">
        <v>1890</v>
      </c>
      <c r="E10" s="225">
        <v>1291</v>
      </c>
      <c r="F10" s="209" t="s">
        <v>201</v>
      </c>
      <c r="G10" s="196">
        <v>1</v>
      </c>
      <c r="H10" s="196">
        <v>12</v>
      </c>
      <c r="I10" s="196">
        <v>0</v>
      </c>
      <c r="J10" s="196">
        <v>12</v>
      </c>
    </row>
    <row r="11" spans="1:10" s="30" customFormat="1" ht="13.5">
      <c r="A11" s="170"/>
      <c r="B11" s="193"/>
      <c r="C11" s="193" t="s">
        <v>202</v>
      </c>
      <c r="D11" s="193"/>
      <c r="E11" s="193"/>
      <c r="F11" s="209" t="s">
        <v>203</v>
      </c>
      <c r="G11" s="193">
        <v>3</v>
      </c>
      <c r="H11" s="193">
        <v>85</v>
      </c>
      <c r="I11" s="196">
        <v>69</v>
      </c>
      <c r="J11" s="193">
        <v>16</v>
      </c>
    </row>
    <row r="12" spans="1:10" s="30" customFormat="1" ht="13.5">
      <c r="A12" s="211" t="s">
        <v>204</v>
      </c>
      <c r="B12" s="196">
        <v>0</v>
      </c>
      <c r="C12" s="196">
        <v>0</v>
      </c>
      <c r="D12" s="196">
        <v>0</v>
      </c>
      <c r="E12" s="196">
        <v>0</v>
      </c>
      <c r="F12" s="209" t="s">
        <v>205</v>
      </c>
      <c r="G12" s="193">
        <v>1</v>
      </c>
      <c r="H12" s="193">
        <v>7</v>
      </c>
      <c r="I12" s="196">
        <v>7</v>
      </c>
      <c r="J12" s="193">
        <v>0</v>
      </c>
    </row>
    <row r="13" spans="1:10" s="30" customFormat="1" ht="13.5">
      <c r="A13" s="211" t="s">
        <v>206</v>
      </c>
      <c r="B13" s="193">
        <v>59</v>
      </c>
      <c r="C13" s="193">
        <v>3181</v>
      </c>
      <c r="D13" s="193">
        <v>1890</v>
      </c>
      <c r="E13" s="193">
        <v>1291</v>
      </c>
      <c r="F13" s="209" t="s">
        <v>207</v>
      </c>
      <c r="G13" s="193">
        <v>43</v>
      </c>
      <c r="H13" s="193">
        <v>2806</v>
      </c>
      <c r="I13" s="196">
        <v>1748</v>
      </c>
      <c r="J13" s="196">
        <v>1058</v>
      </c>
    </row>
    <row r="14" spans="1:10" s="30" customFormat="1" ht="13.5">
      <c r="A14" s="170"/>
      <c r="B14" s="226"/>
      <c r="C14" s="226" t="s">
        <v>202</v>
      </c>
      <c r="D14" s="226"/>
      <c r="E14" s="226"/>
      <c r="F14" s="209" t="s">
        <v>208</v>
      </c>
      <c r="G14" s="193">
        <v>3</v>
      </c>
      <c r="H14" s="193">
        <v>42</v>
      </c>
      <c r="I14" s="193">
        <v>20</v>
      </c>
      <c r="J14" s="193">
        <v>22</v>
      </c>
    </row>
    <row r="15" spans="1:10" s="30" customFormat="1" ht="13.5">
      <c r="A15" s="227"/>
      <c r="B15" s="226"/>
      <c r="C15" s="226"/>
      <c r="D15" s="226"/>
      <c r="E15" s="226"/>
      <c r="F15" s="209"/>
      <c r="G15" s="228"/>
      <c r="H15" s="228"/>
      <c r="I15" s="228"/>
      <c r="J15" s="228"/>
    </row>
    <row r="16" spans="1:10" ht="13.5">
      <c r="A16" s="229" t="s">
        <v>209</v>
      </c>
      <c r="B16" s="230" t="s">
        <v>209</v>
      </c>
      <c r="C16" s="230" t="s">
        <v>209</v>
      </c>
      <c r="D16" s="230" t="s">
        <v>209</v>
      </c>
      <c r="E16" s="230" t="s">
        <v>209</v>
      </c>
      <c r="F16" s="219"/>
      <c r="G16" s="231"/>
      <c r="H16" s="231"/>
      <c r="I16" s="231"/>
      <c r="J16" s="231"/>
    </row>
    <row r="17" spans="7:10" ht="13.5">
      <c r="G17" s="105"/>
      <c r="H17" s="105"/>
      <c r="I17" s="105"/>
      <c r="J17" s="105"/>
    </row>
  </sheetData>
  <sheetProtection password="EE7F" sheet="1"/>
  <mergeCells count="6">
    <mergeCell ref="H5:J5"/>
    <mergeCell ref="A5:A6"/>
    <mergeCell ref="B5:B6"/>
    <mergeCell ref="C5:E5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27.57421875" style="1" customWidth="1"/>
    <col min="2" max="3" width="8.140625" style="1" customWidth="1"/>
    <col min="4" max="9" width="5.57421875" style="1" customWidth="1"/>
    <col min="10" max="10" width="8.140625" style="1" customWidth="1"/>
    <col min="11" max="13" width="5.57421875" style="1" customWidth="1"/>
    <col min="14" max="16384" width="9.00390625" style="1" customWidth="1"/>
  </cols>
  <sheetData>
    <row r="1" spans="1:13" ht="13.5">
      <c r="A1" s="360" t="s">
        <v>167</v>
      </c>
      <c r="B1" s="360"/>
      <c r="C1" s="360"/>
      <c r="D1" s="360"/>
      <c r="E1" s="360"/>
      <c r="F1" s="360"/>
      <c r="G1" s="360"/>
      <c r="H1" s="3"/>
      <c r="I1" s="3"/>
      <c r="J1" s="3"/>
      <c r="K1" s="3"/>
      <c r="L1" s="3"/>
      <c r="M1" s="3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 thickTop="1">
      <c r="A3" s="10"/>
      <c r="B3" s="11"/>
      <c r="C3" s="12" t="s">
        <v>168</v>
      </c>
      <c r="D3" s="7"/>
      <c r="E3" s="7"/>
      <c r="F3" s="7"/>
      <c r="G3" s="7"/>
      <c r="H3" s="7"/>
      <c r="I3" s="8"/>
      <c r="J3" s="361" t="s">
        <v>169</v>
      </c>
      <c r="K3" s="362"/>
      <c r="L3" s="362"/>
      <c r="M3" s="362"/>
    </row>
    <row r="4" spans="1:13" ht="14.25" customHeight="1">
      <c r="A4" s="13" t="s">
        <v>170</v>
      </c>
      <c r="B4" s="14" t="s">
        <v>53</v>
      </c>
      <c r="C4" s="356" t="s">
        <v>53</v>
      </c>
      <c r="D4" s="363" t="s">
        <v>171</v>
      </c>
      <c r="E4" s="354" t="s">
        <v>172</v>
      </c>
      <c r="F4" s="354" t="s">
        <v>173</v>
      </c>
      <c r="G4" s="354" t="s">
        <v>174</v>
      </c>
      <c r="H4" s="354" t="s">
        <v>175</v>
      </c>
      <c r="I4" s="354" t="s">
        <v>176</v>
      </c>
      <c r="J4" s="356" t="s">
        <v>53</v>
      </c>
      <c r="K4" s="354" t="s">
        <v>177</v>
      </c>
      <c r="L4" s="354" t="s">
        <v>178</v>
      </c>
      <c r="M4" s="358" t="s">
        <v>179</v>
      </c>
    </row>
    <row r="5" spans="1:13" ht="14.25" customHeight="1">
      <c r="A5" s="6"/>
      <c r="B5" s="15"/>
      <c r="C5" s="357"/>
      <c r="D5" s="364"/>
      <c r="E5" s="355"/>
      <c r="F5" s="355"/>
      <c r="G5" s="355"/>
      <c r="H5" s="355"/>
      <c r="I5" s="355"/>
      <c r="J5" s="357"/>
      <c r="K5" s="355"/>
      <c r="L5" s="355"/>
      <c r="M5" s="359"/>
    </row>
    <row r="6" spans="1:13" ht="7.5" customHeight="1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4.25" customHeight="1">
      <c r="A7" s="17" t="s">
        <v>180</v>
      </c>
      <c r="B7" s="2">
        <v>86</v>
      </c>
      <c r="C7" s="2">
        <v>56</v>
      </c>
      <c r="D7" s="2">
        <v>9</v>
      </c>
      <c r="E7" s="2">
        <v>12</v>
      </c>
      <c r="F7" s="2">
        <v>9</v>
      </c>
      <c r="G7" s="2">
        <v>10</v>
      </c>
      <c r="H7" s="2">
        <v>12</v>
      </c>
      <c r="I7" s="2">
        <v>4</v>
      </c>
      <c r="J7" s="2">
        <v>30</v>
      </c>
      <c r="K7" s="2">
        <v>11</v>
      </c>
      <c r="L7" s="2">
        <v>9</v>
      </c>
      <c r="M7" s="2">
        <v>10</v>
      </c>
    </row>
    <row r="8" spans="1:13" ht="14.25" customHeight="1">
      <c r="A8" s="17">
        <v>24</v>
      </c>
      <c r="B8" s="2">
        <v>72</v>
      </c>
      <c r="C8" s="2">
        <v>45</v>
      </c>
      <c r="D8" s="2">
        <v>11</v>
      </c>
      <c r="E8" s="2">
        <v>4</v>
      </c>
      <c r="F8" s="2">
        <v>6</v>
      </c>
      <c r="G8" s="2">
        <v>9</v>
      </c>
      <c r="H8" s="2">
        <v>6</v>
      </c>
      <c r="I8" s="2">
        <v>9</v>
      </c>
      <c r="J8" s="2">
        <v>27</v>
      </c>
      <c r="K8" s="2">
        <v>9</v>
      </c>
      <c r="L8" s="2">
        <v>9</v>
      </c>
      <c r="M8" s="2">
        <v>9</v>
      </c>
    </row>
    <row r="9" spans="1:13" ht="7.5" customHeight="1">
      <c r="A9" s="1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 customHeight="1">
      <c r="A10" s="19">
        <v>25</v>
      </c>
      <c r="B10" s="9">
        <v>58</v>
      </c>
      <c r="C10" s="9">
        <v>32</v>
      </c>
      <c r="D10" s="9">
        <v>0</v>
      </c>
      <c r="E10" s="9">
        <f>4+5</f>
        <v>9</v>
      </c>
      <c r="F10" s="9">
        <f>4</f>
        <v>4</v>
      </c>
      <c r="G10" s="9">
        <f>3+1</f>
        <v>4</v>
      </c>
      <c r="H10" s="9">
        <f>5+5</f>
        <v>10</v>
      </c>
      <c r="I10" s="9">
        <f>3+2</f>
        <v>5</v>
      </c>
      <c r="J10" s="9">
        <v>26</v>
      </c>
      <c r="K10" s="9">
        <f>6+4</f>
        <v>10</v>
      </c>
      <c r="L10" s="9">
        <f>4+4</f>
        <v>8</v>
      </c>
      <c r="M10" s="9">
        <f>1+7</f>
        <v>8</v>
      </c>
    </row>
    <row r="11" spans="1:13" ht="14.25" customHeight="1">
      <c r="A11" s="1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8" customHeight="1">
      <c r="A12" s="20" t="s">
        <v>181</v>
      </c>
      <c r="B12" s="2">
        <v>57</v>
      </c>
      <c r="C12" s="2">
        <v>32</v>
      </c>
      <c r="D12" s="2">
        <v>0</v>
      </c>
      <c r="E12" s="2">
        <v>9</v>
      </c>
      <c r="F12" s="2">
        <v>4</v>
      </c>
      <c r="G12" s="2">
        <v>4</v>
      </c>
      <c r="H12" s="2">
        <v>10</v>
      </c>
      <c r="I12" s="2">
        <v>5</v>
      </c>
      <c r="J12" s="2">
        <v>25</v>
      </c>
      <c r="K12" s="2">
        <v>9</v>
      </c>
      <c r="L12" s="2">
        <v>8</v>
      </c>
      <c r="M12" s="2">
        <v>8</v>
      </c>
    </row>
    <row r="13" spans="1:13" ht="18" customHeight="1">
      <c r="A13" s="21" t="s">
        <v>182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18" customHeight="1">
      <c r="A14" s="21" t="s">
        <v>183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18" customHeight="1">
      <c r="A15" s="21" t="s">
        <v>184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27">
      <c r="A16" s="22" t="s">
        <v>185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ht="18" customHeight="1">
      <c r="A17" s="21" t="s">
        <v>186</v>
      </c>
      <c r="B17" s="2">
        <f>56+1</f>
        <v>57</v>
      </c>
      <c r="C17" s="2">
        <f>31+1</f>
        <v>32</v>
      </c>
      <c r="D17" s="2">
        <v>0</v>
      </c>
      <c r="E17" s="2">
        <f>4+4+1</f>
        <v>9</v>
      </c>
      <c r="F17" s="2">
        <f>4</f>
        <v>4</v>
      </c>
      <c r="G17" s="2">
        <f>3+1</f>
        <v>4</v>
      </c>
      <c r="H17" s="2">
        <f>5+5</f>
        <v>10</v>
      </c>
      <c r="I17" s="2">
        <f>3+2</f>
        <v>5</v>
      </c>
      <c r="J17" s="2">
        <f>25</f>
        <v>25</v>
      </c>
      <c r="K17" s="2">
        <f>6+3</f>
        <v>9</v>
      </c>
      <c r="L17" s="2">
        <f>4+4</f>
        <v>8</v>
      </c>
      <c r="M17" s="2">
        <f>1+7</f>
        <v>8</v>
      </c>
    </row>
    <row r="18" spans="1:13" ht="18" customHeight="1">
      <c r="A18" s="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>
      <c r="A19" s="20" t="s">
        <v>187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</row>
    <row r="20" spans="1:13" ht="18" customHeight="1">
      <c r="A20" s="21" t="s">
        <v>188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18" customHeight="1">
      <c r="A21" s="21" t="s">
        <v>189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8" customHeight="1">
      <c r="A22" s="21" t="s">
        <v>190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8" customHeight="1">
      <c r="A23" s="21" t="s">
        <v>191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8" customHeight="1">
      <c r="A24" s="21" t="s">
        <v>182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8" customHeight="1">
      <c r="A25" s="21" t="s">
        <v>183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</row>
    <row r="26" spans="1:13" ht="18" customHeight="1">
      <c r="A26" s="21" t="s">
        <v>184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27">
      <c r="A27" s="22" t="s">
        <v>185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8" customHeight="1">
      <c r="A28" s="22" t="s">
        <v>186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7.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3.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3.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13.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3.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3.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3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 password="EE7F" sheet="1"/>
  <mergeCells count="13">
    <mergeCell ref="A1:G1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421875" style="30" customWidth="1"/>
    <col min="2" max="10" width="8.8515625" style="30" customWidth="1"/>
    <col min="11" max="16384" width="9.00390625" style="30" customWidth="1"/>
  </cols>
  <sheetData>
    <row r="1" spans="1:10" ht="13.5">
      <c r="A1" s="29"/>
      <c r="B1" s="107" t="s">
        <v>81</v>
      </c>
      <c r="C1" s="29"/>
      <c r="D1" s="29"/>
      <c r="E1" s="29"/>
      <c r="F1" s="29"/>
      <c r="G1" s="29"/>
      <c r="H1" s="29"/>
      <c r="I1" s="29"/>
      <c r="J1" s="29"/>
    </row>
    <row r="2" spans="1:10" ht="13.5">
      <c r="A2" s="10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 t="s">
        <v>142</v>
      </c>
      <c r="B3" s="75"/>
      <c r="C3" s="29"/>
      <c r="D3" s="29"/>
      <c r="E3" s="29"/>
      <c r="F3" s="29"/>
      <c r="G3" s="29"/>
      <c r="H3" s="29"/>
      <c r="I3" s="29"/>
      <c r="J3" s="29"/>
    </row>
    <row r="4" spans="1:10" ht="13.5">
      <c r="A4" s="203" t="s">
        <v>143</v>
      </c>
      <c r="B4" s="318"/>
      <c r="C4" s="29"/>
      <c r="D4" s="29"/>
      <c r="E4" s="29"/>
      <c r="F4" s="29"/>
      <c r="G4" s="29"/>
      <c r="H4" s="29"/>
      <c r="I4" s="29"/>
      <c r="J4" s="29"/>
    </row>
    <row r="5" spans="1:10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 thickTop="1">
      <c r="A6" s="349" t="s">
        <v>49</v>
      </c>
      <c r="B6" s="37"/>
      <c r="C6" s="78" t="s">
        <v>50</v>
      </c>
      <c r="D6" s="38"/>
      <c r="E6" s="37"/>
      <c r="F6" s="78" t="s">
        <v>51</v>
      </c>
      <c r="G6" s="39"/>
      <c r="H6" s="38"/>
      <c r="I6" s="162" t="s">
        <v>52</v>
      </c>
      <c r="J6" s="38"/>
    </row>
    <row r="7" spans="1:10" ht="15.75" customHeight="1">
      <c r="A7" s="335"/>
      <c r="B7" s="319" t="s">
        <v>53</v>
      </c>
      <c r="C7" s="320" t="s">
        <v>54</v>
      </c>
      <c r="D7" s="321" t="s">
        <v>55</v>
      </c>
      <c r="E7" s="319" t="s">
        <v>53</v>
      </c>
      <c r="F7" s="320" t="s">
        <v>54</v>
      </c>
      <c r="G7" s="322" t="s">
        <v>55</v>
      </c>
      <c r="H7" s="319" t="s">
        <v>53</v>
      </c>
      <c r="I7" s="320" t="s">
        <v>54</v>
      </c>
      <c r="J7" s="321" t="s">
        <v>55</v>
      </c>
    </row>
    <row r="8" spans="1:10" ht="15.75" customHeight="1">
      <c r="A8" s="276"/>
      <c r="B8" s="323"/>
      <c r="C8" s="63"/>
      <c r="D8" s="63"/>
      <c r="E8" s="63"/>
      <c r="F8" s="63"/>
      <c r="G8" s="63"/>
      <c r="H8" s="63"/>
      <c r="I8" s="63"/>
      <c r="J8" s="63"/>
    </row>
    <row r="9" spans="1:10" ht="15.75" customHeight="1">
      <c r="A9" s="306" t="s">
        <v>144</v>
      </c>
      <c r="B9" s="240">
        <v>13160</v>
      </c>
      <c r="C9" s="241">
        <v>6755</v>
      </c>
      <c r="D9" s="241">
        <v>6405</v>
      </c>
      <c r="E9" s="241">
        <v>13215</v>
      </c>
      <c r="F9" s="241">
        <v>6740</v>
      </c>
      <c r="G9" s="241">
        <v>6475</v>
      </c>
      <c r="H9" s="241">
        <v>13030</v>
      </c>
      <c r="I9" s="241">
        <v>6690</v>
      </c>
      <c r="J9" s="241">
        <v>6340</v>
      </c>
    </row>
    <row r="10" spans="1:10" ht="9" customHeight="1">
      <c r="A10" s="276"/>
      <c r="B10" s="242"/>
      <c r="C10" s="213"/>
      <c r="D10" s="213"/>
      <c r="E10" s="213"/>
      <c r="F10" s="213"/>
      <c r="G10" s="213"/>
      <c r="H10" s="213"/>
      <c r="I10" s="213"/>
      <c r="J10" s="213"/>
    </row>
    <row r="11" spans="1:10" ht="15.75" customHeight="1">
      <c r="A11" s="309" t="s">
        <v>145</v>
      </c>
      <c r="B11" s="242">
        <v>12797</v>
      </c>
      <c r="C11" s="213">
        <v>6552</v>
      </c>
      <c r="D11" s="213">
        <v>6245</v>
      </c>
      <c r="E11" s="213">
        <v>12905</v>
      </c>
      <c r="F11" s="213">
        <v>6573</v>
      </c>
      <c r="G11" s="213">
        <v>6332</v>
      </c>
      <c r="H11" s="213">
        <v>12729</v>
      </c>
      <c r="I11" s="213">
        <v>6520</v>
      </c>
      <c r="J11" s="213">
        <v>6209</v>
      </c>
    </row>
    <row r="12" spans="1:10" ht="15.75" customHeight="1">
      <c r="A12" s="314" t="s">
        <v>146</v>
      </c>
      <c r="B12" s="242">
        <v>12231</v>
      </c>
      <c r="C12" s="213">
        <v>6140</v>
      </c>
      <c r="D12" s="213">
        <v>6091</v>
      </c>
      <c r="E12" s="213">
        <v>12325</v>
      </c>
      <c r="F12" s="213">
        <v>6161</v>
      </c>
      <c r="G12" s="213">
        <v>6164</v>
      </c>
      <c r="H12" s="213">
        <v>12193</v>
      </c>
      <c r="I12" s="213">
        <v>6143</v>
      </c>
      <c r="J12" s="213">
        <v>6050</v>
      </c>
    </row>
    <row r="13" spans="1:10" ht="15.75" customHeight="1">
      <c r="A13" s="324" t="s">
        <v>147</v>
      </c>
      <c r="B13" s="242">
        <v>11952</v>
      </c>
      <c r="C13" s="213">
        <v>6007</v>
      </c>
      <c r="D13" s="213">
        <v>5945</v>
      </c>
      <c r="E13" s="213">
        <v>12079</v>
      </c>
      <c r="F13" s="213">
        <v>6034</v>
      </c>
      <c r="G13" s="213">
        <v>6045</v>
      </c>
      <c r="H13" s="213">
        <v>11967</v>
      </c>
      <c r="I13" s="213">
        <v>6010</v>
      </c>
      <c r="J13" s="213">
        <v>5957</v>
      </c>
    </row>
    <row r="14" spans="1:10" ht="15.75" customHeight="1">
      <c r="A14" s="324" t="s">
        <v>148</v>
      </c>
      <c r="B14" s="242">
        <v>141</v>
      </c>
      <c r="C14" s="213">
        <v>68</v>
      </c>
      <c r="D14" s="213">
        <v>73</v>
      </c>
      <c r="E14" s="213">
        <v>119</v>
      </c>
      <c r="F14" s="213">
        <v>65</v>
      </c>
      <c r="G14" s="213">
        <v>54</v>
      </c>
      <c r="H14" s="213">
        <v>114</v>
      </c>
      <c r="I14" s="213">
        <v>68</v>
      </c>
      <c r="J14" s="213">
        <v>46</v>
      </c>
    </row>
    <row r="15" spans="1:10" ht="15.75" customHeight="1">
      <c r="A15" s="324" t="s">
        <v>149</v>
      </c>
      <c r="B15" s="242">
        <v>138</v>
      </c>
      <c r="C15" s="213">
        <v>65</v>
      </c>
      <c r="D15" s="213">
        <v>73</v>
      </c>
      <c r="E15" s="213">
        <v>127</v>
      </c>
      <c r="F15" s="213">
        <v>62</v>
      </c>
      <c r="G15" s="213">
        <v>65</v>
      </c>
      <c r="H15" s="213">
        <v>112</v>
      </c>
      <c r="I15" s="213">
        <v>65</v>
      </c>
      <c r="J15" s="213">
        <v>47</v>
      </c>
    </row>
    <row r="16" spans="1:10" ht="15.75" customHeight="1">
      <c r="A16" s="314" t="s">
        <v>150</v>
      </c>
      <c r="B16" s="325">
        <v>0</v>
      </c>
      <c r="C16" s="326">
        <v>0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</row>
    <row r="17" spans="1:10" ht="15.75" customHeight="1">
      <c r="A17" s="327" t="s">
        <v>151</v>
      </c>
      <c r="B17" s="242">
        <v>0</v>
      </c>
      <c r="C17" s="326">
        <v>0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</row>
    <row r="18" spans="1:10" ht="15.75" customHeight="1">
      <c r="A18" s="314" t="s">
        <v>152</v>
      </c>
      <c r="B18" s="242">
        <v>419</v>
      </c>
      <c r="C18" s="213">
        <v>323</v>
      </c>
      <c r="D18" s="213">
        <v>96</v>
      </c>
      <c r="E18" s="213">
        <v>406</v>
      </c>
      <c r="F18" s="213">
        <v>310</v>
      </c>
      <c r="G18" s="213">
        <v>96</v>
      </c>
      <c r="H18" s="213">
        <v>407</v>
      </c>
      <c r="I18" s="213">
        <v>299</v>
      </c>
      <c r="J18" s="213">
        <v>108</v>
      </c>
    </row>
    <row r="19" spans="1:10" ht="15.75" customHeight="1">
      <c r="A19" s="314" t="s">
        <v>153</v>
      </c>
      <c r="B19" s="242">
        <v>147</v>
      </c>
      <c r="C19" s="213">
        <v>89</v>
      </c>
      <c r="D19" s="213">
        <v>58</v>
      </c>
      <c r="E19" s="213">
        <v>174</v>
      </c>
      <c r="F19" s="213">
        <v>102</v>
      </c>
      <c r="G19" s="213">
        <v>72</v>
      </c>
      <c r="H19" s="213">
        <v>129</v>
      </c>
      <c r="I19" s="213">
        <v>78</v>
      </c>
      <c r="J19" s="213">
        <v>51</v>
      </c>
    </row>
    <row r="20" spans="1:10" ht="15.75" customHeight="1">
      <c r="A20" s="309" t="s">
        <v>154</v>
      </c>
      <c r="B20" s="325">
        <v>55</v>
      </c>
      <c r="C20" s="326">
        <v>15</v>
      </c>
      <c r="D20" s="326">
        <v>40</v>
      </c>
      <c r="E20" s="326">
        <v>55</v>
      </c>
      <c r="F20" s="326">
        <v>21</v>
      </c>
      <c r="G20" s="326">
        <v>34</v>
      </c>
      <c r="H20" s="326">
        <v>40</v>
      </c>
      <c r="I20" s="326">
        <v>18</v>
      </c>
      <c r="J20" s="326">
        <v>22</v>
      </c>
    </row>
    <row r="21" spans="1:10" ht="15.75" customHeight="1">
      <c r="A21" s="309" t="s">
        <v>155</v>
      </c>
      <c r="B21" s="242">
        <v>17</v>
      </c>
      <c r="C21" s="213">
        <v>9</v>
      </c>
      <c r="D21" s="213">
        <v>8</v>
      </c>
      <c r="E21" s="213">
        <v>13</v>
      </c>
      <c r="F21" s="213">
        <v>8</v>
      </c>
      <c r="G21" s="213">
        <v>5</v>
      </c>
      <c r="H21" s="213">
        <v>16</v>
      </c>
      <c r="I21" s="213">
        <v>7</v>
      </c>
      <c r="J21" s="213">
        <v>9</v>
      </c>
    </row>
    <row r="22" spans="1:10" ht="15.75" customHeight="1">
      <c r="A22" s="309" t="s">
        <v>156</v>
      </c>
      <c r="B22" s="242">
        <v>28</v>
      </c>
      <c r="C22" s="213">
        <v>17</v>
      </c>
      <c r="D22" s="213">
        <v>11</v>
      </c>
      <c r="E22" s="213">
        <v>4</v>
      </c>
      <c r="F22" s="213">
        <v>4</v>
      </c>
      <c r="G22" s="213">
        <v>0</v>
      </c>
      <c r="H22" s="213">
        <v>9</v>
      </c>
      <c r="I22" s="213">
        <v>9</v>
      </c>
      <c r="J22" s="213">
        <v>0</v>
      </c>
    </row>
    <row r="23" spans="1:10" ht="15.75" customHeight="1">
      <c r="A23" s="309" t="s">
        <v>157</v>
      </c>
      <c r="B23" s="242">
        <v>55</v>
      </c>
      <c r="C23" s="213">
        <v>45</v>
      </c>
      <c r="D23" s="213">
        <v>10</v>
      </c>
      <c r="E23" s="213">
        <v>71</v>
      </c>
      <c r="F23" s="213">
        <v>53</v>
      </c>
      <c r="G23" s="213">
        <v>18</v>
      </c>
      <c r="H23" s="213">
        <v>91</v>
      </c>
      <c r="I23" s="213">
        <v>64</v>
      </c>
      <c r="J23" s="213">
        <v>27</v>
      </c>
    </row>
    <row r="24" spans="1:10" ht="15.75" customHeight="1">
      <c r="A24" s="328" t="s">
        <v>158</v>
      </c>
      <c r="B24" s="242">
        <v>207</v>
      </c>
      <c r="C24" s="213">
        <v>117</v>
      </c>
      <c r="D24" s="213">
        <v>90</v>
      </c>
      <c r="E24" s="213">
        <v>166</v>
      </c>
      <c r="F24" s="213">
        <v>80</v>
      </c>
      <c r="G24" s="213">
        <v>86</v>
      </c>
      <c r="H24" s="213">
        <v>142</v>
      </c>
      <c r="I24" s="213">
        <v>71</v>
      </c>
      <c r="J24" s="213">
        <v>71</v>
      </c>
    </row>
    <row r="25" spans="1:10" ht="15.75" customHeight="1">
      <c r="A25" s="309" t="s">
        <v>159</v>
      </c>
      <c r="B25" s="325">
        <v>1</v>
      </c>
      <c r="C25" s="326">
        <v>0</v>
      </c>
      <c r="D25" s="326">
        <v>1</v>
      </c>
      <c r="E25" s="326">
        <v>1</v>
      </c>
      <c r="F25" s="326">
        <v>1</v>
      </c>
      <c r="G25" s="326">
        <v>0</v>
      </c>
      <c r="H25" s="326">
        <v>3</v>
      </c>
      <c r="I25" s="326">
        <v>1</v>
      </c>
      <c r="J25" s="326">
        <v>2</v>
      </c>
    </row>
    <row r="26" spans="1:10" ht="9" customHeight="1">
      <c r="A26" s="309"/>
      <c r="B26" s="242"/>
      <c r="C26" s="213"/>
      <c r="D26" s="213"/>
      <c r="E26" s="213"/>
      <c r="F26" s="213"/>
      <c r="G26" s="213"/>
      <c r="H26" s="213"/>
      <c r="I26" s="213"/>
      <c r="J26" s="213"/>
    </row>
    <row r="27" spans="1:10" ht="15.75" customHeight="1">
      <c r="A27" s="309" t="s">
        <v>160</v>
      </c>
      <c r="B27" s="242">
        <v>0</v>
      </c>
      <c r="C27" s="213">
        <v>0</v>
      </c>
      <c r="D27" s="213">
        <v>0</v>
      </c>
      <c r="E27" s="326">
        <v>6</v>
      </c>
      <c r="F27" s="326">
        <v>4</v>
      </c>
      <c r="G27" s="326">
        <v>2</v>
      </c>
      <c r="H27" s="326">
        <v>5</v>
      </c>
      <c r="I27" s="326">
        <v>4</v>
      </c>
      <c r="J27" s="326">
        <v>1</v>
      </c>
    </row>
    <row r="28" spans="1:10" ht="15.75" customHeight="1">
      <c r="A28" s="276"/>
      <c r="B28" s="242"/>
      <c r="C28" s="213"/>
      <c r="D28" s="213"/>
      <c r="E28" s="213"/>
      <c r="F28" s="213"/>
      <c r="G28" s="213"/>
      <c r="H28" s="213"/>
      <c r="I28" s="213"/>
      <c r="J28" s="213"/>
    </row>
    <row r="29" spans="1:10" ht="15.75" customHeight="1">
      <c r="A29" s="306" t="s">
        <v>115</v>
      </c>
      <c r="B29" s="240">
        <v>55</v>
      </c>
      <c r="C29" s="241">
        <v>45</v>
      </c>
      <c r="D29" s="241">
        <v>10</v>
      </c>
      <c r="E29" s="241">
        <v>77</v>
      </c>
      <c r="F29" s="241">
        <v>57</v>
      </c>
      <c r="G29" s="241">
        <v>20</v>
      </c>
      <c r="H29" s="241">
        <v>96</v>
      </c>
      <c r="I29" s="241">
        <v>68</v>
      </c>
      <c r="J29" s="241">
        <v>28</v>
      </c>
    </row>
    <row r="30" spans="1:10" ht="9" customHeight="1">
      <c r="A30" s="276"/>
      <c r="B30" s="242"/>
      <c r="C30" s="213"/>
      <c r="D30" s="213"/>
      <c r="E30" s="213"/>
      <c r="F30" s="213"/>
      <c r="G30" s="213"/>
      <c r="H30" s="213"/>
      <c r="I30" s="213"/>
      <c r="J30" s="213"/>
    </row>
    <row r="31" spans="1:10" ht="15.75" customHeight="1">
      <c r="A31" s="309" t="s">
        <v>161</v>
      </c>
      <c r="B31" s="242">
        <v>0</v>
      </c>
      <c r="C31" s="213">
        <v>0</v>
      </c>
      <c r="D31" s="326">
        <v>0</v>
      </c>
      <c r="E31" s="326">
        <v>3</v>
      </c>
      <c r="F31" s="326">
        <v>2</v>
      </c>
      <c r="G31" s="326">
        <v>1</v>
      </c>
      <c r="H31" s="326">
        <v>3</v>
      </c>
      <c r="I31" s="326">
        <v>3</v>
      </c>
      <c r="J31" s="326">
        <v>0</v>
      </c>
    </row>
    <row r="32" spans="1:10" ht="15.75" customHeight="1">
      <c r="A32" s="309" t="s">
        <v>162</v>
      </c>
      <c r="B32" s="242">
        <v>27</v>
      </c>
      <c r="C32" s="213">
        <v>27</v>
      </c>
      <c r="D32" s="213">
        <v>0</v>
      </c>
      <c r="E32" s="213">
        <v>28</v>
      </c>
      <c r="F32" s="213">
        <v>27</v>
      </c>
      <c r="G32" s="213">
        <v>1</v>
      </c>
      <c r="H32" s="213">
        <v>44</v>
      </c>
      <c r="I32" s="213">
        <v>44</v>
      </c>
      <c r="J32" s="326">
        <v>0</v>
      </c>
    </row>
    <row r="33" spans="1:10" ht="15.75" customHeight="1">
      <c r="A33" s="309" t="s">
        <v>163</v>
      </c>
      <c r="B33" s="242">
        <v>26</v>
      </c>
      <c r="C33" s="213">
        <v>16</v>
      </c>
      <c r="D33" s="213">
        <v>10</v>
      </c>
      <c r="E33" s="213">
        <v>44</v>
      </c>
      <c r="F33" s="213">
        <v>27</v>
      </c>
      <c r="G33" s="213">
        <v>17</v>
      </c>
      <c r="H33" s="213">
        <v>48</v>
      </c>
      <c r="I33" s="213">
        <v>20</v>
      </c>
      <c r="J33" s="213">
        <v>28</v>
      </c>
    </row>
    <row r="34" spans="1:10" ht="15.75" customHeight="1">
      <c r="A34" s="179" t="s">
        <v>164</v>
      </c>
      <c r="B34" s="316">
        <v>2</v>
      </c>
      <c r="C34" s="220">
        <v>2</v>
      </c>
      <c r="D34" s="220">
        <v>0</v>
      </c>
      <c r="E34" s="220">
        <v>2</v>
      </c>
      <c r="F34" s="220">
        <v>1</v>
      </c>
      <c r="G34" s="220">
        <v>1</v>
      </c>
      <c r="H34" s="220">
        <v>1</v>
      </c>
      <c r="I34" s="220">
        <v>1</v>
      </c>
      <c r="J34" s="220">
        <v>0</v>
      </c>
    </row>
    <row r="35" spans="1:10" ht="13.5">
      <c r="A35" s="109" t="s">
        <v>165</v>
      </c>
      <c r="B35" s="288"/>
      <c r="C35" s="288"/>
      <c r="D35" s="288"/>
      <c r="E35" s="288"/>
      <c r="F35" s="288"/>
      <c r="G35" s="288"/>
      <c r="H35" s="288"/>
      <c r="I35" s="288"/>
      <c r="J35" s="288"/>
    </row>
    <row r="36" ht="13.5">
      <c r="A36" s="329" t="s">
        <v>166</v>
      </c>
    </row>
  </sheetData>
  <sheetProtection password="EE7F" sheet="1"/>
  <mergeCells count="1"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32.421875" style="35" customWidth="1"/>
    <col min="2" max="2" width="8.7109375" style="35" customWidth="1"/>
    <col min="3" max="3" width="8.140625" style="35" customWidth="1"/>
    <col min="4" max="15" width="7.421875" style="35" customWidth="1"/>
    <col min="16" max="16384" width="9.00390625" style="35" customWidth="1"/>
  </cols>
  <sheetData>
    <row r="1" spans="1:15" ht="13.5">
      <c r="A1" s="232"/>
      <c r="B1" s="70" t="s">
        <v>81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69"/>
    </row>
    <row r="2" spans="1:15" ht="13.5">
      <c r="A2" s="70"/>
      <c r="B2" s="233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9"/>
    </row>
    <row r="3" spans="1:15" ht="14.25">
      <c r="A3" s="234" t="s">
        <v>82</v>
      </c>
      <c r="B3" s="23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91"/>
    </row>
    <row r="4" spans="1:15" ht="13.5">
      <c r="A4" s="33"/>
      <c r="B4" s="236" t="s">
        <v>83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91"/>
    </row>
    <row r="5" spans="1:15" ht="14.2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191"/>
    </row>
    <row r="6" spans="1:15" s="30" customFormat="1" ht="16.5" customHeight="1" thickTop="1">
      <c r="A6" s="237"/>
      <c r="B6" s="177" t="s">
        <v>84</v>
      </c>
      <c r="C6" s="365" t="s">
        <v>52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</row>
    <row r="7" spans="1:15" s="30" customFormat="1" ht="16.5" customHeight="1">
      <c r="A7" s="47" t="s">
        <v>49</v>
      </c>
      <c r="B7" s="178" t="s">
        <v>85</v>
      </c>
      <c r="C7" s="340" t="s">
        <v>53</v>
      </c>
      <c r="D7" s="101" t="s">
        <v>86</v>
      </c>
      <c r="E7" s="102"/>
      <c r="F7" s="101" t="s">
        <v>87</v>
      </c>
      <c r="G7" s="102"/>
      <c r="H7" s="102"/>
      <c r="I7" s="102"/>
      <c r="J7" s="102"/>
      <c r="K7" s="102"/>
      <c r="L7" s="102"/>
      <c r="M7" s="102"/>
      <c r="N7" s="102"/>
      <c r="O7" s="102"/>
    </row>
    <row r="8" spans="1:15" s="30" customFormat="1" ht="16.5" customHeight="1">
      <c r="A8" s="238"/>
      <c r="B8" s="79" t="s">
        <v>88</v>
      </c>
      <c r="C8" s="341"/>
      <c r="D8" s="41" t="s">
        <v>54</v>
      </c>
      <c r="E8" s="42" t="s">
        <v>55</v>
      </c>
      <c r="F8" s="42" t="s">
        <v>89</v>
      </c>
      <c r="G8" s="42" t="s">
        <v>90</v>
      </c>
      <c r="H8" s="42" t="s">
        <v>91</v>
      </c>
      <c r="I8" s="42" t="s">
        <v>92</v>
      </c>
      <c r="J8" s="42" t="s">
        <v>93</v>
      </c>
      <c r="K8" s="42" t="s">
        <v>94</v>
      </c>
      <c r="L8" s="42" t="s">
        <v>95</v>
      </c>
      <c r="M8" s="42" t="s">
        <v>96</v>
      </c>
      <c r="N8" s="124" t="s">
        <v>97</v>
      </c>
      <c r="O8" s="124" t="s">
        <v>98</v>
      </c>
    </row>
    <row r="9" spans="1:15" s="30" customFormat="1" ht="16.5" customHeight="1">
      <c r="A9" s="56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174"/>
    </row>
    <row r="10" spans="1:15" s="30" customFormat="1" ht="16.5" customHeight="1">
      <c r="A10" s="57" t="s">
        <v>99</v>
      </c>
      <c r="B10" s="240">
        <v>11591</v>
      </c>
      <c r="C10" s="241">
        <v>11813</v>
      </c>
      <c r="D10" s="241">
        <v>5959</v>
      </c>
      <c r="E10" s="241">
        <v>5854</v>
      </c>
      <c r="F10" s="241">
        <f>3224+3574</f>
        <v>6798</v>
      </c>
      <c r="G10" s="241">
        <f>187+186</f>
        <v>373</v>
      </c>
      <c r="H10" s="241">
        <f>1646+78</f>
        <v>1724</v>
      </c>
      <c r="I10" s="241">
        <f>412+829</f>
        <v>1241</v>
      </c>
      <c r="J10" s="241">
        <f>24+1</f>
        <v>25</v>
      </c>
      <c r="K10" s="241">
        <f>15+279</f>
        <v>294</v>
      </c>
      <c r="L10" s="241">
        <f>6+174</f>
        <v>180</v>
      </c>
      <c r="M10" s="241">
        <f>31+76</f>
        <v>107</v>
      </c>
      <c r="N10" s="241">
        <f>153+135</f>
        <v>288</v>
      </c>
      <c r="O10" s="241">
        <f>261+522</f>
        <v>783</v>
      </c>
    </row>
    <row r="11" spans="1:15" s="30" customFormat="1" ht="11.25" customHeight="1">
      <c r="A11" s="56"/>
      <c r="B11" s="24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193"/>
    </row>
    <row r="12" spans="1:15" s="30" customFormat="1" ht="16.5" customHeight="1">
      <c r="A12" s="60" t="s">
        <v>100</v>
      </c>
      <c r="B12" s="242">
        <v>4887</v>
      </c>
      <c r="C12" s="213">
        <v>4893</v>
      </c>
      <c r="D12" s="213">
        <v>2186</v>
      </c>
      <c r="E12" s="213">
        <v>2707</v>
      </c>
      <c r="F12" s="213">
        <f>1781+2119</f>
        <v>3900</v>
      </c>
      <c r="G12" s="213">
        <f>12+20</f>
        <v>32</v>
      </c>
      <c r="H12" s="213">
        <f>105+4</f>
        <v>109</v>
      </c>
      <c r="I12" s="213">
        <f>121+119</f>
        <v>240</v>
      </c>
      <c r="J12" s="213">
        <v>8</v>
      </c>
      <c r="K12" s="213">
        <v>57</v>
      </c>
      <c r="L12" s="213">
        <f>1+105</f>
        <v>106</v>
      </c>
      <c r="M12" s="213">
        <f>3+17</f>
        <v>20</v>
      </c>
      <c r="N12" s="213">
        <f>91+91</f>
        <v>182</v>
      </c>
      <c r="O12" s="193">
        <f>64+175</f>
        <v>239</v>
      </c>
    </row>
    <row r="13" spans="1:15" s="30" customFormat="1" ht="16.5" customHeight="1">
      <c r="A13" s="195" t="s">
        <v>101</v>
      </c>
      <c r="B13" s="242">
        <v>4105</v>
      </c>
      <c r="C13" s="213">
        <v>4154</v>
      </c>
      <c r="D13" s="213">
        <v>2129</v>
      </c>
      <c r="E13" s="213">
        <v>2025</v>
      </c>
      <c r="F13" s="213">
        <f>1747+1736</f>
        <v>3483</v>
      </c>
      <c r="G13" s="213">
        <f>11+9</f>
        <v>20</v>
      </c>
      <c r="H13" s="213">
        <f>99+3</f>
        <v>102</v>
      </c>
      <c r="I13" s="213">
        <f>116+70</f>
        <v>186</v>
      </c>
      <c r="J13" s="213">
        <v>2</v>
      </c>
      <c r="K13" s="213">
        <v>12</v>
      </c>
      <c r="L13" s="213">
        <v>5</v>
      </c>
      <c r="M13" s="213">
        <f>3+4</f>
        <v>7</v>
      </c>
      <c r="N13" s="213">
        <f>90+88</f>
        <v>178</v>
      </c>
      <c r="O13" s="193">
        <f>61+98</f>
        <v>159</v>
      </c>
    </row>
    <row r="14" spans="1:15" s="30" customFormat="1" ht="16.5" customHeight="1">
      <c r="A14" s="195" t="s">
        <v>102</v>
      </c>
      <c r="B14" s="242">
        <v>668</v>
      </c>
      <c r="C14" s="213">
        <v>632</v>
      </c>
      <c r="D14" s="213">
        <v>50</v>
      </c>
      <c r="E14" s="213">
        <v>582</v>
      </c>
      <c r="F14" s="213">
        <f>34+381</f>
        <v>415</v>
      </c>
      <c r="G14" s="213">
        <f>1+11</f>
        <v>12</v>
      </c>
      <c r="H14" s="213">
        <f>6+1</f>
        <v>7</v>
      </c>
      <c r="I14" s="213">
        <f>5+49</f>
        <v>54</v>
      </c>
      <c r="J14" s="213">
        <v>0</v>
      </c>
      <c r="K14" s="213">
        <v>45</v>
      </c>
      <c r="L14" s="213">
        <v>4</v>
      </c>
      <c r="M14" s="213">
        <v>11</v>
      </c>
      <c r="N14" s="213">
        <f>1+3</f>
        <v>4</v>
      </c>
      <c r="O14" s="193">
        <f>3+77</f>
        <v>80</v>
      </c>
    </row>
    <row r="15" spans="1:15" s="30" customFormat="1" ht="33" customHeight="1">
      <c r="A15" s="243" t="s">
        <v>103</v>
      </c>
      <c r="B15" s="242">
        <v>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</row>
    <row r="16" spans="1:15" s="30" customFormat="1" ht="16.5" customHeight="1">
      <c r="A16" s="195" t="s">
        <v>104</v>
      </c>
      <c r="B16" s="242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</row>
    <row r="17" spans="1:15" s="30" customFormat="1" ht="16.5" customHeight="1">
      <c r="A17" s="195" t="s">
        <v>105</v>
      </c>
      <c r="B17" s="242">
        <v>110</v>
      </c>
      <c r="C17" s="213">
        <v>107</v>
      </c>
      <c r="D17" s="213">
        <v>7</v>
      </c>
      <c r="E17" s="213">
        <v>100</v>
      </c>
      <c r="F17" s="213">
        <v>2</v>
      </c>
      <c r="G17" s="213">
        <v>0</v>
      </c>
      <c r="H17" s="213">
        <v>0</v>
      </c>
      <c r="I17" s="213">
        <v>0</v>
      </c>
      <c r="J17" s="213">
        <v>6</v>
      </c>
      <c r="K17" s="213">
        <v>0</v>
      </c>
      <c r="L17" s="213">
        <f>1+96</f>
        <v>97</v>
      </c>
      <c r="M17" s="213">
        <v>2</v>
      </c>
      <c r="N17" s="213">
        <v>0</v>
      </c>
      <c r="O17" s="213">
        <v>0</v>
      </c>
    </row>
    <row r="18" spans="1:15" s="30" customFormat="1" ht="16.5" customHeight="1">
      <c r="A18" s="195" t="s">
        <v>106</v>
      </c>
      <c r="B18" s="242">
        <v>1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</row>
    <row r="19" spans="1:15" s="30" customFormat="1" ht="11.25" customHeight="1">
      <c r="A19" s="60"/>
      <c r="B19" s="24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193"/>
    </row>
    <row r="20" spans="1:15" s="30" customFormat="1" ht="16.5" customHeight="1">
      <c r="A20" s="60" t="s">
        <v>107</v>
      </c>
      <c r="B20" s="242">
        <v>1974</v>
      </c>
      <c r="C20" s="213">
        <v>2093</v>
      </c>
      <c r="D20" s="213">
        <v>758</v>
      </c>
      <c r="E20" s="213">
        <v>1335</v>
      </c>
      <c r="F20" s="213">
        <f>418+704</f>
        <v>1122</v>
      </c>
      <c r="G20" s="213">
        <f>14+48</f>
        <v>62</v>
      </c>
      <c r="H20" s="213">
        <f>126+14</f>
        <v>140</v>
      </c>
      <c r="I20" s="213">
        <f>105+231</f>
        <v>336</v>
      </c>
      <c r="J20" s="213">
        <v>3</v>
      </c>
      <c r="K20" s="213">
        <f>11+77</f>
        <v>88</v>
      </c>
      <c r="L20" s="213">
        <f>3+60</f>
        <v>63</v>
      </c>
      <c r="M20" s="213">
        <f>8+15</f>
        <v>23</v>
      </c>
      <c r="N20" s="213">
        <f>1+13</f>
        <v>14</v>
      </c>
      <c r="O20" s="193">
        <f>69+173</f>
        <v>242</v>
      </c>
    </row>
    <row r="21" spans="1:15" s="30" customFormat="1" ht="16.5" customHeight="1">
      <c r="A21" s="60" t="s">
        <v>108</v>
      </c>
      <c r="B21" s="242">
        <v>938</v>
      </c>
      <c r="C21" s="213">
        <v>1013</v>
      </c>
      <c r="D21" s="213">
        <v>632</v>
      </c>
      <c r="E21" s="213">
        <v>381</v>
      </c>
      <c r="F21" s="213">
        <f>488+265</f>
        <v>753</v>
      </c>
      <c r="G21" s="213">
        <f>33+21</f>
        <v>54</v>
      </c>
      <c r="H21" s="213">
        <f>28+2</f>
        <v>30</v>
      </c>
      <c r="I21" s="213">
        <f>11+7</f>
        <v>18</v>
      </c>
      <c r="J21" s="213">
        <v>0</v>
      </c>
      <c r="K21" s="213">
        <v>10</v>
      </c>
      <c r="L21" s="213">
        <v>0</v>
      </c>
      <c r="M21" s="213">
        <v>0</v>
      </c>
      <c r="N21" s="213">
        <f>59+29</f>
        <v>88</v>
      </c>
      <c r="O21" s="193">
        <f>13+47</f>
        <v>60</v>
      </c>
    </row>
    <row r="22" spans="1:15" s="30" customFormat="1" ht="16.5" customHeight="1">
      <c r="A22" s="60" t="s">
        <v>109</v>
      </c>
      <c r="B22" s="242">
        <v>74</v>
      </c>
      <c r="C22" s="213">
        <v>95</v>
      </c>
      <c r="D22" s="213">
        <v>89</v>
      </c>
      <c r="E22" s="213">
        <v>6</v>
      </c>
      <c r="F22" s="213">
        <f>53+5</f>
        <v>58</v>
      </c>
      <c r="G22" s="213">
        <v>8</v>
      </c>
      <c r="H22" s="213">
        <v>22</v>
      </c>
      <c r="I22" s="213">
        <f>3+1</f>
        <v>4</v>
      </c>
      <c r="J22" s="213">
        <v>1</v>
      </c>
      <c r="K22" s="213">
        <v>0</v>
      </c>
      <c r="L22" s="213">
        <v>0</v>
      </c>
      <c r="M22" s="213">
        <v>0</v>
      </c>
      <c r="N22" s="213">
        <v>0</v>
      </c>
      <c r="O22" s="193">
        <v>2</v>
      </c>
    </row>
    <row r="23" spans="1:15" s="30" customFormat="1" ht="16.5" customHeight="1">
      <c r="A23" s="60" t="s">
        <v>110</v>
      </c>
      <c r="B23" s="242">
        <v>3336</v>
      </c>
      <c r="C23" s="213">
        <v>3261</v>
      </c>
      <c r="D23" s="213">
        <v>2087</v>
      </c>
      <c r="E23" s="213">
        <v>1174</v>
      </c>
      <c r="F23" s="213">
        <f>341+327</f>
        <v>668</v>
      </c>
      <c r="G23" s="213">
        <f>118+91</f>
        <v>209</v>
      </c>
      <c r="H23" s="213">
        <f>1330+55</f>
        <v>1385</v>
      </c>
      <c r="I23" s="213">
        <f>157+439</f>
        <v>596</v>
      </c>
      <c r="J23" s="213">
        <f>12+1</f>
        <v>13</v>
      </c>
      <c r="K23" s="213">
        <f>3+104</f>
        <v>107</v>
      </c>
      <c r="L23" s="213">
        <f>1+7</f>
        <v>8</v>
      </c>
      <c r="M23" s="213">
        <f>17+41</f>
        <v>58</v>
      </c>
      <c r="N23" s="213">
        <f>1+1</f>
        <v>2</v>
      </c>
      <c r="O23" s="193">
        <f>107+108</f>
        <v>215</v>
      </c>
    </row>
    <row r="24" spans="1:15" s="30" customFormat="1" ht="16.5" customHeight="1">
      <c r="A24" s="60" t="s">
        <v>111</v>
      </c>
      <c r="B24" s="242">
        <v>81</v>
      </c>
      <c r="C24" s="213">
        <v>70</v>
      </c>
      <c r="D24" s="213">
        <v>9</v>
      </c>
      <c r="E24" s="213">
        <v>61</v>
      </c>
      <c r="F24" s="213">
        <f>8+35</f>
        <v>43</v>
      </c>
      <c r="G24" s="213">
        <v>2</v>
      </c>
      <c r="H24" s="213">
        <v>3</v>
      </c>
      <c r="I24" s="213">
        <f>1+8</f>
        <v>9</v>
      </c>
      <c r="J24" s="213">
        <v>0</v>
      </c>
      <c r="K24" s="213">
        <v>3</v>
      </c>
      <c r="L24" s="213">
        <v>0</v>
      </c>
      <c r="M24" s="213">
        <v>1</v>
      </c>
      <c r="N24" s="213">
        <v>0</v>
      </c>
      <c r="O24" s="193">
        <v>9</v>
      </c>
    </row>
    <row r="25" spans="1:15" s="30" customFormat="1" ht="16.5" customHeight="1">
      <c r="A25" s="60" t="s">
        <v>112</v>
      </c>
      <c r="B25" s="242">
        <v>300</v>
      </c>
      <c r="C25" s="213">
        <v>388</v>
      </c>
      <c r="D25" s="213">
        <v>198</v>
      </c>
      <c r="E25" s="213">
        <v>190</v>
      </c>
      <c r="F25" s="213">
        <f>135+119</f>
        <v>254</v>
      </c>
      <c r="G25" s="213">
        <f>2+4</f>
        <v>6</v>
      </c>
      <c r="H25" s="213">
        <v>35</v>
      </c>
      <c r="I25" s="213">
        <f>14+24</f>
        <v>38</v>
      </c>
      <c r="J25" s="213">
        <v>0</v>
      </c>
      <c r="K25" s="213">
        <f>1+28</f>
        <v>29</v>
      </c>
      <c r="L25" s="213">
        <f>1+2</f>
        <v>3</v>
      </c>
      <c r="M25" s="213">
        <f>3+2</f>
        <v>5</v>
      </c>
      <c r="N25" s="213">
        <f>1+1</f>
        <v>2</v>
      </c>
      <c r="O25" s="193">
        <f>6+10</f>
        <v>16</v>
      </c>
    </row>
    <row r="26" spans="1:15" s="30" customFormat="1" ht="16.5" customHeight="1">
      <c r="A26" s="60" t="s">
        <v>113</v>
      </c>
      <c r="B26" s="242">
        <v>1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</row>
    <row r="27" spans="1:15" s="30" customFormat="1" ht="11.25" customHeight="1">
      <c r="A27" s="60"/>
      <c r="B27" s="24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196"/>
    </row>
    <row r="28" spans="1:15" s="30" customFormat="1" ht="16.5" customHeight="1">
      <c r="A28" s="60" t="s">
        <v>114</v>
      </c>
      <c r="B28" s="242">
        <v>42</v>
      </c>
      <c r="C28" s="213">
        <f>19+4+2</f>
        <v>25</v>
      </c>
      <c r="D28" s="213">
        <f>1+2</f>
        <v>3</v>
      </c>
      <c r="E28" s="213">
        <f>19+3</f>
        <v>22</v>
      </c>
      <c r="F28" s="213">
        <f>1+2+1+3</f>
        <v>7</v>
      </c>
      <c r="G28" s="213">
        <v>1</v>
      </c>
      <c r="H28" s="213">
        <v>0</v>
      </c>
      <c r="I28" s="213">
        <v>4</v>
      </c>
      <c r="J28" s="213">
        <v>0</v>
      </c>
      <c r="K28" s="213">
        <v>0</v>
      </c>
      <c r="L28" s="213">
        <v>6</v>
      </c>
      <c r="M28" s="213">
        <v>0</v>
      </c>
      <c r="N28" s="213">
        <v>0</v>
      </c>
      <c r="O28" s="213">
        <v>7</v>
      </c>
    </row>
    <row r="29" spans="1:15" s="30" customFormat="1" ht="16.5" customHeight="1">
      <c r="A29" s="60"/>
      <c r="B29" s="24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196"/>
    </row>
    <row r="30" spans="1:15" s="30" customFormat="1" ht="16.5" customHeight="1">
      <c r="A30" s="57" t="s">
        <v>115</v>
      </c>
      <c r="B30" s="240">
        <v>3378</v>
      </c>
      <c r="C30" s="241">
        <v>3286</v>
      </c>
      <c r="D30" s="241">
        <v>2090</v>
      </c>
      <c r="E30" s="241">
        <v>1196</v>
      </c>
      <c r="F30" s="241">
        <f>344+331</f>
        <v>675</v>
      </c>
      <c r="G30" s="241">
        <f>118+92</f>
        <v>210</v>
      </c>
      <c r="H30" s="241">
        <f>1330+55</f>
        <v>1385</v>
      </c>
      <c r="I30" s="241">
        <f>157+443</f>
        <v>600</v>
      </c>
      <c r="J30" s="241">
        <f>12+1</f>
        <v>13</v>
      </c>
      <c r="K30" s="241">
        <f>3+104</f>
        <v>107</v>
      </c>
      <c r="L30" s="241">
        <f>1+13</f>
        <v>14</v>
      </c>
      <c r="M30" s="241">
        <f>17+41</f>
        <v>58</v>
      </c>
      <c r="N30" s="241">
        <f>1+1</f>
        <v>2</v>
      </c>
      <c r="O30" s="225">
        <f>107+115</f>
        <v>222</v>
      </c>
    </row>
    <row r="31" spans="1:15" s="30" customFormat="1" ht="11.25" customHeight="1">
      <c r="A31" s="60"/>
      <c r="B31" s="24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196"/>
    </row>
    <row r="32" spans="1:15" s="30" customFormat="1" ht="16.5" customHeight="1">
      <c r="A32" s="60" t="s">
        <v>116</v>
      </c>
      <c r="B32" s="242">
        <v>26</v>
      </c>
      <c r="C32" s="213">
        <v>16</v>
      </c>
      <c r="D32" s="213">
        <v>10</v>
      </c>
      <c r="E32" s="213">
        <v>6</v>
      </c>
      <c r="F32" s="213">
        <v>2</v>
      </c>
      <c r="G32" s="213">
        <f>4+1</f>
        <v>5</v>
      </c>
      <c r="H32" s="213">
        <v>2</v>
      </c>
      <c r="I32" s="213">
        <f>1+3</f>
        <v>4</v>
      </c>
      <c r="J32" s="213">
        <v>1</v>
      </c>
      <c r="K32" s="213">
        <v>0</v>
      </c>
      <c r="L32" s="213">
        <v>0</v>
      </c>
      <c r="M32" s="213">
        <v>0</v>
      </c>
      <c r="N32" s="213">
        <v>0</v>
      </c>
      <c r="O32" s="213">
        <v>2</v>
      </c>
    </row>
    <row r="33" spans="1:15" s="30" customFormat="1" ht="16.5" customHeight="1">
      <c r="A33" s="195" t="s">
        <v>28</v>
      </c>
      <c r="B33" s="242">
        <v>16</v>
      </c>
      <c r="C33" s="213">
        <v>11</v>
      </c>
      <c r="D33" s="213">
        <v>5</v>
      </c>
      <c r="E33" s="213">
        <v>6</v>
      </c>
      <c r="F33" s="213">
        <v>1</v>
      </c>
      <c r="G33" s="213">
        <f>4+1</f>
        <v>5</v>
      </c>
      <c r="H33" s="213">
        <v>0</v>
      </c>
      <c r="I33" s="213">
        <v>3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2</v>
      </c>
    </row>
    <row r="34" spans="1:15" s="30" customFormat="1" ht="16.5" customHeight="1">
      <c r="A34" s="195" t="s">
        <v>117</v>
      </c>
      <c r="B34" s="242">
        <v>10</v>
      </c>
      <c r="C34" s="213">
        <v>5</v>
      </c>
      <c r="D34" s="213">
        <v>5</v>
      </c>
      <c r="E34" s="213">
        <v>0</v>
      </c>
      <c r="F34" s="213">
        <v>1</v>
      </c>
      <c r="G34" s="213">
        <v>0</v>
      </c>
      <c r="H34" s="213">
        <v>2</v>
      </c>
      <c r="I34" s="213">
        <v>1</v>
      </c>
      <c r="J34" s="213">
        <v>1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</row>
    <row r="35" spans="1:15" s="30" customFormat="1" ht="11.25" customHeight="1">
      <c r="A35" s="60"/>
      <c r="B35" s="24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196"/>
    </row>
    <row r="36" spans="1:15" s="30" customFormat="1" ht="16.5" customHeight="1">
      <c r="A36" s="60" t="s">
        <v>118</v>
      </c>
      <c r="B36" s="242">
        <v>1729</v>
      </c>
      <c r="C36" s="213">
        <v>1619</v>
      </c>
      <c r="D36" s="213">
        <v>1339</v>
      </c>
      <c r="E36" s="213">
        <v>280</v>
      </c>
      <c r="F36" s="213">
        <f>129+76</f>
        <v>205</v>
      </c>
      <c r="G36" s="213">
        <f>53+21</f>
        <v>74</v>
      </c>
      <c r="H36" s="213">
        <f>1003+35</f>
        <v>1038</v>
      </c>
      <c r="I36" s="213">
        <f>70+101</f>
        <v>171</v>
      </c>
      <c r="J36" s="213">
        <f>6+1</f>
        <v>7</v>
      </c>
      <c r="K36" s="213">
        <f>1+26</f>
        <v>27</v>
      </c>
      <c r="L36" s="213">
        <v>0</v>
      </c>
      <c r="M36" s="213">
        <f>4+1</f>
        <v>5</v>
      </c>
      <c r="N36" s="213">
        <v>0</v>
      </c>
      <c r="O36" s="196">
        <f>73+19</f>
        <v>92</v>
      </c>
    </row>
    <row r="37" spans="1:15" s="30" customFormat="1" ht="16.5" customHeight="1">
      <c r="A37" s="195" t="s">
        <v>31</v>
      </c>
      <c r="B37" s="242">
        <v>7</v>
      </c>
      <c r="C37" s="213">
        <v>4</v>
      </c>
      <c r="D37" s="213">
        <v>3</v>
      </c>
      <c r="E37" s="213">
        <v>1</v>
      </c>
      <c r="F37" s="213">
        <v>1</v>
      </c>
      <c r="G37" s="213">
        <v>1</v>
      </c>
      <c r="H37" s="213">
        <v>1</v>
      </c>
      <c r="I37" s="213">
        <v>1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</row>
    <row r="38" spans="1:15" s="30" customFormat="1" ht="16.5" customHeight="1">
      <c r="A38" s="195" t="s">
        <v>119</v>
      </c>
      <c r="B38" s="242">
        <v>215</v>
      </c>
      <c r="C38" s="213">
        <v>260</v>
      </c>
      <c r="D38" s="213">
        <v>241</v>
      </c>
      <c r="E38" s="213">
        <v>19</v>
      </c>
      <c r="F38" s="213">
        <f>35+6</f>
        <v>41</v>
      </c>
      <c r="G38" s="213">
        <v>10</v>
      </c>
      <c r="H38" s="213">
        <f>167+4</f>
        <v>171</v>
      </c>
      <c r="I38" s="213">
        <f>11+8</f>
        <v>19</v>
      </c>
      <c r="J38" s="213">
        <v>0</v>
      </c>
      <c r="K38" s="213">
        <v>1</v>
      </c>
      <c r="L38" s="213">
        <v>0</v>
      </c>
      <c r="M38" s="213">
        <v>1</v>
      </c>
      <c r="N38" s="213">
        <v>0</v>
      </c>
      <c r="O38" s="193">
        <f>16+1</f>
        <v>17</v>
      </c>
    </row>
    <row r="39" spans="1:15" s="30" customFormat="1" ht="16.5" customHeight="1">
      <c r="A39" s="195" t="s">
        <v>120</v>
      </c>
      <c r="B39" s="242">
        <v>1507</v>
      </c>
      <c r="C39" s="213">
        <v>1355</v>
      </c>
      <c r="D39" s="213">
        <v>1095</v>
      </c>
      <c r="E39" s="213">
        <v>260</v>
      </c>
      <c r="F39" s="213">
        <f>94+69</f>
        <v>163</v>
      </c>
      <c r="G39" s="213">
        <f>42+21</f>
        <v>63</v>
      </c>
      <c r="H39" s="213">
        <f>835+31</f>
        <v>866</v>
      </c>
      <c r="I39" s="213">
        <f>58+93</f>
        <v>151</v>
      </c>
      <c r="J39" s="213">
        <f>6+1</f>
        <v>7</v>
      </c>
      <c r="K39" s="213">
        <v>26</v>
      </c>
      <c r="L39" s="213">
        <v>0</v>
      </c>
      <c r="M39" s="213">
        <f>3+1</f>
        <v>4</v>
      </c>
      <c r="N39" s="213">
        <v>0</v>
      </c>
      <c r="O39" s="193">
        <f>57+18</f>
        <v>75</v>
      </c>
    </row>
    <row r="40" spans="1:15" s="30" customFormat="1" ht="11.25" customHeight="1">
      <c r="A40" s="60"/>
      <c r="B40" s="242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193"/>
    </row>
    <row r="41" spans="1:15" s="30" customFormat="1" ht="16.5" customHeight="1">
      <c r="A41" s="60" t="s">
        <v>121</v>
      </c>
      <c r="B41" s="242">
        <v>1540</v>
      </c>
      <c r="C41" s="213">
        <v>1604</v>
      </c>
      <c r="D41" s="213">
        <v>706</v>
      </c>
      <c r="E41" s="213">
        <v>898</v>
      </c>
      <c r="F41" s="213">
        <f>213+255</f>
        <v>468</v>
      </c>
      <c r="G41" s="213">
        <f>54+65</f>
        <v>119</v>
      </c>
      <c r="H41" s="213">
        <f>298+18</f>
        <v>316</v>
      </c>
      <c r="I41" s="213">
        <f>86+336</f>
        <v>422</v>
      </c>
      <c r="J41" s="213">
        <v>5</v>
      </c>
      <c r="K41" s="213">
        <f>2+78</f>
        <v>80</v>
      </c>
      <c r="L41" s="213">
        <v>13</v>
      </c>
      <c r="M41" s="213">
        <f>13+40</f>
        <v>53</v>
      </c>
      <c r="N41" s="213">
        <f>1+1</f>
        <v>2</v>
      </c>
      <c r="O41" s="193">
        <f>34+92</f>
        <v>126</v>
      </c>
    </row>
    <row r="42" spans="1:15" s="30" customFormat="1" ht="16.5" customHeight="1">
      <c r="A42" s="195" t="s">
        <v>122</v>
      </c>
      <c r="B42" s="242">
        <v>68</v>
      </c>
      <c r="C42" s="213">
        <v>59</v>
      </c>
      <c r="D42" s="213">
        <v>49</v>
      </c>
      <c r="E42" s="213">
        <v>10</v>
      </c>
      <c r="F42" s="213">
        <f>5+3</f>
        <v>8</v>
      </c>
      <c r="G42" s="213">
        <v>3</v>
      </c>
      <c r="H42" s="213">
        <f>38+1</f>
        <v>39</v>
      </c>
      <c r="I42" s="213">
        <v>5</v>
      </c>
      <c r="J42" s="213">
        <v>0</v>
      </c>
      <c r="K42" s="213">
        <v>1</v>
      </c>
      <c r="L42" s="213">
        <v>0</v>
      </c>
      <c r="M42" s="213">
        <v>0</v>
      </c>
      <c r="N42" s="213">
        <v>0</v>
      </c>
      <c r="O42" s="213">
        <v>3</v>
      </c>
    </row>
    <row r="43" spans="1:15" s="30" customFormat="1" ht="16.5" customHeight="1">
      <c r="A43" s="195" t="s">
        <v>123</v>
      </c>
      <c r="B43" s="242">
        <v>20</v>
      </c>
      <c r="C43" s="213">
        <v>22</v>
      </c>
      <c r="D43" s="213">
        <v>12</v>
      </c>
      <c r="E43" s="213">
        <v>10</v>
      </c>
      <c r="F43" s="213">
        <f>3+2</f>
        <v>5</v>
      </c>
      <c r="G43" s="213">
        <v>0</v>
      </c>
      <c r="H43" s="213">
        <v>5</v>
      </c>
      <c r="I43" s="213">
        <f>2+6</f>
        <v>8</v>
      </c>
      <c r="J43" s="213">
        <v>0</v>
      </c>
      <c r="K43" s="213">
        <v>2</v>
      </c>
      <c r="L43" s="213">
        <v>0</v>
      </c>
      <c r="M43" s="213">
        <v>0</v>
      </c>
      <c r="N43" s="213">
        <v>0</v>
      </c>
      <c r="O43" s="193">
        <v>2</v>
      </c>
    </row>
    <row r="44" spans="1:15" s="30" customFormat="1" ht="16.5" customHeight="1">
      <c r="A44" s="195" t="s">
        <v>124</v>
      </c>
      <c r="B44" s="242">
        <v>150</v>
      </c>
      <c r="C44" s="213">
        <v>171</v>
      </c>
      <c r="D44" s="213">
        <v>141</v>
      </c>
      <c r="E44" s="213">
        <v>30</v>
      </c>
      <c r="F44" s="213">
        <f>29+5</f>
        <v>34</v>
      </c>
      <c r="G44" s="213">
        <f>9+2</f>
        <v>11</v>
      </c>
      <c r="H44" s="213">
        <f>75+2</f>
        <v>77</v>
      </c>
      <c r="I44" s="213">
        <f>18+16</f>
        <v>34</v>
      </c>
      <c r="J44" s="213">
        <v>2</v>
      </c>
      <c r="K44" s="213">
        <v>2</v>
      </c>
      <c r="L44" s="213">
        <v>0</v>
      </c>
      <c r="M44" s="213">
        <v>3</v>
      </c>
      <c r="N44" s="213">
        <v>0</v>
      </c>
      <c r="O44" s="193">
        <f>5+3</f>
        <v>8</v>
      </c>
    </row>
    <row r="45" spans="1:15" s="30" customFormat="1" ht="16.5" customHeight="1">
      <c r="A45" s="195" t="s">
        <v>11</v>
      </c>
      <c r="B45" s="242">
        <v>323</v>
      </c>
      <c r="C45" s="213">
        <v>340</v>
      </c>
      <c r="D45" s="213">
        <v>126</v>
      </c>
      <c r="E45" s="213">
        <v>214</v>
      </c>
      <c r="F45" s="213">
        <f>33+43</f>
        <v>76</v>
      </c>
      <c r="G45" s="213">
        <f>6+12</f>
        <v>18</v>
      </c>
      <c r="H45" s="213">
        <f>60+4</f>
        <v>64</v>
      </c>
      <c r="I45" s="213">
        <f>22+103</f>
        <v>125</v>
      </c>
      <c r="J45" s="213">
        <v>0</v>
      </c>
      <c r="K45" s="213">
        <v>13</v>
      </c>
      <c r="L45" s="213">
        <v>0</v>
      </c>
      <c r="M45" s="213">
        <f>1+3</f>
        <v>4</v>
      </c>
      <c r="N45" s="213">
        <v>0</v>
      </c>
      <c r="O45" s="193">
        <f>4+36</f>
        <v>40</v>
      </c>
    </row>
    <row r="46" spans="1:15" s="30" customFormat="1" ht="16.5" customHeight="1">
      <c r="A46" s="195" t="s">
        <v>13</v>
      </c>
      <c r="B46" s="242">
        <v>46</v>
      </c>
      <c r="C46" s="213">
        <v>41</v>
      </c>
      <c r="D46" s="213">
        <v>1</v>
      </c>
      <c r="E46" s="213">
        <v>40</v>
      </c>
      <c r="F46" s="213">
        <v>3</v>
      </c>
      <c r="G46" s="213">
        <v>0</v>
      </c>
      <c r="H46" s="213">
        <v>1</v>
      </c>
      <c r="I46" s="213">
        <v>36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1</v>
      </c>
    </row>
    <row r="47" spans="1:15" s="30" customFormat="1" ht="16.5" customHeight="1">
      <c r="A47" s="195" t="s">
        <v>15</v>
      </c>
      <c r="B47" s="242">
        <v>8</v>
      </c>
      <c r="C47" s="213">
        <v>5</v>
      </c>
      <c r="D47" s="213">
        <v>2</v>
      </c>
      <c r="E47" s="213">
        <v>3</v>
      </c>
      <c r="F47" s="213">
        <v>1</v>
      </c>
      <c r="G47" s="213">
        <v>0</v>
      </c>
      <c r="H47" s="213">
        <f>1+1</f>
        <v>2</v>
      </c>
      <c r="I47" s="213">
        <v>2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</row>
    <row r="48" spans="1:15" s="30" customFormat="1" ht="16.5" customHeight="1">
      <c r="A48" s="195" t="s">
        <v>17</v>
      </c>
      <c r="B48" s="242">
        <v>43</v>
      </c>
      <c r="C48" s="213">
        <v>50</v>
      </c>
      <c r="D48" s="213">
        <v>25</v>
      </c>
      <c r="E48" s="213">
        <v>25</v>
      </c>
      <c r="F48" s="213">
        <f>4+2</f>
        <v>6</v>
      </c>
      <c r="G48" s="213">
        <v>4</v>
      </c>
      <c r="H48" s="213">
        <f>17+4</f>
        <v>21</v>
      </c>
      <c r="I48" s="213">
        <f>3+14</f>
        <v>17</v>
      </c>
      <c r="J48" s="213">
        <v>1</v>
      </c>
      <c r="K48" s="213">
        <v>1</v>
      </c>
      <c r="L48" s="213">
        <v>0</v>
      </c>
      <c r="M48" s="213">
        <v>0</v>
      </c>
      <c r="N48" s="213">
        <v>0</v>
      </c>
      <c r="O48" s="213">
        <v>0</v>
      </c>
    </row>
    <row r="49" spans="1:15" s="30" customFormat="1" ht="16.5" customHeight="1">
      <c r="A49" s="195" t="s">
        <v>19</v>
      </c>
      <c r="B49" s="242">
        <v>155</v>
      </c>
      <c r="C49" s="213">
        <v>147</v>
      </c>
      <c r="D49" s="213">
        <v>43</v>
      </c>
      <c r="E49" s="213">
        <v>104</v>
      </c>
      <c r="F49" s="213">
        <f>11+24</f>
        <v>35</v>
      </c>
      <c r="G49" s="213">
        <f>9+21</f>
        <v>30</v>
      </c>
      <c r="H49" s="213">
        <f>12+1</f>
        <v>13</v>
      </c>
      <c r="I49" s="213">
        <f>4+33</f>
        <v>37</v>
      </c>
      <c r="J49" s="213">
        <v>1</v>
      </c>
      <c r="K49" s="213">
        <f>1+15</f>
        <v>16</v>
      </c>
      <c r="L49" s="213">
        <v>0</v>
      </c>
      <c r="M49" s="213">
        <f>1+1</f>
        <v>2</v>
      </c>
      <c r="N49" s="213">
        <v>0</v>
      </c>
      <c r="O49" s="193">
        <f>4+9</f>
        <v>13</v>
      </c>
    </row>
    <row r="50" spans="1:15" s="30" customFormat="1" ht="16.5" customHeight="1">
      <c r="A50" s="195" t="s">
        <v>21</v>
      </c>
      <c r="B50" s="242">
        <v>123</v>
      </c>
      <c r="C50" s="213">
        <v>138</v>
      </c>
      <c r="D50" s="213">
        <v>41</v>
      </c>
      <c r="E50" s="213">
        <v>97</v>
      </c>
      <c r="F50" s="213">
        <f>21+49</f>
        <v>70</v>
      </c>
      <c r="G50" s="213">
        <f>4+4</f>
        <v>8</v>
      </c>
      <c r="H50" s="213">
        <f>8+2</f>
        <v>10</v>
      </c>
      <c r="I50" s="213">
        <f>6+17</f>
        <v>23</v>
      </c>
      <c r="J50" s="213">
        <v>0</v>
      </c>
      <c r="K50" s="213">
        <v>16</v>
      </c>
      <c r="L50" s="213">
        <v>0</v>
      </c>
      <c r="M50" s="213">
        <v>2</v>
      </c>
      <c r="N50" s="213">
        <v>0</v>
      </c>
      <c r="O50" s="193">
        <f>2+7</f>
        <v>9</v>
      </c>
    </row>
    <row r="51" spans="1:15" s="30" customFormat="1" ht="16.5" customHeight="1">
      <c r="A51" s="195" t="s">
        <v>125</v>
      </c>
      <c r="B51" s="242">
        <v>5</v>
      </c>
      <c r="C51" s="213">
        <v>2</v>
      </c>
      <c r="D51" s="213">
        <v>0</v>
      </c>
      <c r="E51" s="213">
        <v>2</v>
      </c>
      <c r="F51" s="213">
        <v>1</v>
      </c>
      <c r="G51" s="213">
        <v>0</v>
      </c>
      <c r="H51" s="213">
        <v>0</v>
      </c>
      <c r="I51" s="213">
        <v>1</v>
      </c>
      <c r="J51" s="213">
        <v>0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</row>
    <row r="52" spans="1:15" s="30" customFormat="1" ht="16.5" customHeight="1">
      <c r="A52" s="195" t="s">
        <v>126</v>
      </c>
      <c r="B52" s="242">
        <v>343</v>
      </c>
      <c r="C52" s="213">
        <v>328</v>
      </c>
      <c r="D52" s="213">
        <v>57</v>
      </c>
      <c r="E52" s="213">
        <v>271</v>
      </c>
      <c r="F52" s="213">
        <f>23+84</f>
        <v>107</v>
      </c>
      <c r="G52" s="213">
        <f>10+14</f>
        <v>24</v>
      </c>
      <c r="H52" s="213">
        <f>6+2</f>
        <v>8</v>
      </c>
      <c r="I52" s="213">
        <f>7+70</f>
        <v>77</v>
      </c>
      <c r="J52" s="213">
        <v>0</v>
      </c>
      <c r="K52" s="213">
        <v>26</v>
      </c>
      <c r="L52" s="213">
        <v>12</v>
      </c>
      <c r="M52" s="213">
        <f>7+34</f>
        <v>41</v>
      </c>
      <c r="N52" s="213">
        <v>1</v>
      </c>
      <c r="O52" s="193">
        <f>4+28</f>
        <v>32</v>
      </c>
    </row>
    <row r="53" spans="1:15" s="30" customFormat="1" ht="16.5" customHeight="1">
      <c r="A53" s="195" t="s">
        <v>25</v>
      </c>
      <c r="B53" s="242">
        <v>42</v>
      </c>
      <c r="C53" s="213">
        <v>44</v>
      </c>
      <c r="D53" s="213">
        <v>12</v>
      </c>
      <c r="E53" s="213">
        <v>32</v>
      </c>
      <c r="F53" s="213">
        <f>3+6</f>
        <v>9</v>
      </c>
      <c r="G53" s="213">
        <v>2</v>
      </c>
      <c r="H53" s="213">
        <v>4</v>
      </c>
      <c r="I53" s="213">
        <f>4+17</f>
        <v>21</v>
      </c>
      <c r="J53" s="213">
        <v>0</v>
      </c>
      <c r="K53" s="213">
        <v>2</v>
      </c>
      <c r="L53" s="213">
        <v>0</v>
      </c>
      <c r="M53" s="213">
        <v>0</v>
      </c>
      <c r="N53" s="213">
        <v>0</v>
      </c>
      <c r="O53" s="193">
        <f>1+5</f>
        <v>6</v>
      </c>
    </row>
    <row r="54" spans="1:15" s="30" customFormat="1" ht="16.5" customHeight="1">
      <c r="A54" s="195" t="s">
        <v>26</v>
      </c>
      <c r="B54" s="242">
        <v>77</v>
      </c>
      <c r="C54" s="213">
        <v>88</v>
      </c>
      <c r="D54" s="213">
        <v>58</v>
      </c>
      <c r="E54" s="213">
        <v>30</v>
      </c>
      <c r="F54" s="213">
        <f>9+10</f>
        <v>19</v>
      </c>
      <c r="G54" s="213">
        <f>2+5</f>
        <v>7</v>
      </c>
      <c r="H54" s="213">
        <f>40+1</f>
        <v>41</v>
      </c>
      <c r="I54" s="213">
        <f>5+11</f>
        <v>16</v>
      </c>
      <c r="J54" s="213">
        <v>0</v>
      </c>
      <c r="K54" s="213">
        <v>1</v>
      </c>
      <c r="L54" s="213">
        <v>1</v>
      </c>
      <c r="M54" s="213">
        <v>0</v>
      </c>
      <c r="N54" s="213">
        <v>0</v>
      </c>
      <c r="O54" s="213">
        <f>1+2</f>
        <v>3</v>
      </c>
    </row>
    <row r="55" spans="1:15" s="30" customFormat="1" ht="16.5" customHeight="1">
      <c r="A55" s="195" t="s">
        <v>27</v>
      </c>
      <c r="B55" s="242">
        <v>137</v>
      </c>
      <c r="C55" s="213">
        <v>169</v>
      </c>
      <c r="D55" s="213">
        <v>139</v>
      </c>
      <c r="E55" s="213">
        <v>30</v>
      </c>
      <c r="F55" s="213">
        <f>71+23</f>
        <v>94</v>
      </c>
      <c r="G55" s="213">
        <f>11+1</f>
        <v>12</v>
      </c>
      <c r="H55" s="213">
        <v>31</v>
      </c>
      <c r="I55" s="213">
        <f>15+5</f>
        <v>20</v>
      </c>
      <c r="J55" s="213">
        <v>1</v>
      </c>
      <c r="K55" s="213">
        <v>0</v>
      </c>
      <c r="L55" s="213">
        <v>0</v>
      </c>
      <c r="M55" s="213">
        <v>1</v>
      </c>
      <c r="N55" s="213">
        <v>1</v>
      </c>
      <c r="O55" s="193">
        <f>8+1</f>
        <v>9</v>
      </c>
    </row>
    <row r="56" spans="1:15" s="30" customFormat="1" ht="11.25" customHeight="1">
      <c r="A56" s="60"/>
      <c r="B56" s="24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196"/>
    </row>
    <row r="57" spans="1:15" s="30" customFormat="1" ht="16.5" customHeight="1">
      <c r="A57" s="60" t="s">
        <v>127</v>
      </c>
      <c r="B57" s="242">
        <v>83</v>
      </c>
      <c r="C57" s="213">
        <v>47</v>
      </c>
      <c r="D57" s="213">
        <v>35</v>
      </c>
      <c r="E57" s="213">
        <v>12</v>
      </c>
      <c r="F57" s="213">
        <v>0</v>
      </c>
      <c r="G57" s="213">
        <f>7+5</f>
        <v>12</v>
      </c>
      <c r="H57" s="213">
        <f>27+2</f>
        <v>29</v>
      </c>
      <c r="I57" s="213">
        <v>3</v>
      </c>
      <c r="J57" s="213">
        <v>0</v>
      </c>
      <c r="K57" s="213">
        <v>0</v>
      </c>
      <c r="L57" s="213">
        <v>1</v>
      </c>
      <c r="M57" s="213">
        <v>0</v>
      </c>
      <c r="N57" s="213">
        <v>0</v>
      </c>
      <c r="O57" s="213">
        <v>2</v>
      </c>
    </row>
    <row r="58" spans="1:15" s="30" customFormat="1" ht="16.5" customHeight="1">
      <c r="A58" s="56"/>
      <c r="B58" s="24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193"/>
    </row>
    <row r="59" spans="1:15" s="30" customFormat="1" ht="16.5" customHeight="1">
      <c r="A59" s="57" t="s">
        <v>128</v>
      </c>
      <c r="B59" s="240">
        <v>3378</v>
      </c>
      <c r="C59" s="241">
        <v>3286</v>
      </c>
      <c r="D59" s="241">
        <v>2090</v>
      </c>
      <c r="E59" s="241">
        <v>1196</v>
      </c>
      <c r="F59" s="241">
        <f>344+331</f>
        <v>675</v>
      </c>
      <c r="G59" s="241">
        <f>118+92</f>
        <v>210</v>
      </c>
      <c r="H59" s="241">
        <f>1330+55</f>
        <v>1385</v>
      </c>
      <c r="I59" s="241">
        <f>157+443</f>
        <v>600</v>
      </c>
      <c r="J59" s="241">
        <f>12+1</f>
        <v>13</v>
      </c>
      <c r="K59" s="241">
        <f>3+104</f>
        <v>107</v>
      </c>
      <c r="L59" s="241">
        <f>1+13</f>
        <v>14</v>
      </c>
      <c r="M59" s="241">
        <f>17+41</f>
        <v>58</v>
      </c>
      <c r="N59" s="241">
        <f>1+1</f>
        <v>2</v>
      </c>
      <c r="O59" s="194">
        <f>107+115</f>
        <v>222</v>
      </c>
    </row>
    <row r="60" spans="1:15" s="30" customFormat="1" ht="11.25" customHeight="1">
      <c r="A60" s="56"/>
      <c r="B60" s="242"/>
      <c r="C60" s="213"/>
      <c r="D60" s="213"/>
      <c r="E60" s="213"/>
      <c r="F60" s="244"/>
      <c r="G60" s="213"/>
      <c r="H60" s="213"/>
      <c r="I60" s="213"/>
      <c r="J60" s="213"/>
      <c r="K60" s="213"/>
      <c r="L60" s="213"/>
      <c r="M60" s="213"/>
      <c r="N60" s="213"/>
      <c r="O60" s="193"/>
    </row>
    <row r="61" spans="1:15" s="30" customFormat="1" ht="16.5" customHeight="1">
      <c r="A61" s="61" t="s">
        <v>129</v>
      </c>
      <c r="B61" s="242">
        <v>379</v>
      </c>
      <c r="C61" s="213">
        <v>251</v>
      </c>
      <c r="D61" s="213">
        <v>178</v>
      </c>
      <c r="E61" s="213">
        <v>73</v>
      </c>
      <c r="F61" s="213">
        <f>14+11</f>
        <v>25</v>
      </c>
      <c r="G61" s="213">
        <f>25+14</f>
        <v>39</v>
      </c>
      <c r="H61" s="213">
        <f>130+6</f>
        <v>136</v>
      </c>
      <c r="I61" s="213">
        <f>4+2</f>
        <v>6</v>
      </c>
      <c r="J61" s="213">
        <v>0</v>
      </c>
      <c r="K61" s="213">
        <v>17</v>
      </c>
      <c r="L61" s="213">
        <v>12</v>
      </c>
      <c r="M61" s="213">
        <f>1+11</f>
        <v>12</v>
      </c>
      <c r="N61" s="213">
        <v>0</v>
      </c>
      <c r="O61" s="193">
        <v>4</v>
      </c>
    </row>
    <row r="62" spans="1:15" s="30" customFormat="1" ht="16.5" customHeight="1">
      <c r="A62" s="61" t="s">
        <v>130</v>
      </c>
      <c r="B62" s="242">
        <v>348</v>
      </c>
      <c r="C62" s="213">
        <v>330</v>
      </c>
      <c r="D62" s="213">
        <v>48</v>
      </c>
      <c r="E62" s="213">
        <v>282</v>
      </c>
      <c r="F62" s="213">
        <f>9+48</f>
        <v>57</v>
      </c>
      <c r="G62" s="213">
        <f>1+5</f>
        <v>6</v>
      </c>
      <c r="H62" s="213">
        <f>12+5</f>
        <v>17</v>
      </c>
      <c r="I62" s="213">
        <f>25+197</f>
        <v>222</v>
      </c>
      <c r="J62" s="213">
        <v>0</v>
      </c>
      <c r="K62" s="213">
        <v>11</v>
      </c>
      <c r="L62" s="213">
        <v>0</v>
      </c>
      <c r="M62" s="213">
        <v>0</v>
      </c>
      <c r="N62" s="213">
        <v>0</v>
      </c>
      <c r="O62" s="193">
        <f>1+16</f>
        <v>17</v>
      </c>
    </row>
    <row r="63" spans="1:15" s="30" customFormat="1" ht="16.5" customHeight="1">
      <c r="A63" s="61" t="s">
        <v>131</v>
      </c>
      <c r="B63" s="242">
        <v>255</v>
      </c>
      <c r="C63" s="213">
        <v>296</v>
      </c>
      <c r="D63" s="213">
        <v>73</v>
      </c>
      <c r="E63" s="213">
        <v>223</v>
      </c>
      <c r="F63" s="213">
        <f>25+53</f>
        <v>78</v>
      </c>
      <c r="G63" s="213">
        <f>10+16</f>
        <v>26</v>
      </c>
      <c r="H63" s="213">
        <f>21+4</f>
        <v>25</v>
      </c>
      <c r="I63" s="213">
        <f>11+87</f>
        <v>98</v>
      </c>
      <c r="J63" s="213">
        <v>0</v>
      </c>
      <c r="K63" s="213">
        <v>23</v>
      </c>
      <c r="L63" s="213">
        <v>0</v>
      </c>
      <c r="M63" s="213">
        <f>1+2</f>
        <v>3</v>
      </c>
      <c r="N63" s="213">
        <v>0</v>
      </c>
      <c r="O63" s="193">
        <f>5+38</f>
        <v>43</v>
      </c>
    </row>
    <row r="64" spans="1:15" s="30" customFormat="1" ht="16.5" customHeight="1">
      <c r="A64" s="61" t="s">
        <v>132</v>
      </c>
      <c r="B64" s="242">
        <v>430</v>
      </c>
      <c r="C64" s="213">
        <v>491</v>
      </c>
      <c r="D64" s="213">
        <v>129</v>
      </c>
      <c r="E64" s="213">
        <v>362</v>
      </c>
      <c r="F64" s="213">
        <f>54+134</f>
        <v>188</v>
      </c>
      <c r="G64" s="213">
        <f>9+34</f>
        <v>43</v>
      </c>
      <c r="H64" s="213">
        <f>25+3</f>
        <v>28</v>
      </c>
      <c r="I64" s="213">
        <f>21+98</f>
        <v>119</v>
      </c>
      <c r="J64" s="213">
        <v>1</v>
      </c>
      <c r="K64" s="213">
        <f>1+30</f>
        <v>31</v>
      </c>
      <c r="L64" s="213">
        <v>1</v>
      </c>
      <c r="M64" s="213">
        <f>7+26</f>
        <v>33</v>
      </c>
      <c r="N64" s="213">
        <v>0</v>
      </c>
      <c r="O64" s="193">
        <f>11+36</f>
        <v>47</v>
      </c>
    </row>
    <row r="65" spans="1:15" s="30" customFormat="1" ht="16.5" customHeight="1">
      <c r="A65" s="61" t="s">
        <v>133</v>
      </c>
      <c r="B65" s="242">
        <v>111</v>
      </c>
      <c r="C65" s="213">
        <v>142</v>
      </c>
      <c r="D65" s="213">
        <v>126</v>
      </c>
      <c r="E65" s="213">
        <v>16</v>
      </c>
      <c r="F65" s="213">
        <f>64+9</f>
        <v>73</v>
      </c>
      <c r="G65" s="213">
        <f>13+1</f>
        <v>14</v>
      </c>
      <c r="H65" s="213">
        <f>30+1</f>
        <v>31</v>
      </c>
      <c r="I65" s="213">
        <f>11+5</f>
        <v>16</v>
      </c>
      <c r="J65" s="213">
        <v>1</v>
      </c>
      <c r="K65" s="213">
        <v>0</v>
      </c>
      <c r="L65" s="213">
        <v>0</v>
      </c>
      <c r="M65" s="213">
        <v>0</v>
      </c>
      <c r="N65" s="213">
        <v>1</v>
      </c>
      <c r="O65" s="193">
        <v>6</v>
      </c>
    </row>
    <row r="66" spans="1:15" s="30" customFormat="1" ht="16.5" customHeight="1">
      <c r="A66" s="61" t="s">
        <v>134</v>
      </c>
      <c r="B66" s="242">
        <v>11</v>
      </c>
      <c r="C66" s="213">
        <v>7</v>
      </c>
      <c r="D66" s="213">
        <v>5</v>
      </c>
      <c r="E66" s="213">
        <v>2</v>
      </c>
      <c r="F66" s="213">
        <v>1</v>
      </c>
      <c r="G66" s="213">
        <f>4+1</f>
        <v>5</v>
      </c>
      <c r="H66" s="213">
        <v>0</v>
      </c>
      <c r="I66" s="213">
        <v>1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</row>
    <row r="67" spans="1:15" s="30" customFormat="1" ht="16.5" customHeight="1">
      <c r="A67" s="61" t="s">
        <v>135</v>
      </c>
      <c r="B67" s="242">
        <v>9</v>
      </c>
      <c r="C67" s="213">
        <v>5</v>
      </c>
      <c r="D67" s="213">
        <v>5</v>
      </c>
      <c r="E67" s="213">
        <v>0</v>
      </c>
      <c r="F67" s="213">
        <v>1</v>
      </c>
      <c r="G67" s="213">
        <v>0</v>
      </c>
      <c r="H67" s="213">
        <v>2</v>
      </c>
      <c r="I67" s="213">
        <v>1</v>
      </c>
      <c r="J67" s="213">
        <v>1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</row>
    <row r="68" spans="1:15" s="30" customFormat="1" ht="16.5" customHeight="1">
      <c r="A68" s="61" t="s">
        <v>136</v>
      </c>
      <c r="B68" s="242">
        <v>1514</v>
      </c>
      <c r="C68" s="213">
        <v>1386</v>
      </c>
      <c r="D68" s="213">
        <v>1175</v>
      </c>
      <c r="E68" s="213">
        <v>211</v>
      </c>
      <c r="F68" s="213">
        <f>119+66</f>
        <v>185</v>
      </c>
      <c r="G68" s="213">
        <f>48+20</f>
        <v>68</v>
      </c>
      <c r="H68" s="213">
        <f>878+31</f>
        <v>909</v>
      </c>
      <c r="I68" s="213">
        <f>61+45</f>
        <v>106</v>
      </c>
      <c r="J68" s="213">
        <f>6+1</f>
        <v>7</v>
      </c>
      <c r="K68" s="213">
        <v>22</v>
      </c>
      <c r="L68" s="213">
        <v>0</v>
      </c>
      <c r="M68" s="213">
        <f>5+2</f>
        <v>7</v>
      </c>
      <c r="N68" s="213">
        <v>0</v>
      </c>
      <c r="O68" s="193">
        <f>58+24</f>
        <v>82</v>
      </c>
    </row>
    <row r="69" spans="1:15" s="30" customFormat="1" ht="16.5" customHeight="1">
      <c r="A69" s="61" t="s">
        <v>137</v>
      </c>
      <c r="B69" s="242">
        <v>105</v>
      </c>
      <c r="C69" s="213">
        <v>131</v>
      </c>
      <c r="D69" s="213">
        <v>127</v>
      </c>
      <c r="E69" s="213">
        <v>4</v>
      </c>
      <c r="F69" s="213">
        <f>13+2</f>
        <v>15</v>
      </c>
      <c r="G69" s="213">
        <v>3</v>
      </c>
      <c r="H69" s="213">
        <f>94+1</f>
        <v>95</v>
      </c>
      <c r="I69" s="213">
        <v>6</v>
      </c>
      <c r="J69" s="213">
        <v>2</v>
      </c>
      <c r="K69" s="213">
        <v>1</v>
      </c>
      <c r="L69" s="213">
        <v>0</v>
      </c>
      <c r="M69" s="213">
        <v>3</v>
      </c>
      <c r="N69" s="213">
        <v>0</v>
      </c>
      <c r="O69" s="193">
        <f>5+1</f>
        <v>6</v>
      </c>
    </row>
    <row r="70" spans="1:15" s="30" customFormat="1" ht="16.5" customHeight="1">
      <c r="A70" s="61" t="s">
        <v>138</v>
      </c>
      <c r="B70" s="242">
        <v>116</v>
      </c>
      <c r="C70" s="213">
        <v>139</v>
      </c>
      <c r="D70" s="213">
        <v>137</v>
      </c>
      <c r="E70" s="213">
        <v>2</v>
      </c>
      <c r="F70" s="213">
        <v>22</v>
      </c>
      <c r="G70" s="213">
        <v>3</v>
      </c>
      <c r="H70" s="213">
        <f>90+2</f>
        <v>92</v>
      </c>
      <c r="I70" s="213">
        <v>8</v>
      </c>
      <c r="J70" s="213">
        <v>0</v>
      </c>
      <c r="K70" s="213">
        <v>1</v>
      </c>
      <c r="L70" s="213">
        <v>0</v>
      </c>
      <c r="M70" s="213">
        <v>0</v>
      </c>
      <c r="N70" s="213">
        <v>0</v>
      </c>
      <c r="O70" s="213">
        <v>13</v>
      </c>
    </row>
    <row r="71" spans="1:15" s="30" customFormat="1" ht="16.5" customHeight="1">
      <c r="A71" s="61" t="s">
        <v>139</v>
      </c>
      <c r="B71" s="242">
        <v>58</v>
      </c>
      <c r="C71" s="213">
        <v>58</v>
      </c>
      <c r="D71" s="213">
        <v>45</v>
      </c>
      <c r="E71" s="213">
        <v>13</v>
      </c>
      <c r="F71" s="213">
        <f>15+6</f>
        <v>21</v>
      </c>
      <c r="G71" s="213">
        <v>2</v>
      </c>
      <c r="H71" s="213">
        <f>20+1</f>
        <v>21</v>
      </c>
      <c r="I71" s="213">
        <f>7+5</f>
        <v>12</v>
      </c>
      <c r="J71" s="213">
        <v>0</v>
      </c>
      <c r="K71" s="213">
        <v>1</v>
      </c>
      <c r="L71" s="213">
        <v>0</v>
      </c>
      <c r="M71" s="213">
        <v>0</v>
      </c>
      <c r="N71" s="213">
        <v>0</v>
      </c>
      <c r="O71" s="193">
        <v>1</v>
      </c>
    </row>
    <row r="72" spans="1:15" s="30" customFormat="1" ht="16.5" customHeight="1">
      <c r="A72" s="238" t="s">
        <v>140</v>
      </c>
      <c r="B72" s="245">
        <v>42</v>
      </c>
      <c r="C72" s="198">
        <v>50</v>
      </c>
      <c r="D72" s="198">
        <v>42</v>
      </c>
      <c r="E72" s="198">
        <v>8</v>
      </c>
      <c r="F72" s="198">
        <f>7+2</f>
        <v>9</v>
      </c>
      <c r="G72" s="220">
        <v>1</v>
      </c>
      <c r="H72" s="198">
        <f>28+1</f>
        <v>29</v>
      </c>
      <c r="I72" s="198">
        <f>2+3</f>
        <v>5</v>
      </c>
      <c r="J72" s="220">
        <v>1</v>
      </c>
      <c r="K72" s="220">
        <v>0</v>
      </c>
      <c r="L72" s="220">
        <v>1</v>
      </c>
      <c r="M72" s="220">
        <v>0</v>
      </c>
      <c r="N72" s="220">
        <v>1</v>
      </c>
      <c r="O72" s="220">
        <v>3</v>
      </c>
    </row>
    <row r="73" spans="1:15" s="30" customFormat="1" ht="13.5">
      <c r="A73" s="246" t="s">
        <v>141</v>
      </c>
      <c r="B73" s="247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</row>
    <row r="74" spans="1:15" ht="13.5">
      <c r="A74" s="248"/>
      <c r="B74" s="249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ht="13.5">
      <c r="A75" s="72"/>
      <c r="B75" s="249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3.5">
      <c r="A76" s="72"/>
      <c r="B76" s="249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13.5">
      <c r="A77" s="72"/>
      <c r="B77" s="249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3.5">
      <c r="A78" s="72"/>
      <c r="B78" s="249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3.5">
      <c r="A79" s="72"/>
      <c r="B79" s="249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13.5">
      <c r="A80" s="72"/>
      <c r="B80" s="249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2" ht="13.5">
      <c r="A81" s="72"/>
      <c r="B81" s="72"/>
    </row>
    <row r="82" spans="1:2" ht="13.5">
      <c r="A82" s="72"/>
      <c r="B82" s="72"/>
    </row>
  </sheetData>
  <sheetProtection password="EE7F" sheet="1"/>
  <mergeCells count="2">
    <mergeCell ref="C6:O6"/>
    <mergeCell ref="C7:C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13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57421875" style="35" customWidth="1"/>
    <col min="2" max="10" width="7.28125" style="35" customWidth="1"/>
    <col min="11" max="16384" width="9.00390625" style="35" customWidth="1"/>
  </cols>
  <sheetData>
    <row r="1" spans="1:10" ht="13.5">
      <c r="A1" s="33"/>
      <c r="B1" s="202" t="s">
        <v>71</v>
      </c>
      <c r="C1" s="33"/>
      <c r="D1" s="33"/>
      <c r="E1" s="33"/>
      <c r="F1" s="33"/>
      <c r="G1" s="33"/>
      <c r="H1" s="33"/>
      <c r="I1" s="33"/>
      <c r="J1" s="33"/>
    </row>
    <row r="2" spans="1:10" ht="13.5">
      <c r="A2" s="250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0" customFormat="1" ht="13.5">
      <c r="A3" s="29" t="s">
        <v>72</v>
      </c>
      <c r="B3" s="7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09" t="s">
        <v>73</v>
      </c>
      <c r="B4" s="75"/>
      <c r="C4" s="29"/>
      <c r="D4" s="29"/>
      <c r="E4" s="29"/>
      <c r="F4" s="29"/>
      <c r="G4" s="29"/>
      <c r="H4" s="29"/>
      <c r="I4" s="29"/>
      <c r="J4" s="29"/>
    </row>
    <row r="5" spans="1:10" s="30" customFormat="1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6.5" customHeight="1" thickTop="1">
      <c r="A6" s="367" t="s">
        <v>49</v>
      </c>
      <c r="B6" s="251"/>
      <c r="C6" s="252" t="s">
        <v>50</v>
      </c>
      <c r="D6" s="253"/>
      <c r="E6" s="251"/>
      <c r="F6" s="252" t="s">
        <v>51</v>
      </c>
      <c r="G6" s="254"/>
      <c r="H6" s="253"/>
      <c r="I6" s="255" t="s">
        <v>52</v>
      </c>
      <c r="J6" s="253"/>
    </row>
    <row r="7" spans="1:10" s="30" customFormat="1" ht="16.5" customHeight="1">
      <c r="A7" s="368"/>
      <c r="B7" s="256" t="s">
        <v>53</v>
      </c>
      <c r="C7" s="257" t="s">
        <v>54</v>
      </c>
      <c r="D7" s="258" t="s">
        <v>55</v>
      </c>
      <c r="E7" s="256" t="s">
        <v>53</v>
      </c>
      <c r="F7" s="257" t="s">
        <v>54</v>
      </c>
      <c r="G7" s="259" t="s">
        <v>55</v>
      </c>
      <c r="H7" s="258" t="s">
        <v>53</v>
      </c>
      <c r="I7" s="257" t="s">
        <v>54</v>
      </c>
      <c r="J7" s="258" t="s">
        <v>55</v>
      </c>
    </row>
    <row r="8" spans="1:10" s="30" customFormat="1" ht="19.5" customHeight="1">
      <c r="A8" s="260"/>
      <c r="B8" s="261"/>
      <c r="C8" s="262"/>
      <c r="D8" s="262"/>
      <c r="E8" s="262"/>
      <c r="F8" s="262"/>
      <c r="G8" s="262"/>
      <c r="H8" s="262"/>
      <c r="I8" s="262"/>
      <c r="J8" s="262"/>
    </row>
    <row r="9" spans="1:10" s="30" customFormat="1" ht="19.5" customHeight="1">
      <c r="A9" s="263" t="s">
        <v>74</v>
      </c>
      <c r="B9" s="264">
        <v>480</v>
      </c>
      <c r="C9" s="265">
        <v>68</v>
      </c>
      <c r="D9" s="265">
        <v>412</v>
      </c>
      <c r="E9" s="265">
        <v>440</v>
      </c>
      <c r="F9" s="265">
        <v>73</v>
      </c>
      <c r="G9" s="265">
        <v>367</v>
      </c>
      <c r="H9" s="265">
        <v>493</v>
      </c>
      <c r="I9" s="265">
        <f aca="true" t="shared" si="0" ref="I9:I16">H9-J9</f>
        <v>69</v>
      </c>
      <c r="J9" s="265">
        <v>424</v>
      </c>
    </row>
    <row r="10" spans="1:10" s="30" customFormat="1" ht="19.5" customHeight="1">
      <c r="A10" s="266" t="s">
        <v>75</v>
      </c>
      <c r="B10" s="267">
        <v>20</v>
      </c>
      <c r="C10" s="268">
        <v>8</v>
      </c>
      <c r="D10" s="268">
        <v>12</v>
      </c>
      <c r="E10" s="268">
        <v>22</v>
      </c>
      <c r="F10" s="268">
        <v>6</v>
      </c>
      <c r="G10" s="268">
        <v>16</v>
      </c>
      <c r="H10" s="268">
        <v>21</v>
      </c>
      <c r="I10" s="268">
        <f t="shared" si="0"/>
        <v>5</v>
      </c>
      <c r="J10" s="268">
        <v>16</v>
      </c>
    </row>
    <row r="11" spans="1:10" s="30" customFormat="1" ht="19.5" customHeight="1">
      <c r="A11" s="266" t="s">
        <v>76</v>
      </c>
      <c r="B11" s="267">
        <v>354</v>
      </c>
      <c r="C11" s="268">
        <v>30</v>
      </c>
      <c r="D11" s="268">
        <v>324</v>
      </c>
      <c r="E11" s="268">
        <v>334</v>
      </c>
      <c r="F11" s="268">
        <v>44</v>
      </c>
      <c r="G11" s="268">
        <v>290</v>
      </c>
      <c r="H11" s="268">
        <f>328+79</f>
        <v>407</v>
      </c>
      <c r="I11" s="268">
        <f t="shared" si="0"/>
        <v>44</v>
      </c>
      <c r="J11" s="268">
        <f>294+69</f>
        <v>363</v>
      </c>
    </row>
    <row r="12" spans="1:10" s="30" customFormat="1" ht="19.5" customHeight="1">
      <c r="A12" s="266" t="s">
        <v>77</v>
      </c>
      <c r="B12" s="267">
        <v>5</v>
      </c>
      <c r="C12" s="268">
        <v>3</v>
      </c>
      <c r="D12" s="268">
        <v>2</v>
      </c>
      <c r="E12" s="268">
        <v>9</v>
      </c>
      <c r="F12" s="268">
        <v>3</v>
      </c>
      <c r="G12" s="268">
        <v>6</v>
      </c>
      <c r="H12" s="268">
        <v>4</v>
      </c>
      <c r="I12" s="268">
        <f t="shared" si="0"/>
        <v>0</v>
      </c>
      <c r="J12" s="268">
        <v>4</v>
      </c>
    </row>
    <row r="13" spans="1:10" s="30" customFormat="1" ht="19.5" customHeight="1">
      <c r="A13" s="266" t="s">
        <v>78</v>
      </c>
      <c r="B13" s="267">
        <v>20</v>
      </c>
      <c r="C13" s="269">
        <v>3</v>
      </c>
      <c r="D13" s="268">
        <v>17</v>
      </c>
      <c r="E13" s="268">
        <v>9</v>
      </c>
      <c r="F13" s="268">
        <v>1</v>
      </c>
      <c r="G13" s="268">
        <v>8</v>
      </c>
      <c r="H13" s="268">
        <v>5</v>
      </c>
      <c r="I13" s="268">
        <f t="shared" si="0"/>
        <v>1</v>
      </c>
      <c r="J13" s="268">
        <v>4</v>
      </c>
    </row>
    <row r="14" spans="1:10" s="30" customFormat="1" ht="19.5" customHeight="1">
      <c r="A14" s="270" t="s">
        <v>68</v>
      </c>
      <c r="B14" s="271">
        <v>75</v>
      </c>
      <c r="C14" s="269">
        <v>24</v>
      </c>
      <c r="D14" s="269">
        <v>51</v>
      </c>
      <c r="E14" s="269">
        <v>55</v>
      </c>
      <c r="F14" s="269">
        <v>18</v>
      </c>
      <c r="G14" s="269">
        <v>37</v>
      </c>
      <c r="H14" s="269">
        <v>51</v>
      </c>
      <c r="I14" s="269">
        <f t="shared" si="0"/>
        <v>17</v>
      </c>
      <c r="J14" s="269">
        <v>34</v>
      </c>
    </row>
    <row r="15" spans="1:10" s="30" customFormat="1" ht="19.5" customHeight="1">
      <c r="A15" s="272" t="s">
        <v>79</v>
      </c>
      <c r="B15" s="268">
        <v>6</v>
      </c>
      <c r="C15" s="268">
        <v>0</v>
      </c>
      <c r="D15" s="268">
        <v>6</v>
      </c>
      <c r="E15" s="268">
        <v>11</v>
      </c>
      <c r="F15" s="268">
        <v>1</v>
      </c>
      <c r="G15" s="268">
        <v>10</v>
      </c>
      <c r="H15" s="268">
        <v>5</v>
      </c>
      <c r="I15" s="268">
        <f t="shared" si="0"/>
        <v>2</v>
      </c>
      <c r="J15" s="268">
        <v>3</v>
      </c>
    </row>
    <row r="16" spans="1:10" s="30" customFormat="1" ht="19.5" customHeight="1">
      <c r="A16" s="273" t="s">
        <v>80</v>
      </c>
      <c r="B16" s="274">
        <v>0</v>
      </c>
      <c r="C16" s="274">
        <v>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f t="shared" si="0"/>
        <v>0</v>
      </c>
      <c r="J16" s="274">
        <v>0</v>
      </c>
    </row>
  </sheetData>
  <sheetProtection password="EE7F" sheet="1"/>
  <mergeCells count="1">
    <mergeCell ref="A6:A7"/>
  </mergeCells>
  <printOptions/>
  <pageMargins left="0.7" right="0.7" top="0.75" bottom="0.75" header="0.29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57421875" style="35" customWidth="1"/>
    <col min="2" max="10" width="7.421875" style="35" customWidth="1"/>
    <col min="11" max="16384" width="9.00390625" style="35" customWidth="1"/>
  </cols>
  <sheetData>
    <row r="1" spans="1:10" ht="13.5">
      <c r="A1" s="70"/>
      <c r="B1" s="275" t="s">
        <v>61</v>
      </c>
      <c r="C1" s="70"/>
      <c r="D1" s="70"/>
      <c r="E1" s="70"/>
      <c r="F1" s="70"/>
      <c r="G1" s="70"/>
      <c r="H1" s="70"/>
      <c r="I1" s="70"/>
      <c r="J1" s="70"/>
    </row>
    <row r="2" spans="1:10" ht="13.5">
      <c r="A2" s="250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30" customFormat="1" ht="13.5">
      <c r="A3" s="29" t="s">
        <v>62</v>
      </c>
      <c r="B3" s="7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09" t="s">
        <v>63</v>
      </c>
      <c r="B4" s="75"/>
      <c r="C4" s="29"/>
      <c r="D4" s="29"/>
      <c r="E4" s="29"/>
      <c r="F4" s="29"/>
      <c r="G4" s="29"/>
      <c r="H4" s="29"/>
      <c r="I4" s="29"/>
      <c r="J4" s="29"/>
    </row>
    <row r="5" spans="1:10" s="30" customFormat="1" ht="13.5">
      <c r="A5" s="109" t="s">
        <v>64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4.25" thickBot="1">
      <c r="A6" s="109"/>
      <c r="B6" s="29"/>
      <c r="C6" s="29"/>
      <c r="D6" s="29"/>
      <c r="E6" s="29"/>
      <c r="F6" s="29"/>
      <c r="G6" s="29"/>
      <c r="H6" s="29"/>
      <c r="I6" s="29"/>
      <c r="J6" s="29"/>
    </row>
    <row r="7" spans="1:10" s="30" customFormat="1" ht="19.5" customHeight="1" thickTop="1">
      <c r="A7" s="369" t="s">
        <v>49</v>
      </c>
      <c r="B7" s="251"/>
      <c r="C7" s="252" t="s">
        <v>50</v>
      </c>
      <c r="D7" s="253"/>
      <c r="E7" s="251"/>
      <c r="F7" s="252" t="s">
        <v>51</v>
      </c>
      <c r="G7" s="254"/>
      <c r="H7" s="253"/>
      <c r="I7" s="255" t="s">
        <v>52</v>
      </c>
      <c r="J7" s="253"/>
    </row>
    <row r="8" spans="1:10" s="30" customFormat="1" ht="19.5" customHeight="1">
      <c r="A8" s="370"/>
      <c r="B8" s="256" t="s">
        <v>53</v>
      </c>
      <c r="C8" s="257" t="s">
        <v>54</v>
      </c>
      <c r="D8" s="258" t="s">
        <v>55</v>
      </c>
      <c r="E8" s="256" t="s">
        <v>53</v>
      </c>
      <c r="F8" s="257" t="s">
        <v>54</v>
      </c>
      <c r="G8" s="259" t="s">
        <v>55</v>
      </c>
      <c r="H8" s="258" t="s">
        <v>53</v>
      </c>
      <c r="I8" s="257" t="s">
        <v>54</v>
      </c>
      <c r="J8" s="258" t="s">
        <v>55</v>
      </c>
    </row>
    <row r="9" spans="1:10" s="30" customFormat="1" ht="19.5" customHeight="1">
      <c r="A9" s="276"/>
      <c r="B9" s="277"/>
      <c r="C9" s="63"/>
      <c r="D9" s="63"/>
      <c r="E9" s="63"/>
      <c r="F9" s="63"/>
      <c r="G9" s="63"/>
      <c r="H9" s="63"/>
      <c r="I9" s="63"/>
      <c r="J9" s="63"/>
    </row>
    <row r="10" spans="1:10" s="30" customFormat="1" ht="19.5" customHeight="1">
      <c r="A10" s="263" t="s">
        <v>65</v>
      </c>
      <c r="B10" s="278">
        <v>3670</v>
      </c>
      <c r="C10" s="279">
        <v>2040</v>
      </c>
      <c r="D10" s="279">
        <v>1630</v>
      </c>
      <c r="E10" s="279">
        <v>3654</v>
      </c>
      <c r="F10" s="279">
        <v>2072</v>
      </c>
      <c r="G10" s="279">
        <v>1582</v>
      </c>
      <c r="H10" s="279">
        <v>3703</v>
      </c>
      <c r="I10" s="279">
        <v>2024</v>
      </c>
      <c r="J10" s="279">
        <v>1679</v>
      </c>
    </row>
    <row r="11" spans="1:10" s="30" customFormat="1" ht="19.5" customHeight="1">
      <c r="A11" s="280" t="s">
        <v>66</v>
      </c>
      <c r="B11" s="281">
        <v>594</v>
      </c>
      <c r="C11" s="282">
        <v>488</v>
      </c>
      <c r="D11" s="282">
        <v>106</v>
      </c>
      <c r="E11" s="282">
        <v>606</v>
      </c>
      <c r="F11" s="282">
        <v>503</v>
      </c>
      <c r="G11" s="282">
        <v>103</v>
      </c>
      <c r="H11" s="282">
        <v>598</v>
      </c>
      <c r="I11" s="282">
        <v>483</v>
      </c>
      <c r="J11" s="282">
        <v>115</v>
      </c>
    </row>
    <row r="12" spans="1:10" s="30" customFormat="1" ht="19.5" customHeight="1">
      <c r="A12" s="280" t="s">
        <v>67</v>
      </c>
      <c r="B12" s="281">
        <v>2405</v>
      </c>
      <c r="C12" s="282">
        <v>1127</v>
      </c>
      <c r="D12" s="282">
        <v>1278</v>
      </c>
      <c r="E12" s="282">
        <v>2332</v>
      </c>
      <c r="F12" s="282">
        <v>1137</v>
      </c>
      <c r="G12" s="282">
        <v>1195</v>
      </c>
      <c r="H12" s="282">
        <f>2247+149</f>
        <v>2396</v>
      </c>
      <c r="I12" s="282">
        <v>1137</v>
      </c>
      <c r="J12" s="282">
        <v>1259</v>
      </c>
    </row>
    <row r="13" spans="1:10" s="30" customFormat="1" ht="19.5" customHeight="1">
      <c r="A13" s="283" t="s">
        <v>68</v>
      </c>
      <c r="B13" s="281">
        <v>587</v>
      </c>
      <c r="C13" s="282">
        <v>368</v>
      </c>
      <c r="D13" s="282">
        <v>219</v>
      </c>
      <c r="E13" s="282">
        <v>645</v>
      </c>
      <c r="F13" s="282">
        <v>385</v>
      </c>
      <c r="G13" s="282">
        <v>260</v>
      </c>
      <c r="H13" s="282">
        <f>H10-H11-H12-H14</f>
        <v>658</v>
      </c>
      <c r="I13" s="282">
        <v>371</v>
      </c>
      <c r="J13" s="282">
        <v>287</v>
      </c>
    </row>
    <row r="14" spans="1:10" s="30" customFormat="1" ht="19.5" customHeight="1">
      <c r="A14" s="284" t="s">
        <v>69</v>
      </c>
      <c r="B14" s="242">
        <v>84</v>
      </c>
      <c r="C14" s="213">
        <v>57</v>
      </c>
      <c r="D14" s="213">
        <v>27</v>
      </c>
      <c r="E14" s="213">
        <v>71</v>
      </c>
      <c r="F14" s="213">
        <v>47</v>
      </c>
      <c r="G14" s="213">
        <v>24</v>
      </c>
      <c r="H14" s="213">
        <v>51</v>
      </c>
      <c r="I14" s="213">
        <v>33</v>
      </c>
      <c r="J14" s="213">
        <v>18</v>
      </c>
    </row>
    <row r="15" spans="1:10" s="30" customFormat="1" ht="19.5" customHeight="1">
      <c r="A15" s="285" t="s">
        <v>70</v>
      </c>
      <c r="B15" s="286">
        <v>0</v>
      </c>
      <c r="C15" s="287">
        <v>0</v>
      </c>
      <c r="D15" s="287">
        <v>0</v>
      </c>
      <c r="E15" s="287">
        <v>0</v>
      </c>
      <c r="F15" s="287">
        <v>0</v>
      </c>
      <c r="G15" s="287">
        <v>0</v>
      </c>
      <c r="H15" s="220">
        <v>0</v>
      </c>
      <c r="I15" s="220">
        <v>0</v>
      </c>
      <c r="J15" s="220">
        <v>0</v>
      </c>
    </row>
    <row r="16" spans="2:10" ht="13.5">
      <c r="B16" s="105"/>
      <c r="C16" s="105"/>
      <c r="D16" s="105"/>
      <c r="E16" s="105"/>
      <c r="F16" s="105"/>
      <c r="G16" s="105"/>
      <c r="H16" s="105"/>
      <c r="I16" s="105"/>
      <c r="J16" s="105"/>
    </row>
    <row r="17" spans="2:10" ht="13.5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ht="13.5">
      <c r="B18" s="105"/>
      <c r="C18" s="105"/>
      <c r="D18" s="105"/>
      <c r="E18" s="105"/>
      <c r="F18" s="105"/>
      <c r="G18" s="105"/>
      <c r="H18" s="105"/>
      <c r="I18" s="105"/>
      <c r="J18" s="105"/>
    </row>
    <row r="19" spans="2:10" ht="13.5">
      <c r="B19" s="105"/>
      <c r="C19" s="105"/>
      <c r="D19" s="105"/>
      <c r="E19" s="105"/>
      <c r="F19" s="105"/>
      <c r="G19" s="105"/>
      <c r="H19" s="105"/>
      <c r="I19" s="105"/>
      <c r="J19" s="105"/>
    </row>
    <row r="20" spans="2:10" ht="13.5">
      <c r="B20" s="105"/>
      <c r="C20" s="105"/>
      <c r="D20" s="105"/>
      <c r="E20" s="105"/>
      <c r="F20" s="105"/>
      <c r="G20" s="105"/>
      <c r="H20" s="105"/>
      <c r="I20" s="105"/>
      <c r="J20" s="105"/>
    </row>
  </sheetData>
  <sheetProtection password="EE7F" sheet="1"/>
  <mergeCells count="1"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35" customWidth="1"/>
    <col min="2" max="16384" width="9.00390625" style="35" customWidth="1"/>
  </cols>
  <sheetData>
    <row r="1" spans="1:10" s="30" customFormat="1" ht="13.5">
      <c r="A1" s="288"/>
      <c r="B1" s="289" t="s">
        <v>46</v>
      </c>
      <c r="C1" s="288"/>
      <c r="D1" s="288"/>
      <c r="E1" s="288"/>
      <c r="F1" s="288"/>
      <c r="G1" s="288"/>
      <c r="H1" s="288"/>
      <c r="I1" s="288"/>
      <c r="J1" s="288"/>
    </row>
    <row r="2" spans="1:10" s="30" customFormat="1" ht="13.5">
      <c r="A2" s="10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30" customFormat="1" ht="13.5">
      <c r="A3" s="29" t="s">
        <v>47</v>
      </c>
      <c r="B3" s="75"/>
      <c r="C3" s="29"/>
      <c r="D3" s="29"/>
      <c r="E3" s="29"/>
      <c r="F3" s="29"/>
      <c r="G3" s="29"/>
      <c r="H3" s="29"/>
      <c r="I3" s="29"/>
      <c r="J3" s="29"/>
    </row>
    <row r="4" spans="1:10" s="30" customFormat="1" ht="13.5">
      <c r="A4" s="109" t="s">
        <v>48</v>
      </c>
      <c r="B4" s="75"/>
      <c r="C4" s="29"/>
      <c r="D4" s="29"/>
      <c r="E4" s="29"/>
      <c r="F4" s="29"/>
      <c r="G4" s="29"/>
      <c r="H4" s="29"/>
      <c r="I4" s="29"/>
      <c r="J4" s="29"/>
    </row>
    <row r="5" spans="1:10" s="30" customFormat="1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30" customFormat="1" ht="19.5" customHeight="1" thickTop="1">
      <c r="A6" s="367" t="s">
        <v>49</v>
      </c>
      <c r="B6" s="251"/>
      <c r="C6" s="252" t="s">
        <v>50</v>
      </c>
      <c r="D6" s="253"/>
      <c r="E6" s="251"/>
      <c r="F6" s="252" t="s">
        <v>51</v>
      </c>
      <c r="G6" s="254"/>
      <c r="H6" s="253"/>
      <c r="I6" s="255" t="s">
        <v>52</v>
      </c>
      <c r="J6" s="253"/>
    </row>
    <row r="7" spans="1:10" s="30" customFormat="1" ht="19.5" customHeight="1">
      <c r="A7" s="368"/>
      <c r="B7" s="256" t="s">
        <v>53</v>
      </c>
      <c r="C7" s="257" t="s">
        <v>54</v>
      </c>
      <c r="D7" s="258" t="s">
        <v>55</v>
      </c>
      <c r="E7" s="256" t="s">
        <v>53</v>
      </c>
      <c r="F7" s="257" t="s">
        <v>54</v>
      </c>
      <c r="G7" s="259" t="s">
        <v>55</v>
      </c>
      <c r="H7" s="258" t="s">
        <v>53</v>
      </c>
      <c r="I7" s="257" t="s">
        <v>54</v>
      </c>
      <c r="J7" s="258" t="s">
        <v>55</v>
      </c>
    </row>
    <row r="8" spans="1:10" s="30" customFormat="1" ht="19.5" customHeight="1">
      <c r="A8" s="260"/>
      <c r="B8" s="290"/>
      <c r="C8" s="291"/>
      <c r="D8" s="291"/>
      <c r="E8" s="291"/>
      <c r="F8" s="291"/>
      <c r="G8" s="291"/>
      <c r="H8" s="291"/>
      <c r="I8" s="291"/>
      <c r="J8" s="291"/>
    </row>
    <row r="9" spans="1:10" s="30" customFormat="1" ht="19.5" customHeight="1">
      <c r="A9" s="263" t="s">
        <v>56</v>
      </c>
      <c r="B9" s="292">
        <v>709</v>
      </c>
      <c r="C9" s="293">
        <v>538</v>
      </c>
      <c r="D9" s="293">
        <v>171</v>
      </c>
      <c r="E9" s="293">
        <v>840</v>
      </c>
      <c r="F9" s="293">
        <v>638</v>
      </c>
      <c r="G9" s="293">
        <v>202</v>
      </c>
      <c r="H9" s="293">
        <f>SUM(H10:H12)</f>
        <v>704</v>
      </c>
      <c r="I9" s="293">
        <f>SUM(I10:I12)</f>
        <v>558</v>
      </c>
      <c r="J9" s="293">
        <f>SUM(J10:J12)</f>
        <v>146</v>
      </c>
    </row>
    <row r="10" spans="1:10" s="30" customFormat="1" ht="19.5" customHeight="1">
      <c r="A10" s="280" t="s">
        <v>57</v>
      </c>
      <c r="B10" s="294">
        <v>579</v>
      </c>
      <c r="C10" s="295">
        <v>442</v>
      </c>
      <c r="D10" s="295">
        <v>137</v>
      </c>
      <c r="E10" s="295">
        <v>694</v>
      </c>
      <c r="F10" s="295">
        <v>535</v>
      </c>
      <c r="G10" s="295">
        <v>159</v>
      </c>
      <c r="H10" s="295">
        <v>569</v>
      </c>
      <c r="I10" s="295">
        <v>456</v>
      </c>
      <c r="J10" s="295">
        <v>113</v>
      </c>
    </row>
    <row r="11" spans="1:10" s="30" customFormat="1" ht="19.5" customHeight="1">
      <c r="A11" s="280" t="s">
        <v>58</v>
      </c>
      <c r="B11" s="294">
        <v>121</v>
      </c>
      <c r="C11" s="295">
        <v>88</v>
      </c>
      <c r="D11" s="295">
        <v>33</v>
      </c>
      <c r="E11" s="295">
        <v>127</v>
      </c>
      <c r="F11" s="295">
        <v>87</v>
      </c>
      <c r="G11" s="295">
        <v>40</v>
      </c>
      <c r="H11" s="295">
        <v>116</v>
      </c>
      <c r="I11" s="295">
        <v>83</v>
      </c>
      <c r="J11" s="295">
        <v>33</v>
      </c>
    </row>
    <row r="12" spans="1:10" s="30" customFormat="1" ht="19.5" customHeight="1">
      <c r="A12" s="280" t="s">
        <v>59</v>
      </c>
      <c r="B12" s="294">
        <v>9</v>
      </c>
      <c r="C12" s="295">
        <v>8</v>
      </c>
      <c r="D12" s="295">
        <v>1</v>
      </c>
      <c r="E12" s="295">
        <v>19</v>
      </c>
      <c r="F12" s="295">
        <v>16</v>
      </c>
      <c r="G12" s="295">
        <v>3</v>
      </c>
      <c r="H12" s="295">
        <v>19</v>
      </c>
      <c r="I12" s="295">
        <v>19</v>
      </c>
      <c r="J12" s="295">
        <v>0</v>
      </c>
    </row>
    <row r="13" spans="1:10" s="30" customFormat="1" ht="19.5" customHeight="1">
      <c r="A13" s="260"/>
      <c r="B13" s="294"/>
      <c r="C13" s="295"/>
      <c r="D13" s="295"/>
      <c r="E13" s="295"/>
      <c r="F13" s="295"/>
      <c r="G13" s="295"/>
      <c r="H13" s="295"/>
      <c r="I13" s="295"/>
      <c r="J13" s="295"/>
    </row>
    <row r="14" spans="1:10" s="30" customFormat="1" ht="19.5" customHeight="1">
      <c r="A14" s="296" t="s">
        <v>60</v>
      </c>
      <c r="B14" s="297">
        <v>416</v>
      </c>
      <c r="C14" s="298">
        <v>317</v>
      </c>
      <c r="D14" s="298">
        <v>99</v>
      </c>
      <c r="E14" s="298">
        <v>430</v>
      </c>
      <c r="F14" s="298">
        <v>341</v>
      </c>
      <c r="G14" s="298">
        <v>89</v>
      </c>
      <c r="H14" s="298">
        <v>424</v>
      </c>
      <c r="I14" s="298">
        <v>319</v>
      </c>
      <c r="J14" s="298">
        <v>105</v>
      </c>
    </row>
    <row r="15" spans="2:10" ht="13.5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0" ht="13.5">
      <c r="B16" s="105"/>
      <c r="C16" s="105"/>
      <c r="D16" s="105"/>
      <c r="E16" s="105"/>
      <c r="F16" s="105"/>
      <c r="G16" s="105"/>
      <c r="H16" s="105"/>
      <c r="I16" s="105"/>
      <c r="J16" s="105"/>
    </row>
  </sheetData>
  <sheetProtection password="EE7F" sheet="1"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28125" style="35" customWidth="1"/>
    <col min="2" max="4" width="11.421875" style="35" customWidth="1"/>
    <col min="5" max="5" width="32.421875" style="35" customWidth="1"/>
    <col min="6" max="8" width="11.421875" style="35" customWidth="1"/>
    <col min="9" max="16384" width="9.00390625" style="35" customWidth="1"/>
  </cols>
  <sheetData>
    <row r="1" spans="1:8" ht="13.5">
      <c r="A1" s="70"/>
      <c r="B1" s="275" t="s">
        <v>0</v>
      </c>
      <c r="C1" s="70"/>
      <c r="D1" s="70"/>
      <c r="E1" s="70"/>
      <c r="F1" s="70"/>
      <c r="G1" s="70"/>
      <c r="H1" s="70"/>
    </row>
    <row r="2" spans="1:8" ht="13.5">
      <c r="A2" s="250" t="s">
        <v>1</v>
      </c>
      <c r="B2" s="191"/>
      <c r="C2" s="33"/>
      <c r="D2" s="33"/>
      <c r="E2" s="33"/>
      <c r="F2" s="33"/>
      <c r="G2" s="33"/>
      <c r="H2" s="33"/>
    </row>
    <row r="3" spans="1:8" ht="17.25">
      <c r="A3" s="299" t="s">
        <v>2</v>
      </c>
      <c r="B3" s="190"/>
      <c r="C3" s="33"/>
      <c r="D3" s="33"/>
      <c r="E3" s="33"/>
      <c r="F3" s="33"/>
      <c r="G3" s="33"/>
      <c r="H3" s="33"/>
    </row>
    <row r="4" spans="1:8" ht="14.25" thickBot="1">
      <c r="A4" s="33"/>
      <c r="B4" s="33"/>
      <c r="C4" s="33"/>
      <c r="D4" s="33"/>
      <c r="E4" s="33"/>
      <c r="F4" s="33"/>
      <c r="G4" s="33"/>
      <c r="H4" s="33"/>
    </row>
    <row r="5" spans="1:8" s="30" customFormat="1" ht="15" customHeight="1" thickTop="1">
      <c r="A5" s="349" t="s">
        <v>3</v>
      </c>
      <c r="B5" s="177" t="s">
        <v>4</v>
      </c>
      <c r="C5" s="177">
        <v>23</v>
      </c>
      <c r="D5" s="300">
        <v>24</v>
      </c>
      <c r="E5" s="301" t="s">
        <v>3</v>
      </c>
      <c r="F5" s="177" t="s">
        <v>4</v>
      </c>
      <c r="G5" s="177">
        <v>23</v>
      </c>
      <c r="H5" s="302">
        <v>24</v>
      </c>
    </row>
    <row r="6" spans="1:8" s="30" customFormat="1" ht="15" customHeight="1">
      <c r="A6" s="335"/>
      <c r="B6" s="79" t="s">
        <v>6</v>
      </c>
      <c r="C6" s="79" t="s">
        <v>7</v>
      </c>
      <c r="D6" s="303" t="s">
        <v>8</v>
      </c>
      <c r="E6" s="41" t="s">
        <v>9</v>
      </c>
      <c r="F6" s="79" t="s">
        <v>6</v>
      </c>
      <c r="G6" s="79" t="s">
        <v>7</v>
      </c>
      <c r="H6" s="145" t="s">
        <v>8</v>
      </c>
    </row>
    <row r="7" spans="1:8" s="30" customFormat="1" ht="13.5">
      <c r="A7" s="276"/>
      <c r="B7" s="304"/>
      <c r="C7" s="51"/>
      <c r="D7" s="305"/>
      <c r="E7" s="276"/>
      <c r="F7" s="304"/>
      <c r="G7" s="51"/>
      <c r="H7" s="51"/>
    </row>
    <row r="8" spans="1:8" s="30" customFormat="1" ht="13.5">
      <c r="A8" s="306" t="s">
        <v>10</v>
      </c>
      <c r="B8" s="278">
        <v>3</v>
      </c>
      <c r="C8" s="279">
        <v>6</v>
      </c>
      <c r="D8" s="307">
        <v>9</v>
      </c>
      <c r="E8" s="195" t="s">
        <v>11</v>
      </c>
      <c r="F8" s="242">
        <v>22</v>
      </c>
      <c r="G8" s="282">
        <v>26</v>
      </c>
      <c r="H8" s="282">
        <v>41</v>
      </c>
    </row>
    <row r="9" spans="1:8" s="30" customFormat="1" ht="13.5">
      <c r="A9" s="276" t="s">
        <v>12</v>
      </c>
      <c r="B9" s="281"/>
      <c r="C9" s="282"/>
      <c r="D9" s="308"/>
      <c r="E9" s="195" t="s">
        <v>13</v>
      </c>
      <c r="F9" s="242">
        <v>0</v>
      </c>
      <c r="G9" s="282">
        <v>2</v>
      </c>
      <c r="H9" s="213">
        <v>0</v>
      </c>
    </row>
    <row r="10" spans="1:8" s="30" customFormat="1" ht="13.5">
      <c r="A10" s="309" t="s">
        <v>14</v>
      </c>
      <c r="B10" s="242">
        <v>0</v>
      </c>
      <c r="C10" s="213">
        <v>0</v>
      </c>
      <c r="D10" s="310">
        <v>0</v>
      </c>
      <c r="E10" s="195" t="s">
        <v>15</v>
      </c>
      <c r="F10" s="242">
        <v>3</v>
      </c>
      <c r="G10" s="213">
        <v>3</v>
      </c>
      <c r="H10" s="213">
        <v>0</v>
      </c>
    </row>
    <row r="11" spans="1:8" s="30" customFormat="1" ht="13.5">
      <c r="A11" s="309" t="s">
        <v>16</v>
      </c>
      <c r="B11" s="242">
        <v>1</v>
      </c>
      <c r="C11" s="213">
        <v>2</v>
      </c>
      <c r="D11" s="310">
        <v>0</v>
      </c>
      <c r="E11" s="195" t="s">
        <v>17</v>
      </c>
      <c r="F11" s="242">
        <v>7</v>
      </c>
      <c r="G11" s="213">
        <v>1</v>
      </c>
      <c r="H11" s="213">
        <v>5</v>
      </c>
    </row>
    <row r="12" spans="1:8" s="30" customFormat="1" ht="13.5">
      <c r="A12" s="309" t="s">
        <v>18</v>
      </c>
      <c r="B12" s="281">
        <v>2</v>
      </c>
      <c r="C12" s="282">
        <v>4</v>
      </c>
      <c r="D12" s="308">
        <v>8</v>
      </c>
      <c r="E12" s="195" t="s">
        <v>19</v>
      </c>
      <c r="F12" s="242">
        <v>20</v>
      </c>
      <c r="G12" s="282">
        <v>24</v>
      </c>
      <c r="H12" s="282">
        <v>26</v>
      </c>
    </row>
    <row r="13" spans="1:8" s="30" customFormat="1" ht="13.5">
      <c r="A13" s="309" t="s">
        <v>20</v>
      </c>
      <c r="B13" s="242">
        <v>0</v>
      </c>
      <c r="C13" s="213">
        <v>0</v>
      </c>
      <c r="D13" s="310">
        <v>1</v>
      </c>
      <c r="E13" s="195" t="s">
        <v>21</v>
      </c>
      <c r="F13" s="242">
        <v>12</v>
      </c>
      <c r="G13" s="213">
        <v>9</v>
      </c>
      <c r="H13" s="213">
        <v>20</v>
      </c>
    </row>
    <row r="14" spans="1:8" s="30" customFormat="1" ht="13.5">
      <c r="A14" s="276"/>
      <c r="B14" s="281"/>
      <c r="C14" s="282"/>
      <c r="D14" s="308"/>
      <c r="E14" s="195" t="s">
        <v>22</v>
      </c>
      <c r="F14" s="242">
        <v>0</v>
      </c>
      <c r="G14" s="213">
        <v>0</v>
      </c>
      <c r="H14" s="213">
        <v>0</v>
      </c>
    </row>
    <row r="15" spans="1:8" s="30" customFormat="1" ht="13.5">
      <c r="A15" s="276"/>
      <c r="B15" s="281"/>
      <c r="C15" s="282"/>
      <c r="D15" s="308"/>
      <c r="E15" s="195" t="s">
        <v>23</v>
      </c>
      <c r="F15" s="242">
        <v>12</v>
      </c>
      <c r="G15" s="213">
        <v>10</v>
      </c>
      <c r="H15" s="213">
        <v>8</v>
      </c>
    </row>
    <row r="16" spans="1:8" s="30" customFormat="1" ht="13.5">
      <c r="A16" s="306" t="s">
        <v>24</v>
      </c>
      <c r="B16" s="278">
        <v>575</v>
      </c>
      <c r="C16" s="279">
        <v>575</v>
      </c>
      <c r="D16" s="307">
        <v>620</v>
      </c>
      <c r="E16" s="195" t="s">
        <v>25</v>
      </c>
      <c r="F16" s="242">
        <v>4</v>
      </c>
      <c r="G16" s="282">
        <v>3</v>
      </c>
      <c r="H16" s="282">
        <v>2</v>
      </c>
    </row>
    <row r="17" spans="1:8" s="30" customFormat="1" ht="13.5">
      <c r="A17" s="276" t="s">
        <v>12</v>
      </c>
      <c r="B17" s="281"/>
      <c r="C17" s="282"/>
      <c r="D17" s="308"/>
      <c r="E17" s="195" t="s">
        <v>26</v>
      </c>
      <c r="F17" s="242">
        <v>14</v>
      </c>
      <c r="G17" s="282">
        <v>18</v>
      </c>
      <c r="H17" s="282">
        <v>18</v>
      </c>
    </row>
    <row r="18" spans="1:8" s="30" customFormat="1" ht="13.5">
      <c r="A18" s="309" t="s">
        <v>14</v>
      </c>
      <c r="B18" s="242">
        <v>1</v>
      </c>
      <c r="C18" s="213">
        <v>0</v>
      </c>
      <c r="D18" s="310">
        <f>SUM(D19:D20)</f>
        <v>1</v>
      </c>
      <c r="E18" s="195" t="s">
        <v>27</v>
      </c>
      <c r="F18" s="242">
        <v>27</v>
      </c>
      <c r="G18" s="282">
        <v>51</v>
      </c>
      <c r="H18" s="282">
        <v>44</v>
      </c>
    </row>
    <row r="19" spans="1:8" s="30" customFormat="1" ht="13.5">
      <c r="A19" s="195" t="s">
        <v>28</v>
      </c>
      <c r="B19" s="242">
        <v>1</v>
      </c>
      <c r="C19" s="213">
        <v>0</v>
      </c>
      <c r="D19" s="213">
        <v>1</v>
      </c>
      <c r="E19" s="311"/>
      <c r="F19" s="281"/>
      <c r="G19" s="282"/>
      <c r="H19" s="282"/>
    </row>
    <row r="20" spans="1:8" s="30" customFormat="1" ht="13.5">
      <c r="A20" s="195" t="s">
        <v>29</v>
      </c>
      <c r="B20" s="242">
        <v>0</v>
      </c>
      <c r="C20" s="213">
        <v>0</v>
      </c>
      <c r="D20" s="310">
        <v>0</v>
      </c>
      <c r="E20" s="311" t="s">
        <v>20</v>
      </c>
      <c r="F20" s="281">
        <v>17</v>
      </c>
      <c r="G20" s="282">
        <v>11</v>
      </c>
      <c r="H20" s="282">
        <v>10</v>
      </c>
    </row>
    <row r="21" spans="1:8" s="30" customFormat="1" ht="13.5">
      <c r="A21" s="309"/>
      <c r="B21" s="281"/>
      <c r="C21" s="282"/>
      <c r="D21" s="282"/>
      <c r="E21" s="311"/>
      <c r="F21" s="281"/>
      <c r="G21" s="282"/>
      <c r="H21" s="282"/>
    </row>
    <row r="22" spans="1:8" s="30" customFormat="1" ht="13.5">
      <c r="A22" s="309" t="s">
        <v>16</v>
      </c>
      <c r="B22" s="281">
        <v>372</v>
      </c>
      <c r="C22" s="282">
        <v>359</v>
      </c>
      <c r="D22" s="282">
        <f>SUM(D23:D25)</f>
        <v>367</v>
      </c>
      <c r="E22" s="312" t="s">
        <v>30</v>
      </c>
      <c r="F22" s="281"/>
      <c r="G22" s="282"/>
      <c r="H22" s="282"/>
    </row>
    <row r="23" spans="1:8" s="30" customFormat="1" ht="13.5">
      <c r="A23" s="195" t="s">
        <v>31</v>
      </c>
      <c r="B23" s="242">
        <v>0</v>
      </c>
      <c r="C23" s="213">
        <v>1</v>
      </c>
      <c r="D23" s="213">
        <v>1</v>
      </c>
      <c r="E23" s="313" t="s">
        <v>32</v>
      </c>
      <c r="F23" s="281">
        <v>259</v>
      </c>
      <c r="G23" s="282">
        <v>268</v>
      </c>
      <c r="H23" s="282">
        <v>264</v>
      </c>
    </row>
    <row r="24" spans="1:8" s="30" customFormat="1" ht="13.5">
      <c r="A24" s="195" t="s">
        <v>33</v>
      </c>
      <c r="B24" s="281">
        <v>55</v>
      </c>
      <c r="C24" s="282">
        <v>54</v>
      </c>
      <c r="D24" s="282">
        <v>70</v>
      </c>
      <c r="E24" s="313" t="s">
        <v>34</v>
      </c>
      <c r="F24" s="281">
        <v>62</v>
      </c>
      <c r="G24" s="282">
        <v>65</v>
      </c>
      <c r="H24" s="282">
        <v>70</v>
      </c>
    </row>
    <row r="25" spans="1:8" s="30" customFormat="1" ht="13.5">
      <c r="A25" s="195" t="s">
        <v>35</v>
      </c>
      <c r="B25" s="281">
        <v>317</v>
      </c>
      <c r="C25" s="282">
        <v>304</v>
      </c>
      <c r="D25" s="282">
        <v>296</v>
      </c>
      <c r="E25" s="313" t="s">
        <v>36</v>
      </c>
      <c r="F25" s="281">
        <v>48</v>
      </c>
      <c r="G25" s="282">
        <v>39</v>
      </c>
      <c r="H25" s="282">
        <v>51</v>
      </c>
    </row>
    <row r="26" spans="1:8" s="30" customFormat="1" ht="13.5">
      <c r="A26" s="309"/>
      <c r="B26" s="281"/>
      <c r="C26" s="282"/>
      <c r="D26" s="282"/>
      <c r="E26" s="313" t="s">
        <v>37</v>
      </c>
      <c r="F26" s="281">
        <v>38</v>
      </c>
      <c r="G26" s="282">
        <v>35</v>
      </c>
      <c r="H26" s="282">
        <v>44</v>
      </c>
    </row>
    <row r="27" spans="1:8" s="30" customFormat="1" ht="13.5">
      <c r="A27" s="309" t="s">
        <v>38</v>
      </c>
      <c r="B27" s="281">
        <v>185</v>
      </c>
      <c r="C27" s="282">
        <v>205</v>
      </c>
      <c r="D27" s="282">
        <f>SUM(D28:D30,H8:H18)</f>
        <v>242</v>
      </c>
      <c r="E27" s="313" t="s">
        <v>39</v>
      </c>
      <c r="F27" s="281">
        <v>46</v>
      </c>
      <c r="G27" s="282">
        <v>56</v>
      </c>
      <c r="H27" s="282">
        <v>68</v>
      </c>
    </row>
    <row r="28" spans="1:8" s="30" customFormat="1" ht="13.5">
      <c r="A28" s="314" t="s">
        <v>40</v>
      </c>
      <c r="B28" s="242">
        <v>32</v>
      </c>
      <c r="C28" s="282">
        <v>31</v>
      </c>
      <c r="D28" s="282">
        <v>24</v>
      </c>
      <c r="E28" s="313" t="s">
        <v>41</v>
      </c>
      <c r="F28" s="281">
        <v>27</v>
      </c>
      <c r="G28" s="282">
        <v>19</v>
      </c>
      <c r="H28" s="282">
        <v>31</v>
      </c>
    </row>
    <row r="29" spans="1:8" s="30" customFormat="1" ht="13.5">
      <c r="A29" s="314" t="s">
        <v>42</v>
      </c>
      <c r="B29" s="242">
        <v>3</v>
      </c>
      <c r="C29" s="282">
        <v>4</v>
      </c>
      <c r="D29" s="282">
        <v>5</v>
      </c>
      <c r="E29" s="313" t="s">
        <v>43</v>
      </c>
      <c r="F29" s="281">
        <v>26</v>
      </c>
      <c r="G29" s="282">
        <v>20</v>
      </c>
      <c r="H29" s="282">
        <v>22</v>
      </c>
    </row>
    <row r="30" spans="1:8" s="30" customFormat="1" ht="13.5">
      <c r="A30" s="315" t="s">
        <v>44</v>
      </c>
      <c r="B30" s="316">
        <v>29</v>
      </c>
      <c r="C30" s="198">
        <v>23</v>
      </c>
      <c r="D30" s="198">
        <v>49</v>
      </c>
      <c r="E30" s="317" t="s">
        <v>45</v>
      </c>
      <c r="F30" s="198">
        <v>69</v>
      </c>
      <c r="G30" s="198">
        <v>73</v>
      </c>
      <c r="H30" s="198">
        <f>D16-H23-H24-H25-H26-H27-H28-H29</f>
        <v>70</v>
      </c>
    </row>
    <row r="31" spans="6:8" ht="13.5">
      <c r="F31" s="105"/>
      <c r="G31" s="105"/>
      <c r="H31" s="105"/>
    </row>
    <row r="32" spans="6:8" ht="13.5">
      <c r="F32" s="105"/>
      <c r="G32" s="105"/>
      <c r="H32" s="105"/>
    </row>
  </sheetData>
  <sheetProtection password="EE7F" sheet="1"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421875" style="35" customWidth="1"/>
    <col min="2" max="4" width="6.8515625" style="35" customWidth="1"/>
    <col min="5" max="8" width="6.140625" style="35" customWidth="1"/>
    <col min="9" max="14" width="5.8515625" style="35" customWidth="1"/>
    <col min="15" max="16" width="6.8515625" style="35" customWidth="1"/>
    <col min="17" max="18" width="6.00390625" style="35" customWidth="1"/>
    <col min="19" max="22" width="5.57421875" style="35" customWidth="1"/>
    <col min="23" max="24" width="5.421875" style="35" customWidth="1"/>
    <col min="25" max="26" width="5.7109375" style="35" customWidth="1"/>
    <col min="27" max="27" width="5.421875" style="35" customWidth="1"/>
    <col min="28" max="16384" width="9.00390625" style="35" customWidth="1"/>
  </cols>
  <sheetData>
    <row r="1" spans="1:27" s="30" customFormat="1" ht="13.5">
      <c r="A1" s="27"/>
      <c r="B1" s="73" t="s">
        <v>430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74"/>
      <c r="AA1" s="75"/>
    </row>
    <row r="2" spans="1:27" s="30" customFormat="1" ht="13.5">
      <c r="A2" s="74"/>
      <c r="B2" s="27" t="s">
        <v>431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74"/>
      <c r="AA2" s="75"/>
    </row>
    <row r="3" spans="1:27" s="30" customFormat="1" ht="18" customHeight="1">
      <c r="A3" s="27"/>
      <c r="B3" s="76" t="s">
        <v>467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74"/>
      <c r="AA3" s="75"/>
    </row>
    <row r="4" spans="1:27" s="30" customFormat="1" ht="18" customHeight="1" thickBot="1">
      <c r="A4" s="27"/>
      <c r="B4" s="27"/>
      <c r="C4" s="27"/>
      <c r="D4" s="27"/>
      <c r="E4" s="27"/>
      <c r="F4" s="27"/>
      <c r="G4" s="77"/>
      <c r="H4" s="77"/>
      <c r="I4" s="27"/>
      <c r="J4" s="27"/>
      <c r="K4" s="77"/>
      <c r="L4" s="7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74"/>
      <c r="AA4" s="75"/>
    </row>
    <row r="5" spans="1:27" s="30" customFormat="1" ht="18" customHeight="1" thickTop="1">
      <c r="A5" s="334" t="s">
        <v>468</v>
      </c>
      <c r="B5" s="37" t="s">
        <v>53</v>
      </c>
      <c r="C5" s="38"/>
      <c r="D5" s="38"/>
      <c r="E5" s="330" t="s">
        <v>469</v>
      </c>
      <c r="F5" s="336"/>
      <c r="G5" s="337" t="s">
        <v>470</v>
      </c>
      <c r="H5" s="335"/>
      <c r="I5" s="338" t="s">
        <v>471</v>
      </c>
      <c r="J5" s="338"/>
      <c r="K5" s="330" t="s">
        <v>472</v>
      </c>
      <c r="L5" s="336"/>
      <c r="M5" s="330" t="s">
        <v>473</v>
      </c>
      <c r="N5" s="331"/>
      <c r="O5" s="330" t="s">
        <v>474</v>
      </c>
      <c r="P5" s="331"/>
      <c r="Q5" s="38" t="s">
        <v>475</v>
      </c>
      <c r="R5" s="38"/>
      <c r="S5" s="37" t="s">
        <v>476</v>
      </c>
      <c r="T5" s="39"/>
      <c r="U5" s="37" t="s">
        <v>477</v>
      </c>
      <c r="V5" s="39"/>
      <c r="W5" s="330" t="s">
        <v>478</v>
      </c>
      <c r="X5" s="331"/>
      <c r="Y5" s="332" t="s">
        <v>479</v>
      </c>
      <c r="Z5" s="333"/>
      <c r="AA5" s="75"/>
    </row>
    <row r="6" spans="1:27" s="30" customFormat="1" ht="18" customHeight="1">
      <c r="A6" s="335"/>
      <c r="B6" s="41" t="s">
        <v>53</v>
      </c>
      <c r="C6" s="42" t="s">
        <v>54</v>
      </c>
      <c r="D6" s="41" t="s">
        <v>55</v>
      </c>
      <c r="E6" s="42" t="s">
        <v>54</v>
      </c>
      <c r="F6" s="40" t="s">
        <v>55</v>
      </c>
      <c r="G6" s="42" t="s">
        <v>54</v>
      </c>
      <c r="H6" s="40" t="s">
        <v>55</v>
      </c>
      <c r="I6" s="42" t="s">
        <v>54</v>
      </c>
      <c r="J6" s="41" t="s">
        <v>55</v>
      </c>
      <c r="K6" s="42" t="s">
        <v>54</v>
      </c>
      <c r="L6" s="41" t="s">
        <v>55</v>
      </c>
      <c r="M6" s="42" t="s">
        <v>54</v>
      </c>
      <c r="N6" s="41" t="s">
        <v>55</v>
      </c>
      <c r="O6" s="42" t="s">
        <v>54</v>
      </c>
      <c r="P6" s="40" t="s">
        <v>55</v>
      </c>
      <c r="Q6" s="42" t="s">
        <v>54</v>
      </c>
      <c r="R6" s="41" t="s">
        <v>55</v>
      </c>
      <c r="S6" s="42" t="s">
        <v>54</v>
      </c>
      <c r="T6" s="40" t="s">
        <v>55</v>
      </c>
      <c r="U6" s="42" t="s">
        <v>54</v>
      </c>
      <c r="V6" s="40" t="s">
        <v>55</v>
      </c>
      <c r="W6" s="79" t="s">
        <v>352</v>
      </c>
      <c r="X6" s="42" t="s">
        <v>353</v>
      </c>
      <c r="Y6" s="41" t="s">
        <v>54</v>
      </c>
      <c r="Z6" s="43" t="s">
        <v>55</v>
      </c>
      <c r="AA6" s="75"/>
    </row>
    <row r="7" spans="1:26" s="30" customFormat="1" ht="18" customHeight="1">
      <c r="A7" s="57" t="s">
        <v>480</v>
      </c>
      <c r="B7" s="80" t="s">
        <v>209</v>
      </c>
      <c r="C7" s="80" t="s">
        <v>209</v>
      </c>
      <c r="D7" s="80" t="s">
        <v>209</v>
      </c>
      <c r="E7" s="80" t="s">
        <v>209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</row>
    <row r="8" spans="1:26" s="30" customFormat="1" ht="18" customHeight="1">
      <c r="A8" s="47" t="s">
        <v>5</v>
      </c>
      <c r="B8" s="82">
        <v>1249</v>
      </c>
      <c r="C8" s="82">
        <v>98</v>
      </c>
      <c r="D8" s="82">
        <v>1151</v>
      </c>
      <c r="E8" s="82">
        <v>66</v>
      </c>
      <c r="F8" s="82">
        <v>94</v>
      </c>
      <c r="G8" s="82">
        <v>5</v>
      </c>
      <c r="H8" s="82">
        <v>20</v>
      </c>
      <c r="I8" s="82">
        <v>2</v>
      </c>
      <c r="J8" s="82">
        <v>18</v>
      </c>
      <c r="K8" s="83">
        <v>0</v>
      </c>
      <c r="L8" s="82">
        <v>5</v>
      </c>
      <c r="M8" s="82">
        <v>0</v>
      </c>
      <c r="N8" s="82">
        <v>2</v>
      </c>
      <c r="O8" s="82">
        <v>19</v>
      </c>
      <c r="P8" s="82">
        <v>977</v>
      </c>
      <c r="Q8" s="82">
        <v>1</v>
      </c>
      <c r="R8" s="82">
        <v>19</v>
      </c>
      <c r="S8" s="82">
        <v>0</v>
      </c>
      <c r="T8" s="82">
        <v>2</v>
      </c>
      <c r="U8" s="82">
        <v>0</v>
      </c>
      <c r="V8" s="82">
        <v>0</v>
      </c>
      <c r="W8" s="82">
        <v>0</v>
      </c>
      <c r="X8" s="82">
        <v>1</v>
      </c>
      <c r="Y8" s="82">
        <v>5</v>
      </c>
      <c r="Z8" s="84">
        <v>13</v>
      </c>
    </row>
    <row r="9" spans="1:26" s="30" customFormat="1" ht="18" customHeight="1">
      <c r="A9" s="85">
        <v>22</v>
      </c>
      <c r="B9" s="82">
        <v>1240</v>
      </c>
      <c r="C9" s="82">
        <v>103</v>
      </c>
      <c r="D9" s="82">
        <v>1137</v>
      </c>
      <c r="E9" s="82">
        <v>70</v>
      </c>
      <c r="F9" s="82">
        <v>90</v>
      </c>
      <c r="G9" s="82">
        <v>9</v>
      </c>
      <c r="H9" s="82">
        <v>23</v>
      </c>
      <c r="I9" s="82">
        <v>3</v>
      </c>
      <c r="J9" s="82">
        <v>15</v>
      </c>
      <c r="K9" s="82">
        <v>0</v>
      </c>
      <c r="L9" s="82">
        <v>8</v>
      </c>
      <c r="M9" s="82">
        <v>0</v>
      </c>
      <c r="N9" s="82">
        <v>3</v>
      </c>
      <c r="O9" s="82">
        <v>18</v>
      </c>
      <c r="P9" s="82">
        <v>959</v>
      </c>
      <c r="Q9" s="82">
        <v>1</v>
      </c>
      <c r="R9" s="82">
        <v>29</v>
      </c>
      <c r="S9" s="82">
        <v>0</v>
      </c>
      <c r="T9" s="82">
        <v>3</v>
      </c>
      <c r="U9" s="82">
        <v>0</v>
      </c>
      <c r="V9" s="82">
        <v>0</v>
      </c>
      <c r="W9" s="82">
        <v>0</v>
      </c>
      <c r="X9" s="82">
        <v>0</v>
      </c>
      <c r="Y9" s="82">
        <v>2</v>
      </c>
      <c r="Z9" s="84">
        <v>7</v>
      </c>
    </row>
    <row r="10" spans="1:26" s="30" customFormat="1" ht="18" customHeight="1">
      <c r="A10" s="85">
        <v>23</v>
      </c>
      <c r="B10" s="82">
        <v>1230</v>
      </c>
      <c r="C10" s="82">
        <v>100</v>
      </c>
      <c r="D10" s="82">
        <v>1130</v>
      </c>
      <c r="E10" s="82">
        <v>66</v>
      </c>
      <c r="F10" s="82">
        <v>91</v>
      </c>
      <c r="G10" s="82">
        <v>7</v>
      </c>
      <c r="H10" s="82">
        <v>23</v>
      </c>
      <c r="I10" s="82">
        <v>3</v>
      </c>
      <c r="J10" s="82">
        <v>15</v>
      </c>
      <c r="K10" s="82">
        <v>0</v>
      </c>
      <c r="L10" s="82">
        <v>11</v>
      </c>
      <c r="M10" s="82">
        <v>0</v>
      </c>
      <c r="N10" s="82">
        <v>3</v>
      </c>
      <c r="O10" s="82">
        <v>21</v>
      </c>
      <c r="P10" s="82">
        <v>948</v>
      </c>
      <c r="Q10" s="82">
        <v>1</v>
      </c>
      <c r="R10" s="82">
        <v>28</v>
      </c>
      <c r="S10" s="82">
        <v>0</v>
      </c>
      <c r="T10" s="82">
        <v>3</v>
      </c>
      <c r="U10" s="82">
        <v>0</v>
      </c>
      <c r="V10" s="82">
        <v>0</v>
      </c>
      <c r="W10" s="82">
        <v>0</v>
      </c>
      <c r="X10" s="82">
        <v>0</v>
      </c>
      <c r="Y10" s="82">
        <v>2</v>
      </c>
      <c r="Z10" s="84">
        <v>8</v>
      </c>
    </row>
    <row r="11" spans="1:26" s="30" customFormat="1" ht="18" customHeight="1">
      <c r="A11" s="85">
        <v>24</v>
      </c>
      <c r="B11" s="82">
        <v>1224</v>
      </c>
      <c r="C11" s="82">
        <v>100</v>
      </c>
      <c r="D11" s="82">
        <v>1124</v>
      </c>
      <c r="E11" s="82">
        <v>66</v>
      </c>
      <c r="F11" s="82">
        <v>94</v>
      </c>
      <c r="G11" s="82">
        <v>9</v>
      </c>
      <c r="H11" s="82">
        <v>23</v>
      </c>
      <c r="I11" s="82">
        <v>2</v>
      </c>
      <c r="J11" s="82">
        <v>16</v>
      </c>
      <c r="K11" s="82">
        <v>0</v>
      </c>
      <c r="L11" s="82">
        <v>12</v>
      </c>
      <c r="M11" s="82">
        <v>0</v>
      </c>
      <c r="N11" s="82">
        <v>4</v>
      </c>
      <c r="O11" s="82">
        <v>20</v>
      </c>
      <c r="P11" s="82">
        <v>949</v>
      </c>
      <c r="Q11" s="82">
        <v>1</v>
      </c>
      <c r="R11" s="82">
        <v>11</v>
      </c>
      <c r="S11" s="82">
        <v>0</v>
      </c>
      <c r="T11" s="82">
        <v>2</v>
      </c>
      <c r="U11" s="82">
        <v>0</v>
      </c>
      <c r="V11" s="82">
        <v>0</v>
      </c>
      <c r="W11" s="82">
        <v>0</v>
      </c>
      <c r="X11" s="82">
        <v>1</v>
      </c>
      <c r="Y11" s="82">
        <v>2</v>
      </c>
      <c r="Z11" s="86">
        <v>12</v>
      </c>
    </row>
    <row r="12" spans="1:26" s="30" customFormat="1" ht="18" customHeight="1">
      <c r="A12" s="87">
        <v>25</v>
      </c>
      <c r="B12" s="88">
        <v>1220</v>
      </c>
      <c r="C12" s="88">
        <v>99</v>
      </c>
      <c r="D12" s="88">
        <v>1121</v>
      </c>
      <c r="E12" s="88">
        <v>65</v>
      </c>
      <c r="F12" s="88">
        <v>91</v>
      </c>
      <c r="G12" s="88">
        <v>10</v>
      </c>
      <c r="H12" s="88">
        <v>26</v>
      </c>
      <c r="I12" s="88">
        <v>2</v>
      </c>
      <c r="J12" s="88">
        <v>18</v>
      </c>
      <c r="K12" s="89">
        <v>0</v>
      </c>
      <c r="L12" s="88">
        <v>13</v>
      </c>
      <c r="M12" s="89">
        <v>0</v>
      </c>
      <c r="N12" s="88">
        <v>4</v>
      </c>
      <c r="O12" s="88">
        <v>20</v>
      </c>
      <c r="P12" s="88">
        <v>939</v>
      </c>
      <c r="Q12" s="88">
        <v>0</v>
      </c>
      <c r="R12" s="88">
        <v>15</v>
      </c>
      <c r="S12" s="89">
        <v>0</v>
      </c>
      <c r="T12" s="88">
        <v>2</v>
      </c>
      <c r="U12" s="89">
        <v>0</v>
      </c>
      <c r="V12" s="89">
        <v>0</v>
      </c>
      <c r="W12" s="89">
        <v>0</v>
      </c>
      <c r="X12" s="89">
        <v>0</v>
      </c>
      <c r="Y12" s="88">
        <v>2</v>
      </c>
      <c r="Z12" s="90">
        <v>13</v>
      </c>
    </row>
    <row r="13" spans="1:26" s="30" customFormat="1" ht="18" customHeight="1">
      <c r="A13" s="57" t="s">
        <v>481</v>
      </c>
      <c r="B13" s="82" t="s">
        <v>209</v>
      </c>
      <c r="C13" s="82" t="s">
        <v>209</v>
      </c>
      <c r="D13" s="82" t="s">
        <v>209</v>
      </c>
      <c r="E13" s="82"/>
      <c r="F13" s="82"/>
      <c r="G13" s="84"/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4"/>
    </row>
    <row r="14" spans="1:26" s="30" customFormat="1" ht="18" customHeight="1">
      <c r="A14" s="47" t="s">
        <v>5</v>
      </c>
      <c r="B14" s="82">
        <v>5262</v>
      </c>
      <c r="C14" s="82">
        <v>1904</v>
      </c>
      <c r="D14" s="82">
        <v>3358</v>
      </c>
      <c r="E14" s="82">
        <v>255</v>
      </c>
      <c r="F14" s="82">
        <v>72</v>
      </c>
      <c r="G14" s="82">
        <v>1</v>
      </c>
      <c r="H14" s="82">
        <v>1</v>
      </c>
      <c r="I14" s="82">
        <v>255</v>
      </c>
      <c r="J14" s="82">
        <v>78</v>
      </c>
      <c r="K14" s="82">
        <v>2</v>
      </c>
      <c r="L14" s="82">
        <v>0</v>
      </c>
      <c r="M14" s="82">
        <v>0</v>
      </c>
      <c r="N14" s="82">
        <v>0</v>
      </c>
      <c r="O14" s="82">
        <v>1379</v>
      </c>
      <c r="P14" s="82">
        <v>2781</v>
      </c>
      <c r="Q14" s="82">
        <v>12</v>
      </c>
      <c r="R14" s="82">
        <v>56</v>
      </c>
      <c r="S14" s="82">
        <v>0</v>
      </c>
      <c r="T14" s="82">
        <v>332</v>
      </c>
      <c r="U14" s="82">
        <v>0</v>
      </c>
      <c r="V14" s="82">
        <v>0</v>
      </c>
      <c r="W14" s="82">
        <v>0</v>
      </c>
      <c r="X14" s="82">
        <v>36</v>
      </c>
      <c r="Y14" s="82">
        <v>0</v>
      </c>
      <c r="Z14" s="84">
        <v>2</v>
      </c>
    </row>
    <row r="15" spans="1:26" s="30" customFormat="1" ht="18" customHeight="1">
      <c r="A15" s="85">
        <v>22</v>
      </c>
      <c r="B15" s="82">
        <v>5263</v>
      </c>
      <c r="C15" s="82">
        <v>1885</v>
      </c>
      <c r="D15" s="82">
        <v>3378</v>
      </c>
      <c r="E15" s="82">
        <v>252</v>
      </c>
      <c r="F15" s="82">
        <v>70</v>
      </c>
      <c r="G15" s="82">
        <v>1</v>
      </c>
      <c r="H15" s="82">
        <v>1</v>
      </c>
      <c r="I15" s="82">
        <v>262</v>
      </c>
      <c r="J15" s="82">
        <v>66</v>
      </c>
      <c r="K15" s="82">
        <v>2</v>
      </c>
      <c r="L15" s="82">
        <v>0</v>
      </c>
      <c r="M15" s="82">
        <v>0</v>
      </c>
      <c r="N15" s="82">
        <v>0</v>
      </c>
      <c r="O15" s="82">
        <v>1356</v>
      </c>
      <c r="P15" s="82">
        <v>2802</v>
      </c>
      <c r="Q15" s="82">
        <v>10</v>
      </c>
      <c r="R15" s="82">
        <v>60</v>
      </c>
      <c r="S15" s="82">
        <v>0</v>
      </c>
      <c r="T15" s="82">
        <v>331</v>
      </c>
      <c r="U15" s="82">
        <v>0</v>
      </c>
      <c r="V15" s="82">
        <v>1</v>
      </c>
      <c r="W15" s="82">
        <v>1</v>
      </c>
      <c r="X15" s="82">
        <v>44</v>
      </c>
      <c r="Y15" s="82">
        <v>1</v>
      </c>
      <c r="Z15" s="84">
        <v>3</v>
      </c>
    </row>
    <row r="16" spans="1:26" s="30" customFormat="1" ht="18" customHeight="1">
      <c r="A16" s="85">
        <v>23</v>
      </c>
      <c r="B16" s="82">
        <v>5257</v>
      </c>
      <c r="C16" s="82">
        <v>1884</v>
      </c>
      <c r="D16" s="82">
        <v>3373</v>
      </c>
      <c r="E16" s="82">
        <v>253</v>
      </c>
      <c r="F16" s="82">
        <v>63</v>
      </c>
      <c r="G16" s="82">
        <v>1</v>
      </c>
      <c r="H16" s="82">
        <v>1</v>
      </c>
      <c r="I16" s="82">
        <v>266</v>
      </c>
      <c r="J16" s="82">
        <v>64</v>
      </c>
      <c r="K16" s="82">
        <v>2</v>
      </c>
      <c r="L16" s="82">
        <v>0</v>
      </c>
      <c r="M16" s="82">
        <v>0</v>
      </c>
      <c r="N16" s="82">
        <v>0</v>
      </c>
      <c r="O16" s="82">
        <v>1352</v>
      </c>
      <c r="P16" s="82">
        <v>2793</v>
      </c>
      <c r="Q16" s="82">
        <v>6</v>
      </c>
      <c r="R16" s="82">
        <v>62</v>
      </c>
      <c r="S16" s="82">
        <v>1</v>
      </c>
      <c r="T16" s="82">
        <v>333</v>
      </c>
      <c r="U16" s="82">
        <v>0</v>
      </c>
      <c r="V16" s="82">
        <v>0</v>
      </c>
      <c r="W16" s="82">
        <v>1</v>
      </c>
      <c r="X16" s="82">
        <v>52</v>
      </c>
      <c r="Y16" s="82">
        <v>2</v>
      </c>
      <c r="Z16" s="84">
        <v>5</v>
      </c>
    </row>
    <row r="17" spans="1:27" s="30" customFormat="1" ht="18" customHeight="1">
      <c r="A17" s="85">
        <v>24</v>
      </c>
      <c r="B17" s="82">
        <v>5203</v>
      </c>
      <c r="C17" s="82">
        <v>1858</v>
      </c>
      <c r="D17" s="82">
        <v>3345</v>
      </c>
      <c r="E17" s="82">
        <v>257</v>
      </c>
      <c r="F17" s="82">
        <v>57</v>
      </c>
      <c r="G17" s="82">
        <v>1</v>
      </c>
      <c r="H17" s="82">
        <v>1</v>
      </c>
      <c r="I17" s="82">
        <v>268</v>
      </c>
      <c r="J17" s="82">
        <v>61</v>
      </c>
      <c r="K17" s="82">
        <v>2</v>
      </c>
      <c r="L17" s="82">
        <v>0</v>
      </c>
      <c r="M17" s="82">
        <v>0</v>
      </c>
      <c r="N17" s="82">
        <v>0</v>
      </c>
      <c r="O17" s="82">
        <v>1321</v>
      </c>
      <c r="P17" s="82">
        <v>2779</v>
      </c>
      <c r="Q17" s="82">
        <v>6</v>
      </c>
      <c r="R17" s="82">
        <v>58</v>
      </c>
      <c r="S17" s="82">
        <v>1</v>
      </c>
      <c r="T17" s="82">
        <v>327</v>
      </c>
      <c r="U17" s="82">
        <v>0</v>
      </c>
      <c r="V17" s="82">
        <v>1</v>
      </c>
      <c r="W17" s="82">
        <v>1</v>
      </c>
      <c r="X17" s="82">
        <v>60</v>
      </c>
      <c r="Y17" s="82">
        <v>1</v>
      </c>
      <c r="Z17" s="86">
        <v>1</v>
      </c>
      <c r="AA17" s="91"/>
    </row>
    <row r="18" spans="1:26" s="30" customFormat="1" ht="18" customHeight="1">
      <c r="A18" s="87">
        <v>25</v>
      </c>
      <c r="B18" s="88">
        <v>5189</v>
      </c>
      <c r="C18" s="88">
        <v>1856</v>
      </c>
      <c r="D18" s="88">
        <v>3333</v>
      </c>
      <c r="E18" s="88">
        <v>257</v>
      </c>
      <c r="F18" s="88">
        <v>52</v>
      </c>
      <c r="G18" s="88">
        <v>1</v>
      </c>
      <c r="H18" s="88">
        <v>1</v>
      </c>
      <c r="I18" s="88">
        <v>267</v>
      </c>
      <c r="J18" s="88">
        <v>59</v>
      </c>
      <c r="K18" s="88">
        <v>2</v>
      </c>
      <c r="L18" s="89">
        <v>0</v>
      </c>
      <c r="M18" s="89">
        <v>0</v>
      </c>
      <c r="N18" s="89">
        <v>0</v>
      </c>
      <c r="O18" s="88">
        <v>1319</v>
      </c>
      <c r="P18" s="88">
        <v>2774</v>
      </c>
      <c r="Q18" s="88">
        <v>8</v>
      </c>
      <c r="R18" s="88">
        <v>57</v>
      </c>
      <c r="S18" s="88">
        <v>1</v>
      </c>
      <c r="T18" s="88">
        <v>321</v>
      </c>
      <c r="U18" s="89">
        <v>0</v>
      </c>
      <c r="V18" s="89">
        <v>3</v>
      </c>
      <c r="W18" s="88">
        <v>1</v>
      </c>
      <c r="X18" s="88">
        <v>60</v>
      </c>
      <c r="Y18" s="88">
        <v>0</v>
      </c>
      <c r="Z18" s="90">
        <v>6</v>
      </c>
    </row>
    <row r="19" spans="1:26" s="30" customFormat="1" ht="18" customHeight="1">
      <c r="A19" s="57" t="s">
        <v>482</v>
      </c>
      <c r="B19" s="82" t="s">
        <v>209</v>
      </c>
      <c r="C19" s="82" t="s">
        <v>209</v>
      </c>
      <c r="D19" s="82" t="s">
        <v>209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4"/>
    </row>
    <row r="20" spans="1:26" s="30" customFormat="1" ht="18" customHeight="1">
      <c r="A20" s="47" t="s">
        <v>5</v>
      </c>
      <c r="B20" s="82">
        <v>3291</v>
      </c>
      <c r="C20" s="82">
        <v>1893</v>
      </c>
      <c r="D20" s="82">
        <v>1398</v>
      </c>
      <c r="E20" s="82">
        <v>143</v>
      </c>
      <c r="F20" s="82">
        <v>11</v>
      </c>
      <c r="G20" s="82">
        <v>3</v>
      </c>
      <c r="H20" s="82">
        <v>0</v>
      </c>
      <c r="I20" s="82">
        <v>176</v>
      </c>
      <c r="J20" s="82">
        <v>21</v>
      </c>
      <c r="K20" s="82">
        <v>2</v>
      </c>
      <c r="L20" s="82">
        <v>0</v>
      </c>
      <c r="M20" s="82">
        <v>0</v>
      </c>
      <c r="N20" s="82">
        <v>0</v>
      </c>
      <c r="O20" s="82">
        <v>1553</v>
      </c>
      <c r="P20" s="82">
        <v>1172</v>
      </c>
      <c r="Q20" s="82">
        <v>10</v>
      </c>
      <c r="R20" s="82">
        <v>5</v>
      </c>
      <c r="S20" s="82">
        <v>0</v>
      </c>
      <c r="T20" s="82">
        <v>169</v>
      </c>
      <c r="U20" s="82">
        <v>0</v>
      </c>
      <c r="V20" s="82">
        <v>0</v>
      </c>
      <c r="W20" s="82">
        <v>0</v>
      </c>
      <c r="X20" s="82">
        <v>13</v>
      </c>
      <c r="Y20" s="82">
        <v>6</v>
      </c>
      <c r="Z20" s="84">
        <v>7</v>
      </c>
    </row>
    <row r="21" spans="1:26" s="30" customFormat="1" ht="18" customHeight="1">
      <c r="A21" s="85">
        <v>22</v>
      </c>
      <c r="B21" s="82">
        <v>3273</v>
      </c>
      <c r="C21" s="82">
        <v>1878</v>
      </c>
      <c r="D21" s="82">
        <v>1395</v>
      </c>
      <c r="E21" s="82">
        <v>144</v>
      </c>
      <c r="F21" s="82">
        <v>9</v>
      </c>
      <c r="G21" s="82">
        <v>3</v>
      </c>
      <c r="H21" s="82">
        <v>1</v>
      </c>
      <c r="I21" s="82">
        <v>170</v>
      </c>
      <c r="J21" s="82">
        <v>21</v>
      </c>
      <c r="K21" s="82">
        <v>2</v>
      </c>
      <c r="L21" s="82">
        <v>0</v>
      </c>
      <c r="M21" s="82">
        <v>0</v>
      </c>
      <c r="N21" s="82">
        <v>0</v>
      </c>
      <c r="O21" s="82">
        <v>1543</v>
      </c>
      <c r="P21" s="82">
        <v>1169</v>
      </c>
      <c r="Q21" s="82">
        <v>5</v>
      </c>
      <c r="R21" s="82">
        <v>2</v>
      </c>
      <c r="S21" s="82">
        <v>0</v>
      </c>
      <c r="T21" s="82">
        <v>164</v>
      </c>
      <c r="U21" s="82">
        <v>0</v>
      </c>
      <c r="V21" s="82">
        <v>0</v>
      </c>
      <c r="W21" s="82">
        <v>0</v>
      </c>
      <c r="X21" s="82">
        <v>19</v>
      </c>
      <c r="Y21" s="82">
        <v>11</v>
      </c>
      <c r="Z21" s="84">
        <v>10</v>
      </c>
    </row>
    <row r="22" spans="1:26" s="30" customFormat="1" ht="18" customHeight="1">
      <c r="A22" s="85">
        <v>23</v>
      </c>
      <c r="B22" s="82">
        <v>3256</v>
      </c>
      <c r="C22" s="82">
        <v>1854</v>
      </c>
      <c r="D22" s="82">
        <v>1402</v>
      </c>
      <c r="E22" s="82">
        <v>139</v>
      </c>
      <c r="F22" s="82">
        <v>10</v>
      </c>
      <c r="G22" s="82">
        <v>3</v>
      </c>
      <c r="H22" s="82">
        <v>1</v>
      </c>
      <c r="I22" s="82">
        <v>167</v>
      </c>
      <c r="J22" s="82">
        <v>19</v>
      </c>
      <c r="K22" s="82">
        <v>3</v>
      </c>
      <c r="L22" s="82">
        <v>0</v>
      </c>
      <c r="M22" s="82">
        <v>0</v>
      </c>
      <c r="N22" s="82">
        <v>0</v>
      </c>
      <c r="O22" s="82">
        <v>1520</v>
      </c>
      <c r="P22" s="82">
        <v>1169</v>
      </c>
      <c r="Q22" s="82">
        <v>7</v>
      </c>
      <c r="R22" s="82">
        <v>1</v>
      </c>
      <c r="S22" s="82">
        <v>0</v>
      </c>
      <c r="T22" s="82">
        <v>166</v>
      </c>
      <c r="U22" s="82">
        <v>0</v>
      </c>
      <c r="V22" s="82">
        <v>0</v>
      </c>
      <c r="W22" s="82">
        <v>0</v>
      </c>
      <c r="X22" s="82">
        <v>26</v>
      </c>
      <c r="Y22" s="82">
        <v>15</v>
      </c>
      <c r="Z22" s="84">
        <v>10</v>
      </c>
    </row>
    <row r="23" spans="1:26" s="30" customFormat="1" ht="18" customHeight="1">
      <c r="A23" s="85">
        <v>24</v>
      </c>
      <c r="B23" s="82">
        <v>3251</v>
      </c>
      <c r="C23" s="82">
        <v>1844</v>
      </c>
      <c r="D23" s="82">
        <v>1407</v>
      </c>
      <c r="E23" s="82">
        <v>140</v>
      </c>
      <c r="F23" s="82">
        <v>9</v>
      </c>
      <c r="G23" s="82">
        <v>3</v>
      </c>
      <c r="H23" s="82">
        <v>1</v>
      </c>
      <c r="I23" s="82">
        <v>166</v>
      </c>
      <c r="J23" s="82">
        <v>21</v>
      </c>
      <c r="K23" s="82">
        <v>2</v>
      </c>
      <c r="L23" s="82">
        <v>0</v>
      </c>
      <c r="M23" s="82">
        <v>0</v>
      </c>
      <c r="N23" s="82">
        <v>0</v>
      </c>
      <c r="O23" s="82">
        <v>1524</v>
      </c>
      <c r="P23" s="82">
        <v>1173</v>
      </c>
      <c r="Q23" s="82">
        <v>3</v>
      </c>
      <c r="R23" s="82">
        <v>2</v>
      </c>
      <c r="S23" s="82">
        <v>0</v>
      </c>
      <c r="T23" s="82">
        <v>166</v>
      </c>
      <c r="U23" s="82">
        <v>0</v>
      </c>
      <c r="V23" s="82">
        <v>0</v>
      </c>
      <c r="W23" s="82">
        <v>0</v>
      </c>
      <c r="X23" s="82">
        <v>28</v>
      </c>
      <c r="Y23" s="82">
        <v>6</v>
      </c>
      <c r="Z23" s="86">
        <v>7</v>
      </c>
    </row>
    <row r="24" spans="1:26" s="30" customFormat="1" ht="18" customHeight="1">
      <c r="A24" s="87">
        <v>25</v>
      </c>
      <c r="B24" s="88">
        <v>3213</v>
      </c>
      <c r="C24" s="88">
        <v>1817</v>
      </c>
      <c r="D24" s="88">
        <v>1396</v>
      </c>
      <c r="E24" s="88">
        <v>136</v>
      </c>
      <c r="F24" s="88">
        <v>11</v>
      </c>
      <c r="G24" s="88">
        <v>4</v>
      </c>
      <c r="H24" s="88">
        <v>0</v>
      </c>
      <c r="I24" s="88">
        <v>170</v>
      </c>
      <c r="J24" s="88">
        <v>19</v>
      </c>
      <c r="K24" s="88">
        <v>2</v>
      </c>
      <c r="L24" s="89">
        <v>0</v>
      </c>
      <c r="M24" s="89">
        <v>0</v>
      </c>
      <c r="N24" s="89">
        <v>0</v>
      </c>
      <c r="O24" s="88">
        <v>1495</v>
      </c>
      <c r="P24" s="88">
        <v>1160</v>
      </c>
      <c r="Q24" s="88">
        <v>2</v>
      </c>
      <c r="R24" s="88">
        <v>3</v>
      </c>
      <c r="S24" s="89">
        <v>0</v>
      </c>
      <c r="T24" s="88">
        <v>166</v>
      </c>
      <c r="U24" s="89">
        <v>0</v>
      </c>
      <c r="V24" s="89">
        <v>0</v>
      </c>
      <c r="W24" s="89">
        <v>0</v>
      </c>
      <c r="X24" s="88">
        <v>33</v>
      </c>
      <c r="Y24" s="88">
        <v>8</v>
      </c>
      <c r="Z24" s="90">
        <v>4</v>
      </c>
    </row>
    <row r="25" spans="1:26" s="30" customFormat="1" ht="18" customHeight="1">
      <c r="A25" s="57" t="s">
        <v>483</v>
      </c>
      <c r="B25" s="82" t="s">
        <v>209</v>
      </c>
      <c r="C25" s="82" t="s">
        <v>209</v>
      </c>
      <c r="D25" s="82" t="s">
        <v>209</v>
      </c>
      <c r="E25" s="82" t="s">
        <v>209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4"/>
    </row>
    <row r="26" spans="1:26" s="30" customFormat="1" ht="18" customHeight="1">
      <c r="A26" s="47" t="s">
        <v>5</v>
      </c>
      <c r="B26" s="82">
        <v>3102</v>
      </c>
      <c r="C26" s="82">
        <v>2182</v>
      </c>
      <c r="D26" s="82">
        <v>920</v>
      </c>
      <c r="E26" s="82">
        <v>72</v>
      </c>
      <c r="F26" s="82">
        <v>7</v>
      </c>
      <c r="G26" s="82">
        <v>5</v>
      </c>
      <c r="H26" s="82">
        <v>0</v>
      </c>
      <c r="I26" s="82">
        <v>103</v>
      </c>
      <c r="J26" s="82">
        <v>8</v>
      </c>
      <c r="K26" s="82">
        <v>3</v>
      </c>
      <c r="L26" s="82">
        <v>0</v>
      </c>
      <c r="M26" s="82">
        <v>3</v>
      </c>
      <c r="N26" s="82">
        <v>1</v>
      </c>
      <c r="O26" s="82">
        <v>1916</v>
      </c>
      <c r="P26" s="82">
        <v>751</v>
      </c>
      <c r="Q26" s="82">
        <v>11</v>
      </c>
      <c r="R26" s="82">
        <v>17</v>
      </c>
      <c r="S26" s="82">
        <v>0</v>
      </c>
      <c r="T26" s="82">
        <v>102</v>
      </c>
      <c r="U26" s="82">
        <v>0</v>
      </c>
      <c r="V26" s="82">
        <v>2</v>
      </c>
      <c r="W26" s="82">
        <v>0</v>
      </c>
      <c r="X26" s="82">
        <v>0</v>
      </c>
      <c r="Y26" s="82">
        <v>69</v>
      </c>
      <c r="Z26" s="84">
        <v>32</v>
      </c>
    </row>
    <row r="27" spans="1:26" s="30" customFormat="1" ht="18" customHeight="1">
      <c r="A27" s="47">
        <v>22</v>
      </c>
      <c r="B27" s="82">
        <v>3083</v>
      </c>
      <c r="C27" s="82">
        <v>2161</v>
      </c>
      <c r="D27" s="82">
        <v>922</v>
      </c>
      <c r="E27" s="82">
        <v>68</v>
      </c>
      <c r="F27" s="82">
        <v>6</v>
      </c>
      <c r="G27" s="82">
        <v>5</v>
      </c>
      <c r="H27" s="82">
        <v>0</v>
      </c>
      <c r="I27" s="82">
        <v>101</v>
      </c>
      <c r="J27" s="82">
        <v>7</v>
      </c>
      <c r="K27" s="82">
        <v>2</v>
      </c>
      <c r="L27" s="82">
        <v>0</v>
      </c>
      <c r="M27" s="82">
        <v>3</v>
      </c>
      <c r="N27" s="82">
        <v>1</v>
      </c>
      <c r="O27" s="82">
        <v>1909</v>
      </c>
      <c r="P27" s="82">
        <v>758</v>
      </c>
      <c r="Q27" s="82">
        <v>11</v>
      </c>
      <c r="R27" s="82">
        <v>12</v>
      </c>
      <c r="S27" s="82">
        <v>0</v>
      </c>
      <c r="T27" s="82">
        <v>95</v>
      </c>
      <c r="U27" s="82">
        <v>0</v>
      </c>
      <c r="V27" s="82">
        <v>3</v>
      </c>
      <c r="W27" s="82">
        <v>0</v>
      </c>
      <c r="X27" s="82">
        <v>0</v>
      </c>
      <c r="Y27" s="82">
        <v>62</v>
      </c>
      <c r="Z27" s="84">
        <v>40</v>
      </c>
    </row>
    <row r="28" spans="1:26" s="30" customFormat="1" ht="18" customHeight="1">
      <c r="A28" s="85">
        <v>23</v>
      </c>
      <c r="B28" s="82">
        <v>3066</v>
      </c>
      <c r="C28" s="82">
        <v>2152</v>
      </c>
      <c r="D28" s="82">
        <v>914</v>
      </c>
      <c r="E28" s="82">
        <v>70</v>
      </c>
      <c r="F28" s="82">
        <v>6</v>
      </c>
      <c r="G28" s="82">
        <v>4</v>
      </c>
      <c r="H28" s="82">
        <v>0</v>
      </c>
      <c r="I28" s="82">
        <v>105</v>
      </c>
      <c r="J28" s="82">
        <v>5</v>
      </c>
      <c r="K28" s="82">
        <v>4</v>
      </c>
      <c r="L28" s="82">
        <v>0</v>
      </c>
      <c r="M28" s="82">
        <v>3</v>
      </c>
      <c r="N28" s="82">
        <v>1</v>
      </c>
      <c r="O28" s="82">
        <v>1876</v>
      </c>
      <c r="P28" s="82">
        <v>747</v>
      </c>
      <c r="Q28" s="82">
        <v>10</v>
      </c>
      <c r="R28" s="82">
        <v>11</v>
      </c>
      <c r="S28" s="82">
        <v>0</v>
      </c>
      <c r="T28" s="82">
        <v>96</v>
      </c>
      <c r="U28" s="82">
        <v>0</v>
      </c>
      <c r="V28" s="82">
        <v>2</v>
      </c>
      <c r="W28" s="82">
        <v>0</v>
      </c>
      <c r="X28" s="82">
        <v>0</v>
      </c>
      <c r="Y28" s="82">
        <v>80</v>
      </c>
      <c r="Z28" s="84">
        <v>46</v>
      </c>
    </row>
    <row r="29" spans="1:26" s="30" customFormat="1" ht="18" customHeight="1">
      <c r="A29" s="85">
        <v>24</v>
      </c>
      <c r="B29" s="82">
        <v>3006</v>
      </c>
      <c r="C29" s="82">
        <v>2101</v>
      </c>
      <c r="D29" s="82">
        <v>905</v>
      </c>
      <c r="E29" s="82">
        <v>70</v>
      </c>
      <c r="F29" s="82">
        <v>5</v>
      </c>
      <c r="G29" s="82">
        <v>3</v>
      </c>
      <c r="H29" s="82">
        <v>0</v>
      </c>
      <c r="I29" s="82">
        <v>105</v>
      </c>
      <c r="J29" s="82">
        <v>4</v>
      </c>
      <c r="K29" s="82">
        <v>3</v>
      </c>
      <c r="L29" s="82">
        <v>0</v>
      </c>
      <c r="M29" s="82">
        <v>3</v>
      </c>
      <c r="N29" s="82">
        <v>1</v>
      </c>
      <c r="O29" s="82">
        <v>1848</v>
      </c>
      <c r="P29" s="82">
        <v>741</v>
      </c>
      <c r="Q29" s="82">
        <v>6</v>
      </c>
      <c r="R29" s="82">
        <v>11</v>
      </c>
      <c r="S29" s="82">
        <v>0</v>
      </c>
      <c r="T29" s="82">
        <v>96</v>
      </c>
      <c r="U29" s="82">
        <v>0</v>
      </c>
      <c r="V29" s="82">
        <v>2</v>
      </c>
      <c r="W29" s="82">
        <v>0</v>
      </c>
      <c r="X29" s="82">
        <v>0</v>
      </c>
      <c r="Y29" s="82">
        <v>63</v>
      </c>
      <c r="Z29" s="84">
        <v>45</v>
      </c>
    </row>
    <row r="30" spans="1:26" s="30" customFormat="1" ht="18" customHeight="1">
      <c r="A30" s="92">
        <v>25</v>
      </c>
      <c r="B30" s="93">
        <v>2985</v>
      </c>
      <c r="C30" s="93">
        <v>2069</v>
      </c>
      <c r="D30" s="93">
        <v>916</v>
      </c>
      <c r="E30" s="93">
        <v>68</v>
      </c>
      <c r="F30" s="93">
        <v>5</v>
      </c>
      <c r="G30" s="93">
        <v>10</v>
      </c>
      <c r="H30" s="93">
        <v>0</v>
      </c>
      <c r="I30" s="93">
        <v>99</v>
      </c>
      <c r="J30" s="93">
        <v>5</v>
      </c>
      <c r="K30" s="93">
        <v>4</v>
      </c>
      <c r="L30" s="93">
        <v>0</v>
      </c>
      <c r="M30" s="93">
        <v>1</v>
      </c>
      <c r="N30" s="93">
        <v>1</v>
      </c>
      <c r="O30" s="93">
        <v>1804</v>
      </c>
      <c r="P30" s="93">
        <v>741</v>
      </c>
      <c r="Q30" s="93">
        <v>5</v>
      </c>
      <c r="R30" s="93">
        <v>13</v>
      </c>
      <c r="S30" s="93">
        <v>0</v>
      </c>
      <c r="T30" s="93">
        <v>100</v>
      </c>
      <c r="U30" s="93">
        <v>0</v>
      </c>
      <c r="V30" s="93">
        <v>2</v>
      </c>
      <c r="W30" s="93">
        <v>0</v>
      </c>
      <c r="X30" s="93">
        <v>0</v>
      </c>
      <c r="Y30" s="93">
        <v>78</v>
      </c>
      <c r="Z30" s="94">
        <v>49</v>
      </c>
    </row>
    <row r="31" s="30" customFormat="1" ht="18" customHeight="1">
      <c r="A31" s="95"/>
    </row>
  </sheetData>
  <sheetProtection password="EE7F" sheet="1"/>
  <mergeCells count="9">
    <mergeCell ref="O5:P5"/>
    <mergeCell ref="W5:X5"/>
    <mergeCell ref="Y5:Z5"/>
    <mergeCell ref="A5:A6"/>
    <mergeCell ref="E5:F5"/>
    <mergeCell ref="G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00390625" style="35" customWidth="1"/>
    <col min="2" max="3" width="7.421875" style="35" customWidth="1"/>
    <col min="4" max="4" width="7.8515625" style="35" customWidth="1"/>
    <col min="5" max="7" width="7.421875" style="35" customWidth="1"/>
    <col min="8" max="8" width="8.421875" style="35" customWidth="1"/>
    <col min="9" max="13" width="7.421875" style="35" customWidth="1"/>
    <col min="14" max="16384" width="9.00390625" style="35" customWidth="1"/>
  </cols>
  <sheetData>
    <row r="1" spans="1:13" s="30" customFormat="1" ht="13.5">
      <c r="A1" s="27"/>
      <c r="B1" s="73" t="s">
        <v>430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0" customFormat="1" ht="13.5">
      <c r="A2" s="74"/>
      <c r="B2" s="27" t="s">
        <v>431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0" customFormat="1" ht="14.25">
      <c r="A3" s="96" t="s">
        <v>432</v>
      </c>
      <c r="B3" s="7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30" customFormat="1" ht="14.25" thickBot="1">
      <c r="A4" s="27"/>
      <c r="B4" s="97" t="s">
        <v>433</v>
      </c>
      <c r="C4" s="9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30" customFormat="1" ht="14.25" customHeight="1" thickTop="1">
      <c r="A5" s="334" t="s">
        <v>434</v>
      </c>
      <c r="B5" s="37" t="s">
        <v>435</v>
      </c>
      <c r="C5" s="39"/>
      <c r="D5" s="98"/>
      <c r="E5" s="37" t="s">
        <v>436</v>
      </c>
      <c r="F5" s="38"/>
      <c r="G5" s="39"/>
      <c r="H5" s="37" t="s">
        <v>437</v>
      </c>
      <c r="I5" s="38"/>
      <c r="J5" s="38"/>
      <c r="K5" s="38"/>
      <c r="L5" s="38"/>
      <c r="M5" s="38"/>
    </row>
    <row r="6" spans="1:13" s="30" customFormat="1" ht="14.25" customHeight="1">
      <c r="A6" s="339"/>
      <c r="B6" s="340" t="s">
        <v>438</v>
      </c>
      <c r="C6" s="340" t="s">
        <v>439</v>
      </c>
      <c r="D6" s="100" t="s">
        <v>440</v>
      </c>
      <c r="E6" s="340" t="s">
        <v>53</v>
      </c>
      <c r="F6" s="340" t="s">
        <v>441</v>
      </c>
      <c r="G6" s="340" t="s">
        <v>442</v>
      </c>
      <c r="H6" s="340" t="s">
        <v>53</v>
      </c>
      <c r="I6" s="101" t="s">
        <v>443</v>
      </c>
      <c r="J6" s="102"/>
      <c r="K6" s="101" t="s">
        <v>444</v>
      </c>
      <c r="L6" s="102"/>
      <c r="M6" s="102"/>
    </row>
    <row r="7" spans="1:13" s="30" customFormat="1" ht="14.25" customHeight="1">
      <c r="A7" s="335"/>
      <c r="B7" s="341"/>
      <c r="C7" s="341"/>
      <c r="D7" s="103"/>
      <c r="E7" s="341"/>
      <c r="F7" s="341"/>
      <c r="G7" s="341"/>
      <c r="H7" s="341"/>
      <c r="I7" s="43" t="s">
        <v>54</v>
      </c>
      <c r="J7" s="42" t="s">
        <v>55</v>
      </c>
      <c r="K7" s="43" t="s">
        <v>445</v>
      </c>
      <c r="L7" s="43" t="s">
        <v>446</v>
      </c>
      <c r="M7" s="43" t="s">
        <v>447</v>
      </c>
    </row>
    <row r="8" spans="1:13" s="30" customFormat="1" ht="9.75" customHeight="1">
      <c r="A8" s="52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s="30" customFormat="1" ht="14.25" customHeight="1">
      <c r="A9" s="53" t="s">
        <v>448</v>
      </c>
      <c r="B9" s="59">
        <v>202</v>
      </c>
      <c r="C9" s="59" t="s">
        <v>260</v>
      </c>
      <c r="D9" s="59">
        <v>809</v>
      </c>
      <c r="E9" s="59">
        <v>1527</v>
      </c>
      <c r="F9" s="59">
        <v>1220</v>
      </c>
      <c r="G9" s="59">
        <v>307</v>
      </c>
      <c r="H9" s="59">
        <v>16395</v>
      </c>
      <c r="I9" s="59">
        <v>8365</v>
      </c>
      <c r="J9" s="59">
        <v>8030</v>
      </c>
      <c r="K9" s="59">
        <v>4781</v>
      </c>
      <c r="L9" s="59">
        <v>5720</v>
      </c>
      <c r="M9" s="59">
        <v>5894</v>
      </c>
    </row>
    <row r="10" spans="1:13" s="30" customFormat="1" ht="9.75" customHeight="1">
      <c r="A10" s="5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30" customFormat="1" ht="14.25" customHeight="1">
      <c r="A11" s="47" t="s">
        <v>449</v>
      </c>
      <c r="B11" s="49">
        <v>41</v>
      </c>
      <c r="C11" s="49" t="s">
        <v>260</v>
      </c>
      <c r="D11" s="49">
        <v>113</v>
      </c>
      <c r="E11" s="49">
        <v>238</v>
      </c>
      <c r="F11" s="49">
        <v>190</v>
      </c>
      <c r="G11" s="49">
        <v>48</v>
      </c>
      <c r="H11" s="49">
        <v>2506</v>
      </c>
      <c r="I11" s="49">
        <v>1308</v>
      </c>
      <c r="J11" s="49">
        <v>1198</v>
      </c>
      <c r="K11" s="49">
        <v>626</v>
      </c>
      <c r="L11" s="49">
        <v>923</v>
      </c>
      <c r="M11" s="49">
        <v>957</v>
      </c>
    </row>
    <row r="12" spans="1:13" s="30" customFormat="1" ht="14.25" customHeight="1">
      <c r="A12" s="47" t="s">
        <v>450</v>
      </c>
      <c r="B12" s="49">
        <v>23</v>
      </c>
      <c r="C12" s="49" t="s">
        <v>260</v>
      </c>
      <c r="D12" s="49">
        <v>101</v>
      </c>
      <c r="E12" s="49">
        <v>183</v>
      </c>
      <c r="F12" s="49">
        <v>161</v>
      </c>
      <c r="G12" s="49">
        <v>22</v>
      </c>
      <c r="H12" s="49">
        <v>2332</v>
      </c>
      <c r="I12" s="49">
        <v>1185</v>
      </c>
      <c r="J12" s="49">
        <v>1147</v>
      </c>
      <c r="K12" s="49">
        <v>760</v>
      </c>
      <c r="L12" s="49">
        <v>742</v>
      </c>
      <c r="M12" s="49">
        <v>830</v>
      </c>
    </row>
    <row r="13" spans="1:13" s="30" customFormat="1" ht="14.25" customHeight="1">
      <c r="A13" s="47" t="s">
        <v>451</v>
      </c>
      <c r="B13" s="49">
        <v>25</v>
      </c>
      <c r="C13" s="49" t="s">
        <v>260</v>
      </c>
      <c r="D13" s="49">
        <v>120</v>
      </c>
      <c r="E13" s="49">
        <v>227</v>
      </c>
      <c r="F13" s="49">
        <v>179</v>
      </c>
      <c r="G13" s="49">
        <v>48</v>
      </c>
      <c r="H13" s="49">
        <v>2672</v>
      </c>
      <c r="I13" s="49">
        <v>1325</v>
      </c>
      <c r="J13" s="49">
        <v>1347</v>
      </c>
      <c r="K13" s="49">
        <v>668</v>
      </c>
      <c r="L13" s="49">
        <v>1009</v>
      </c>
      <c r="M13" s="49">
        <v>995</v>
      </c>
    </row>
    <row r="14" spans="1:13" s="30" customFormat="1" ht="14.25" customHeight="1">
      <c r="A14" s="47" t="s">
        <v>452</v>
      </c>
      <c r="B14" s="49">
        <v>2</v>
      </c>
      <c r="C14" s="49" t="s">
        <v>260</v>
      </c>
      <c r="D14" s="49">
        <v>12</v>
      </c>
      <c r="E14" s="49">
        <v>18</v>
      </c>
      <c r="F14" s="49">
        <v>16</v>
      </c>
      <c r="G14" s="49">
        <v>2</v>
      </c>
      <c r="H14" s="49">
        <v>134</v>
      </c>
      <c r="I14" s="49">
        <v>66</v>
      </c>
      <c r="J14" s="49">
        <v>68</v>
      </c>
      <c r="K14" s="49">
        <v>54</v>
      </c>
      <c r="L14" s="49">
        <v>37</v>
      </c>
      <c r="M14" s="49">
        <v>43</v>
      </c>
    </row>
    <row r="15" spans="1:13" s="30" customFormat="1" ht="14.25" customHeight="1">
      <c r="A15" s="47" t="s">
        <v>453</v>
      </c>
      <c r="B15" s="49">
        <v>16</v>
      </c>
      <c r="C15" s="49" t="s">
        <v>260</v>
      </c>
      <c r="D15" s="49">
        <v>88</v>
      </c>
      <c r="E15" s="49">
        <v>183</v>
      </c>
      <c r="F15" s="49">
        <v>132</v>
      </c>
      <c r="G15" s="49">
        <v>51</v>
      </c>
      <c r="H15" s="49">
        <v>1675</v>
      </c>
      <c r="I15" s="49">
        <v>862</v>
      </c>
      <c r="J15" s="49">
        <v>813</v>
      </c>
      <c r="K15" s="49">
        <v>511</v>
      </c>
      <c r="L15" s="49">
        <v>557</v>
      </c>
      <c r="M15" s="49">
        <v>607</v>
      </c>
    </row>
    <row r="16" spans="1:13" s="30" customFormat="1" ht="14.25" customHeight="1">
      <c r="A16" s="47" t="s">
        <v>454</v>
      </c>
      <c r="B16" s="49">
        <v>10</v>
      </c>
      <c r="C16" s="49" t="s">
        <v>260</v>
      </c>
      <c r="D16" s="49">
        <v>44</v>
      </c>
      <c r="E16" s="49">
        <v>89</v>
      </c>
      <c r="F16" s="49">
        <v>59</v>
      </c>
      <c r="G16" s="49">
        <v>30</v>
      </c>
      <c r="H16" s="49">
        <v>953</v>
      </c>
      <c r="I16" s="49">
        <v>469</v>
      </c>
      <c r="J16" s="49">
        <v>484</v>
      </c>
      <c r="K16" s="49">
        <v>304</v>
      </c>
      <c r="L16" s="49">
        <v>319</v>
      </c>
      <c r="M16" s="49">
        <v>330</v>
      </c>
    </row>
    <row r="17" spans="1:13" s="30" customFormat="1" ht="14.25" customHeight="1">
      <c r="A17" s="47" t="s">
        <v>455</v>
      </c>
      <c r="B17" s="49">
        <v>26</v>
      </c>
      <c r="C17" s="49" t="s">
        <v>260</v>
      </c>
      <c r="D17" s="49">
        <v>117</v>
      </c>
      <c r="E17" s="49">
        <v>194</v>
      </c>
      <c r="F17" s="49">
        <v>158</v>
      </c>
      <c r="G17" s="49">
        <v>36</v>
      </c>
      <c r="H17" s="49">
        <v>1814</v>
      </c>
      <c r="I17" s="49">
        <v>922</v>
      </c>
      <c r="J17" s="49">
        <v>892</v>
      </c>
      <c r="K17" s="49">
        <v>569</v>
      </c>
      <c r="L17" s="49">
        <v>629</v>
      </c>
      <c r="M17" s="49">
        <v>616</v>
      </c>
    </row>
    <row r="18" spans="1:13" s="30" customFormat="1" ht="14.25" customHeight="1">
      <c r="A18" s="47" t="s">
        <v>456</v>
      </c>
      <c r="B18" s="49">
        <v>9</v>
      </c>
      <c r="C18" s="49" t="s">
        <v>260</v>
      </c>
      <c r="D18" s="49">
        <v>24</v>
      </c>
      <c r="E18" s="49">
        <v>52</v>
      </c>
      <c r="F18" s="49">
        <v>37</v>
      </c>
      <c r="G18" s="49">
        <v>15</v>
      </c>
      <c r="H18" s="49">
        <v>454</v>
      </c>
      <c r="I18" s="49">
        <v>211</v>
      </c>
      <c r="J18" s="49">
        <v>243</v>
      </c>
      <c r="K18" s="49">
        <v>125</v>
      </c>
      <c r="L18" s="49">
        <v>154</v>
      </c>
      <c r="M18" s="49">
        <v>175</v>
      </c>
    </row>
    <row r="19" spans="1:13" s="30" customFormat="1" ht="14.25" customHeight="1">
      <c r="A19" s="47" t="s">
        <v>457</v>
      </c>
      <c r="B19" s="49">
        <v>3</v>
      </c>
      <c r="C19" s="49" t="s">
        <v>260</v>
      </c>
      <c r="D19" s="49">
        <v>16</v>
      </c>
      <c r="E19" s="49">
        <v>28</v>
      </c>
      <c r="F19" s="49">
        <v>25</v>
      </c>
      <c r="G19" s="49">
        <v>3</v>
      </c>
      <c r="H19" s="49">
        <v>212</v>
      </c>
      <c r="I19" s="49">
        <v>108</v>
      </c>
      <c r="J19" s="49">
        <v>104</v>
      </c>
      <c r="K19" s="49">
        <v>57</v>
      </c>
      <c r="L19" s="49">
        <v>80</v>
      </c>
      <c r="M19" s="49">
        <v>75</v>
      </c>
    </row>
    <row r="20" spans="1:13" s="30" customFormat="1" ht="14.25" customHeight="1">
      <c r="A20" s="47" t="s">
        <v>458</v>
      </c>
      <c r="B20" s="49">
        <v>3</v>
      </c>
      <c r="C20" s="49" t="s">
        <v>260</v>
      </c>
      <c r="D20" s="49">
        <v>9</v>
      </c>
      <c r="E20" s="49">
        <v>14</v>
      </c>
      <c r="F20" s="49">
        <v>14</v>
      </c>
      <c r="G20" s="49" t="s">
        <v>260</v>
      </c>
      <c r="H20" s="49">
        <v>157</v>
      </c>
      <c r="I20" s="49">
        <v>84</v>
      </c>
      <c r="J20" s="49">
        <v>73</v>
      </c>
      <c r="K20" s="49">
        <v>53</v>
      </c>
      <c r="L20" s="49">
        <v>43</v>
      </c>
      <c r="M20" s="49">
        <v>61</v>
      </c>
    </row>
    <row r="21" spans="1:13" s="30" customFormat="1" ht="14.25" customHeight="1">
      <c r="A21" s="47" t="s">
        <v>459</v>
      </c>
      <c r="B21" s="49">
        <v>3</v>
      </c>
      <c r="C21" s="49" t="s">
        <v>260</v>
      </c>
      <c r="D21" s="49">
        <v>10</v>
      </c>
      <c r="E21" s="49">
        <v>17</v>
      </c>
      <c r="F21" s="49">
        <v>13</v>
      </c>
      <c r="G21" s="49">
        <v>4</v>
      </c>
      <c r="H21" s="49">
        <v>173</v>
      </c>
      <c r="I21" s="49">
        <v>97</v>
      </c>
      <c r="J21" s="49">
        <v>76</v>
      </c>
      <c r="K21" s="49">
        <v>54</v>
      </c>
      <c r="L21" s="49">
        <v>64</v>
      </c>
      <c r="M21" s="49">
        <v>55</v>
      </c>
    </row>
    <row r="22" spans="1:13" s="30" customFormat="1" ht="14.25" customHeight="1">
      <c r="A22" s="47" t="s">
        <v>460</v>
      </c>
      <c r="B22" s="49">
        <v>28</v>
      </c>
      <c r="C22" s="49" t="s">
        <v>260</v>
      </c>
      <c r="D22" s="49">
        <v>102</v>
      </c>
      <c r="E22" s="49">
        <v>192</v>
      </c>
      <c r="F22" s="49">
        <v>163</v>
      </c>
      <c r="G22" s="49">
        <v>29</v>
      </c>
      <c r="H22" s="49">
        <v>2203</v>
      </c>
      <c r="I22" s="49">
        <v>1171</v>
      </c>
      <c r="J22" s="49">
        <v>1032</v>
      </c>
      <c r="K22" s="49">
        <v>652</v>
      </c>
      <c r="L22" s="49">
        <v>798</v>
      </c>
      <c r="M22" s="49">
        <v>753</v>
      </c>
    </row>
    <row r="23" spans="1:13" s="30" customFormat="1" ht="14.25" customHeight="1">
      <c r="A23" s="47" t="s">
        <v>421</v>
      </c>
      <c r="B23" s="49">
        <v>7</v>
      </c>
      <c r="C23" s="49" t="s">
        <v>260</v>
      </c>
      <c r="D23" s="49">
        <v>30</v>
      </c>
      <c r="E23" s="49">
        <v>58</v>
      </c>
      <c r="F23" s="49">
        <v>45</v>
      </c>
      <c r="G23" s="49">
        <v>13</v>
      </c>
      <c r="H23" s="49">
        <v>634</v>
      </c>
      <c r="I23" s="49">
        <v>321</v>
      </c>
      <c r="J23" s="49">
        <v>313</v>
      </c>
      <c r="K23" s="49">
        <v>184</v>
      </c>
      <c r="L23" s="49">
        <v>209</v>
      </c>
      <c r="M23" s="49">
        <v>241</v>
      </c>
    </row>
    <row r="24" spans="1:13" s="30" customFormat="1" ht="12" customHeight="1">
      <c r="A24" s="47"/>
      <c r="B24" s="49"/>
      <c r="C24" s="49" t="s">
        <v>202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30" customFormat="1" ht="14.25" customHeight="1">
      <c r="A25" s="47" t="s">
        <v>461</v>
      </c>
      <c r="B25" s="49">
        <v>1</v>
      </c>
      <c r="C25" s="49" t="s">
        <v>260</v>
      </c>
      <c r="D25" s="49" t="s">
        <v>260</v>
      </c>
      <c r="E25" s="49" t="s">
        <v>260</v>
      </c>
      <c r="F25" s="49" t="s">
        <v>260</v>
      </c>
      <c r="G25" s="49" t="s">
        <v>260</v>
      </c>
      <c r="H25" s="49" t="s">
        <v>260</v>
      </c>
      <c r="I25" s="49" t="s">
        <v>260</v>
      </c>
      <c r="J25" s="49" t="s">
        <v>260</v>
      </c>
      <c r="K25" s="49" t="s">
        <v>260</v>
      </c>
      <c r="L25" s="49" t="s">
        <v>260</v>
      </c>
      <c r="M25" s="49" t="s">
        <v>260</v>
      </c>
    </row>
    <row r="26" spans="1:13" s="30" customFormat="1" ht="14.25" customHeight="1">
      <c r="A26" s="47" t="s">
        <v>462</v>
      </c>
      <c r="B26" s="49">
        <v>1</v>
      </c>
      <c r="C26" s="49" t="s">
        <v>260</v>
      </c>
      <c r="D26" s="49">
        <v>10</v>
      </c>
      <c r="E26" s="49">
        <v>15</v>
      </c>
      <c r="F26" s="49">
        <v>15</v>
      </c>
      <c r="G26" s="49" t="s">
        <v>260</v>
      </c>
      <c r="H26" s="49">
        <v>205</v>
      </c>
      <c r="I26" s="49">
        <v>98</v>
      </c>
      <c r="J26" s="49">
        <v>107</v>
      </c>
      <c r="K26" s="49">
        <v>70</v>
      </c>
      <c r="L26" s="49">
        <v>71</v>
      </c>
      <c r="M26" s="49">
        <v>64</v>
      </c>
    </row>
    <row r="27" spans="1:13" s="30" customFormat="1" ht="14.25" customHeight="1">
      <c r="A27" s="47" t="s">
        <v>463</v>
      </c>
      <c r="B27" s="49">
        <v>1</v>
      </c>
      <c r="C27" s="49" t="s">
        <v>260</v>
      </c>
      <c r="D27" s="49" t="s">
        <v>260</v>
      </c>
      <c r="E27" s="49" t="s">
        <v>260</v>
      </c>
      <c r="F27" s="49" t="s">
        <v>260</v>
      </c>
      <c r="G27" s="49" t="s">
        <v>260</v>
      </c>
      <c r="H27" s="49" t="s">
        <v>260</v>
      </c>
      <c r="I27" s="49" t="s">
        <v>260</v>
      </c>
      <c r="J27" s="49" t="s">
        <v>260</v>
      </c>
      <c r="K27" s="49" t="s">
        <v>260</v>
      </c>
      <c r="L27" s="49" t="s">
        <v>260</v>
      </c>
      <c r="M27" s="49" t="s">
        <v>260</v>
      </c>
    </row>
    <row r="28" spans="1:13" s="30" customFormat="1" ht="14.25" customHeight="1">
      <c r="A28" s="47" t="s">
        <v>464</v>
      </c>
      <c r="B28" s="49">
        <v>2</v>
      </c>
      <c r="C28" s="49" t="s">
        <v>260</v>
      </c>
      <c r="D28" s="49">
        <v>10</v>
      </c>
      <c r="E28" s="49">
        <v>15</v>
      </c>
      <c r="F28" s="49">
        <v>9</v>
      </c>
      <c r="G28" s="49">
        <v>6</v>
      </c>
      <c r="H28" s="49">
        <v>209</v>
      </c>
      <c r="I28" s="49">
        <v>105</v>
      </c>
      <c r="J28" s="49">
        <v>104</v>
      </c>
      <c r="K28" s="49">
        <v>71</v>
      </c>
      <c r="L28" s="49">
        <v>69</v>
      </c>
      <c r="M28" s="49">
        <v>69</v>
      </c>
    </row>
    <row r="29" spans="1:13" s="30" customFormat="1" ht="14.25" customHeight="1">
      <c r="A29" s="47" t="s">
        <v>465</v>
      </c>
      <c r="B29" s="49">
        <v>1</v>
      </c>
      <c r="C29" s="49" t="s">
        <v>260</v>
      </c>
      <c r="D29" s="49">
        <v>3</v>
      </c>
      <c r="E29" s="49">
        <v>4</v>
      </c>
      <c r="F29" s="49">
        <v>4</v>
      </c>
      <c r="G29" s="49" t="s">
        <v>260</v>
      </c>
      <c r="H29" s="49">
        <v>62</v>
      </c>
      <c r="I29" s="49">
        <v>33</v>
      </c>
      <c r="J29" s="49">
        <v>29</v>
      </c>
      <c r="K29" s="49">
        <v>23</v>
      </c>
      <c r="L29" s="49">
        <v>16</v>
      </c>
      <c r="M29" s="49">
        <v>23</v>
      </c>
    </row>
    <row r="30" spans="1:13" s="30" customFormat="1" ht="14.25" customHeight="1">
      <c r="A30" s="40" t="s">
        <v>466</v>
      </c>
      <c r="B30" s="67" t="s">
        <v>260</v>
      </c>
      <c r="C30" s="67" t="s">
        <v>260</v>
      </c>
      <c r="D30" s="67" t="s">
        <v>260</v>
      </c>
      <c r="E30" s="67" t="s">
        <v>260</v>
      </c>
      <c r="F30" s="67" t="s">
        <v>260</v>
      </c>
      <c r="G30" s="67" t="s">
        <v>260</v>
      </c>
      <c r="H30" s="67" t="s">
        <v>260</v>
      </c>
      <c r="I30" s="67" t="s">
        <v>260</v>
      </c>
      <c r="J30" s="67" t="s">
        <v>260</v>
      </c>
      <c r="K30" s="67" t="s">
        <v>260</v>
      </c>
      <c r="L30" s="67" t="s">
        <v>260</v>
      </c>
      <c r="M30" s="67" t="s">
        <v>260</v>
      </c>
    </row>
    <row r="31" spans="2:13" ht="13.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2:13" ht="13.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</sheetData>
  <sheetProtection password="EE7F" sheet="1"/>
  <mergeCells count="7">
    <mergeCell ref="H6:H7"/>
    <mergeCell ref="A5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140625" style="146" customWidth="1"/>
    <col min="2" max="7" width="8.28125" style="35" customWidth="1"/>
    <col min="8" max="8" width="8.421875" style="35" customWidth="1"/>
    <col min="9" max="24" width="8.28125" style="35" customWidth="1"/>
    <col min="25" max="25" width="13.7109375" style="146" bestFit="1" customWidth="1"/>
    <col min="26" max="16384" width="9.00390625" style="35" customWidth="1"/>
  </cols>
  <sheetData>
    <row r="1" spans="1:25" s="30" customFormat="1" ht="13.5">
      <c r="A1" s="106"/>
      <c r="B1" s="107" t="s">
        <v>386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08"/>
    </row>
    <row r="2" spans="1:25" s="30" customFormat="1" ht="13.5">
      <c r="A2" s="106"/>
      <c r="B2" s="10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08"/>
    </row>
    <row r="3" spans="1:25" s="30" customFormat="1" ht="14.25">
      <c r="A3" s="106"/>
      <c r="B3" s="110" t="s">
        <v>387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08"/>
    </row>
    <row r="4" spans="1:25" s="30" customFormat="1" ht="13.5">
      <c r="A4" s="106"/>
      <c r="B4" s="109" t="s">
        <v>388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08"/>
    </row>
    <row r="5" spans="1:25" s="30" customFormat="1" ht="14.25" thickBot="1">
      <c r="A5" s="10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108"/>
    </row>
    <row r="6" spans="1:25" s="30" customFormat="1" ht="23.25" customHeight="1" thickTop="1">
      <c r="A6" s="111" t="s">
        <v>389</v>
      </c>
      <c r="B6" s="330" t="s">
        <v>330</v>
      </c>
      <c r="C6" s="338"/>
      <c r="D6" s="331"/>
      <c r="E6" s="330" t="s">
        <v>390</v>
      </c>
      <c r="F6" s="338"/>
      <c r="G6" s="338"/>
      <c r="H6" s="331"/>
      <c r="I6" s="112"/>
      <c r="J6" s="113"/>
      <c r="K6" s="114" t="s">
        <v>391</v>
      </c>
      <c r="L6" s="114"/>
      <c r="M6" s="114" t="s">
        <v>392</v>
      </c>
      <c r="N6" s="114"/>
      <c r="O6" s="114" t="s">
        <v>334</v>
      </c>
      <c r="P6" s="115"/>
      <c r="Q6" s="116"/>
      <c r="R6" s="330" t="s">
        <v>335</v>
      </c>
      <c r="S6" s="338"/>
      <c r="T6" s="338"/>
      <c r="U6" s="338"/>
      <c r="V6" s="331"/>
      <c r="W6" s="117" t="s">
        <v>336</v>
      </c>
      <c r="X6" s="118"/>
      <c r="Y6" s="119" t="s">
        <v>393</v>
      </c>
    </row>
    <row r="7" spans="1:25" s="30" customFormat="1" ht="23.25" customHeight="1">
      <c r="A7" s="47"/>
      <c r="B7" s="340" t="s">
        <v>53</v>
      </c>
      <c r="C7" s="340" t="s">
        <v>394</v>
      </c>
      <c r="D7" s="340" t="s">
        <v>395</v>
      </c>
      <c r="E7" s="340" t="s">
        <v>53</v>
      </c>
      <c r="F7" s="120" t="s">
        <v>396</v>
      </c>
      <c r="G7" s="120" t="s">
        <v>397</v>
      </c>
      <c r="H7" s="121" t="s">
        <v>341</v>
      </c>
      <c r="I7" s="342" t="s">
        <v>53</v>
      </c>
      <c r="J7" s="122"/>
      <c r="K7" s="123"/>
      <c r="L7" s="340" t="s">
        <v>342</v>
      </c>
      <c r="M7" s="340" t="s">
        <v>343</v>
      </c>
      <c r="N7" s="340" t="s">
        <v>344</v>
      </c>
      <c r="O7" s="340" t="s">
        <v>398</v>
      </c>
      <c r="P7" s="340" t="s">
        <v>399</v>
      </c>
      <c r="Q7" s="340" t="s">
        <v>400</v>
      </c>
      <c r="R7" s="340" t="s">
        <v>53</v>
      </c>
      <c r="S7" s="124" t="s">
        <v>345</v>
      </c>
      <c r="T7" s="122" t="s">
        <v>401</v>
      </c>
      <c r="U7" s="125" t="s">
        <v>347</v>
      </c>
      <c r="V7" s="340" t="s">
        <v>402</v>
      </c>
      <c r="W7" s="126"/>
      <c r="X7" s="127" t="s">
        <v>349</v>
      </c>
      <c r="Y7" s="100"/>
    </row>
    <row r="8" spans="1:25" s="30" customFormat="1" ht="23.25" customHeight="1">
      <c r="A8" s="128" t="s">
        <v>403</v>
      </c>
      <c r="B8" s="341"/>
      <c r="C8" s="341"/>
      <c r="D8" s="341"/>
      <c r="E8" s="341"/>
      <c r="F8" s="129" t="s">
        <v>404</v>
      </c>
      <c r="G8" s="129" t="s">
        <v>404</v>
      </c>
      <c r="H8" s="130" t="s">
        <v>405</v>
      </c>
      <c r="I8" s="337"/>
      <c r="J8" s="42" t="s">
        <v>352</v>
      </c>
      <c r="K8" s="124" t="s">
        <v>353</v>
      </c>
      <c r="L8" s="341"/>
      <c r="M8" s="341"/>
      <c r="N8" s="341"/>
      <c r="O8" s="341"/>
      <c r="P8" s="341"/>
      <c r="Q8" s="341"/>
      <c r="R8" s="341"/>
      <c r="S8" s="43" t="s">
        <v>354</v>
      </c>
      <c r="T8" s="42" t="s">
        <v>54</v>
      </c>
      <c r="U8" s="40" t="s">
        <v>55</v>
      </c>
      <c r="V8" s="341"/>
      <c r="W8" s="103"/>
      <c r="X8" s="129" t="s">
        <v>356</v>
      </c>
      <c r="Y8" s="131" t="s">
        <v>406</v>
      </c>
    </row>
    <row r="9" spans="1:25" s="30" customFormat="1" ht="23.25" customHeight="1">
      <c r="A9" s="5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32"/>
    </row>
    <row r="10" spans="1:25" s="30" customFormat="1" ht="23.25" customHeight="1">
      <c r="A10" s="47" t="s">
        <v>198</v>
      </c>
      <c r="B10" s="50">
        <v>344</v>
      </c>
      <c r="C10" s="50">
        <v>340</v>
      </c>
      <c r="D10" s="50">
        <v>4</v>
      </c>
      <c r="E10" s="50">
        <v>3504</v>
      </c>
      <c r="F10" s="50">
        <v>2872</v>
      </c>
      <c r="G10" s="50">
        <v>184</v>
      </c>
      <c r="H10" s="50">
        <v>448</v>
      </c>
      <c r="I10" s="50">
        <v>75680</v>
      </c>
      <c r="J10" s="50">
        <v>38632</v>
      </c>
      <c r="K10" s="50">
        <v>37048</v>
      </c>
      <c r="L10" s="50">
        <v>11922</v>
      </c>
      <c r="M10" s="50">
        <v>12165</v>
      </c>
      <c r="N10" s="50">
        <v>12493</v>
      </c>
      <c r="O10" s="50">
        <v>12987</v>
      </c>
      <c r="P10" s="50">
        <v>12919</v>
      </c>
      <c r="Q10" s="50">
        <v>13194</v>
      </c>
      <c r="R10" s="50">
        <v>5560</v>
      </c>
      <c r="S10" s="50">
        <v>5257</v>
      </c>
      <c r="T10" s="50">
        <v>1884</v>
      </c>
      <c r="U10" s="50">
        <v>3373</v>
      </c>
      <c r="V10" s="50">
        <v>303</v>
      </c>
      <c r="W10" s="50">
        <v>775</v>
      </c>
      <c r="X10" s="50">
        <v>347</v>
      </c>
      <c r="Y10" s="100" t="str">
        <f>A10</f>
        <v>平成23年度</v>
      </c>
    </row>
    <row r="11" spans="1:25" s="30" customFormat="1" ht="23.25" customHeight="1">
      <c r="A11" s="47">
        <v>24</v>
      </c>
      <c r="B11" s="133">
        <v>343</v>
      </c>
      <c r="C11" s="134">
        <v>339</v>
      </c>
      <c r="D11" s="134">
        <v>4</v>
      </c>
      <c r="E11" s="134">
        <v>3432</v>
      </c>
      <c r="F11" s="134">
        <v>2789</v>
      </c>
      <c r="G11" s="134">
        <v>198</v>
      </c>
      <c r="H11" s="134">
        <v>445</v>
      </c>
      <c r="I11" s="134">
        <v>73830</v>
      </c>
      <c r="J11" s="134">
        <v>37608</v>
      </c>
      <c r="K11" s="134">
        <v>36222</v>
      </c>
      <c r="L11" s="134">
        <v>11484</v>
      </c>
      <c r="M11" s="134">
        <v>11886</v>
      </c>
      <c r="N11" s="134">
        <v>12137</v>
      </c>
      <c r="O11" s="134">
        <v>12441</v>
      </c>
      <c r="P11" s="134">
        <v>13005</v>
      </c>
      <c r="Q11" s="134">
        <v>12877</v>
      </c>
      <c r="R11" s="134">
        <v>5585</v>
      </c>
      <c r="S11" s="134">
        <v>5203</v>
      </c>
      <c r="T11" s="134">
        <v>1858</v>
      </c>
      <c r="U11" s="134">
        <v>3345</v>
      </c>
      <c r="V11" s="134">
        <v>382</v>
      </c>
      <c r="W11" s="134">
        <v>766</v>
      </c>
      <c r="X11" s="134">
        <v>347</v>
      </c>
      <c r="Y11" s="100">
        <f>A11</f>
        <v>24</v>
      </c>
    </row>
    <row r="12" spans="1:25" s="30" customFormat="1" ht="23.25" customHeight="1">
      <c r="A12" s="5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00"/>
    </row>
    <row r="13" spans="1:25" s="30" customFormat="1" ht="23.25" customHeight="1">
      <c r="A13" s="53">
        <v>25</v>
      </c>
      <c r="B13" s="135">
        <v>339</v>
      </c>
      <c r="C13" s="136">
        <v>355</v>
      </c>
      <c r="D13" s="136">
        <v>4</v>
      </c>
      <c r="E13" s="136">
        <v>3413</v>
      </c>
      <c r="F13" s="136">
        <v>2742</v>
      </c>
      <c r="G13" s="136">
        <v>196</v>
      </c>
      <c r="H13" s="136">
        <v>475</v>
      </c>
      <c r="I13" s="136">
        <v>72541</v>
      </c>
      <c r="J13" s="136">
        <v>37011</v>
      </c>
      <c r="K13" s="136">
        <v>35530</v>
      </c>
      <c r="L13" s="136">
        <f>5918+5698</f>
        <v>11616</v>
      </c>
      <c r="M13" s="136">
        <f>5849+5638</f>
        <v>11487</v>
      </c>
      <c r="N13" s="136">
        <f>6126+5751</f>
        <v>11877</v>
      </c>
      <c r="O13" s="136">
        <f>6187+5943</f>
        <v>12130</v>
      </c>
      <c r="P13" s="136">
        <f>6266+6154</f>
        <v>12420</v>
      </c>
      <c r="Q13" s="136">
        <f>6665+6346</f>
        <v>13011</v>
      </c>
      <c r="R13" s="136">
        <v>5589</v>
      </c>
      <c r="S13" s="136">
        <v>5189</v>
      </c>
      <c r="T13" s="136">
        <v>1856</v>
      </c>
      <c r="U13" s="136">
        <v>3333</v>
      </c>
      <c r="V13" s="136">
        <v>400</v>
      </c>
      <c r="W13" s="136">
        <v>749</v>
      </c>
      <c r="X13" s="136">
        <v>343</v>
      </c>
      <c r="Y13" s="137">
        <f>A13</f>
        <v>25</v>
      </c>
    </row>
    <row r="14" spans="1:25" s="30" customFormat="1" ht="23.25" customHeight="1">
      <c r="A14" s="52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2"/>
    </row>
    <row r="15" spans="1:25" s="30" customFormat="1" ht="23.25" customHeight="1">
      <c r="A15" s="47" t="s">
        <v>358</v>
      </c>
      <c r="B15" s="133">
        <v>2</v>
      </c>
      <c r="C15" s="134">
        <v>2</v>
      </c>
      <c r="D15" s="139">
        <v>0</v>
      </c>
      <c r="E15" s="134">
        <v>24</v>
      </c>
      <c r="F15" s="134">
        <v>24</v>
      </c>
      <c r="G15" s="139">
        <v>0</v>
      </c>
      <c r="H15" s="139">
        <v>0</v>
      </c>
      <c r="I15" s="134">
        <v>782</v>
      </c>
      <c r="J15" s="134">
        <v>380</v>
      </c>
      <c r="K15" s="134">
        <v>402</v>
      </c>
      <c r="L15" s="134">
        <f>59+68</f>
        <v>127</v>
      </c>
      <c r="M15" s="134">
        <f>57+75</f>
        <v>132</v>
      </c>
      <c r="N15" s="134">
        <f>63+63</f>
        <v>126</v>
      </c>
      <c r="O15" s="134">
        <f>68+68</f>
        <v>136</v>
      </c>
      <c r="P15" s="134">
        <f>63+59</f>
        <v>122</v>
      </c>
      <c r="Q15" s="134">
        <f>70+69</f>
        <v>139</v>
      </c>
      <c r="R15" s="134">
        <v>58</v>
      </c>
      <c r="S15" s="134">
        <v>39</v>
      </c>
      <c r="T15" s="134">
        <v>28</v>
      </c>
      <c r="U15" s="134">
        <v>11</v>
      </c>
      <c r="V15" s="134">
        <v>19</v>
      </c>
      <c r="W15" s="134">
        <v>12</v>
      </c>
      <c r="X15" s="139">
        <v>6</v>
      </c>
      <c r="Y15" s="100" t="s">
        <v>358</v>
      </c>
    </row>
    <row r="16" spans="1:25" s="30" customFormat="1" ht="23.25" customHeight="1">
      <c r="A16" s="47" t="s">
        <v>359</v>
      </c>
      <c r="B16" s="133">
        <v>336</v>
      </c>
      <c r="C16" s="134">
        <v>332</v>
      </c>
      <c r="D16" s="134">
        <v>4</v>
      </c>
      <c r="E16" s="134">
        <v>3389</v>
      </c>
      <c r="F16" s="134">
        <v>2718</v>
      </c>
      <c r="G16" s="134">
        <v>196</v>
      </c>
      <c r="H16" s="134">
        <v>475</v>
      </c>
      <c r="I16" s="134">
        <v>71759</v>
      </c>
      <c r="J16" s="134">
        <v>36631</v>
      </c>
      <c r="K16" s="134">
        <v>35128</v>
      </c>
      <c r="L16" s="134">
        <f>5859+5630</f>
        <v>11489</v>
      </c>
      <c r="M16" s="134">
        <f>5792+5563</f>
        <v>11355</v>
      </c>
      <c r="N16" s="134">
        <f>6063+5688</f>
        <v>11751</v>
      </c>
      <c r="O16" s="134">
        <f>6119+5875</f>
        <v>11994</v>
      </c>
      <c r="P16" s="134">
        <f>6203+6095</f>
        <v>12298</v>
      </c>
      <c r="Q16" s="134">
        <f>6595+6277</f>
        <v>12872</v>
      </c>
      <c r="R16" s="134">
        <v>5531</v>
      </c>
      <c r="S16" s="134">
        <v>5150</v>
      </c>
      <c r="T16" s="134">
        <v>1828</v>
      </c>
      <c r="U16" s="134">
        <v>3322</v>
      </c>
      <c r="V16" s="134">
        <v>381</v>
      </c>
      <c r="W16" s="134">
        <v>737</v>
      </c>
      <c r="X16" s="134">
        <v>337</v>
      </c>
      <c r="Y16" s="100" t="s">
        <v>359</v>
      </c>
    </row>
    <row r="17" spans="1:25" s="30" customFormat="1" ht="23.25" customHeight="1">
      <c r="A17" s="47" t="s">
        <v>360</v>
      </c>
      <c r="B17" s="133">
        <v>1</v>
      </c>
      <c r="C17" s="134">
        <v>1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00" t="s">
        <v>360</v>
      </c>
    </row>
    <row r="18" spans="1:25" s="30" customFormat="1" ht="23.25" customHeight="1">
      <c r="A18" s="4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209</v>
      </c>
      <c r="U18" s="138"/>
      <c r="V18" s="138"/>
      <c r="W18" s="138"/>
      <c r="X18" s="138"/>
      <c r="Y18" s="132"/>
    </row>
    <row r="19" spans="1:25" s="30" customFormat="1" ht="23.25" customHeight="1">
      <c r="A19" s="53" t="s">
        <v>407</v>
      </c>
      <c r="B19" s="135">
        <v>315</v>
      </c>
      <c r="C19" s="140">
        <v>311</v>
      </c>
      <c r="D19" s="140">
        <v>4</v>
      </c>
      <c r="E19" s="140">
        <v>3253</v>
      </c>
      <c r="F19" s="140">
        <v>2630</v>
      </c>
      <c r="G19" s="140">
        <v>171</v>
      </c>
      <c r="H19" s="140">
        <v>452</v>
      </c>
      <c r="I19" s="140">
        <v>69938</v>
      </c>
      <c r="J19" s="140">
        <v>35696</v>
      </c>
      <c r="K19" s="140">
        <v>34242</v>
      </c>
      <c r="L19" s="140">
        <f>5717+5489</f>
        <v>11206</v>
      </c>
      <c r="M19" s="140">
        <f>5624+5429</f>
        <v>11053</v>
      </c>
      <c r="N19" s="136">
        <f>5924+5526</f>
        <v>11450</v>
      </c>
      <c r="O19" s="136">
        <f>5965+5735</f>
        <v>11700</v>
      </c>
      <c r="P19" s="136">
        <f>6049+5940</f>
        <v>11989</v>
      </c>
      <c r="Q19" s="136">
        <f>6417+6123</f>
        <v>12540</v>
      </c>
      <c r="R19" s="136">
        <v>5297</v>
      </c>
      <c r="S19" s="136">
        <v>4919</v>
      </c>
      <c r="T19" s="136">
        <v>1741</v>
      </c>
      <c r="U19" s="136">
        <v>3178</v>
      </c>
      <c r="V19" s="136">
        <v>378</v>
      </c>
      <c r="W19" s="136">
        <v>722</v>
      </c>
      <c r="X19" s="136">
        <v>323</v>
      </c>
      <c r="Y19" s="137" t="s">
        <v>361</v>
      </c>
    </row>
    <row r="20" spans="1:25" s="30" customFormat="1" ht="23.25" customHeight="1">
      <c r="A20" s="52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2"/>
    </row>
    <row r="21" spans="1:25" s="30" customFormat="1" ht="23.25" customHeight="1">
      <c r="A21" s="47" t="s">
        <v>408</v>
      </c>
      <c r="B21" s="133">
        <v>54</v>
      </c>
      <c r="C21" s="134">
        <v>54</v>
      </c>
      <c r="D21" s="139">
        <v>0</v>
      </c>
      <c r="E21" s="134">
        <v>596</v>
      </c>
      <c r="F21" s="134">
        <v>489</v>
      </c>
      <c r="G21" s="134">
        <v>24</v>
      </c>
      <c r="H21" s="134">
        <v>83</v>
      </c>
      <c r="I21" s="134">
        <v>13095</v>
      </c>
      <c r="J21" s="134">
        <v>6644</v>
      </c>
      <c r="K21" s="134">
        <v>6451</v>
      </c>
      <c r="L21" s="134">
        <f>1072+1066</f>
        <v>2138</v>
      </c>
      <c r="M21" s="134">
        <f>1053+993</f>
        <v>2046</v>
      </c>
      <c r="N21" s="134">
        <f>1075+1050</f>
        <v>2125</v>
      </c>
      <c r="O21" s="134">
        <f>1082+1042</f>
        <v>2124</v>
      </c>
      <c r="P21" s="134">
        <f>1148+1121</f>
        <v>2269</v>
      </c>
      <c r="Q21" s="134">
        <f>1214+1179</f>
        <v>2393</v>
      </c>
      <c r="R21" s="134">
        <v>979</v>
      </c>
      <c r="S21" s="134">
        <v>914</v>
      </c>
      <c r="T21" s="134">
        <v>348</v>
      </c>
      <c r="U21" s="134">
        <v>566</v>
      </c>
      <c r="V21" s="134">
        <v>65</v>
      </c>
      <c r="W21" s="134">
        <v>178</v>
      </c>
      <c r="X21" s="134">
        <v>55</v>
      </c>
      <c r="Y21" s="100" t="s">
        <v>408</v>
      </c>
    </row>
    <row r="22" spans="1:25" s="30" customFormat="1" ht="23.25" customHeight="1">
      <c r="A22" s="47" t="s">
        <v>409</v>
      </c>
      <c r="B22" s="133">
        <v>24</v>
      </c>
      <c r="C22" s="134">
        <v>24</v>
      </c>
      <c r="D22" s="139">
        <v>0</v>
      </c>
      <c r="E22" s="134">
        <v>373</v>
      </c>
      <c r="F22" s="134">
        <v>318</v>
      </c>
      <c r="G22" s="134">
        <v>5</v>
      </c>
      <c r="H22" s="134">
        <v>50</v>
      </c>
      <c r="I22" s="134">
        <v>8548</v>
      </c>
      <c r="J22" s="134">
        <v>4358</v>
      </c>
      <c r="K22" s="134">
        <v>4190</v>
      </c>
      <c r="L22" s="134">
        <f>671+641</f>
        <v>1312</v>
      </c>
      <c r="M22" s="134">
        <f>697+691</f>
        <v>1388</v>
      </c>
      <c r="N22" s="134">
        <f>769+708</f>
        <v>1477</v>
      </c>
      <c r="O22" s="134">
        <f>726+667</f>
        <v>1393</v>
      </c>
      <c r="P22" s="134">
        <f>713+723</f>
        <v>1436</v>
      </c>
      <c r="Q22" s="134">
        <f>782+760</f>
        <v>1542</v>
      </c>
      <c r="R22" s="134">
        <v>558</v>
      </c>
      <c r="S22" s="134">
        <v>525</v>
      </c>
      <c r="T22" s="134">
        <v>162</v>
      </c>
      <c r="U22" s="134">
        <v>363</v>
      </c>
      <c r="V22" s="134">
        <v>33</v>
      </c>
      <c r="W22" s="134">
        <v>97</v>
      </c>
      <c r="X22" s="134">
        <v>30</v>
      </c>
      <c r="Y22" s="100" t="s">
        <v>409</v>
      </c>
    </row>
    <row r="23" spans="1:25" s="30" customFormat="1" ht="23.25" customHeight="1">
      <c r="A23" s="47" t="s">
        <v>410</v>
      </c>
      <c r="B23" s="133">
        <v>35</v>
      </c>
      <c r="C23" s="134">
        <v>35</v>
      </c>
      <c r="D23" s="139">
        <v>0</v>
      </c>
      <c r="E23" s="134">
        <v>470</v>
      </c>
      <c r="F23" s="134">
        <v>387</v>
      </c>
      <c r="G23" s="134">
        <v>12</v>
      </c>
      <c r="H23" s="134">
        <v>71</v>
      </c>
      <c r="I23" s="134">
        <v>10913</v>
      </c>
      <c r="J23" s="134">
        <v>5582</v>
      </c>
      <c r="K23" s="134">
        <v>5331</v>
      </c>
      <c r="L23" s="134">
        <f>889+849</f>
        <v>1738</v>
      </c>
      <c r="M23" s="134">
        <f>878+852</f>
        <v>1730</v>
      </c>
      <c r="N23" s="134">
        <f>914+852</f>
        <v>1766</v>
      </c>
      <c r="O23" s="134">
        <f>965+920</f>
        <v>1885</v>
      </c>
      <c r="P23" s="134">
        <f>949+939</f>
        <v>1888</v>
      </c>
      <c r="Q23" s="134">
        <f>987+919</f>
        <v>1906</v>
      </c>
      <c r="R23" s="134">
        <v>748</v>
      </c>
      <c r="S23" s="134">
        <v>695</v>
      </c>
      <c r="T23" s="134">
        <v>252</v>
      </c>
      <c r="U23" s="134">
        <v>443</v>
      </c>
      <c r="V23" s="134">
        <v>53</v>
      </c>
      <c r="W23" s="134">
        <v>89</v>
      </c>
      <c r="X23" s="134">
        <v>42</v>
      </c>
      <c r="Y23" s="100" t="s">
        <v>410</v>
      </c>
    </row>
    <row r="24" spans="1:25" s="30" customFormat="1" ht="23.25" customHeight="1">
      <c r="A24" s="47" t="s">
        <v>411</v>
      </c>
      <c r="B24" s="133">
        <v>23</v>
      </c>
      <c r="C24" s="134">
        <v>23</v>
      </c>
      <c r="D24" s="139">
        <v>0</v>
      </c>
      <c r="E24" s="134">
        <v>148</v>
      </c>
      <c r="F24" s="134">
        <v>99</v>
      </c>
      <c r="G24" s="134">
        <v>28</v>
      </c>
      <c r="H24" s="134">
        <v>21</v>
      </c>
      <c r="I24" s="134">
        <v>2176</v>
      </c>
      <c r="J24" s="134">
        <v>1107</v>
      </c>
      <c r="K24" s="134">
        <v>1069</v>
      </c>
      <c r="L24" s="134">
        <f>190+152</f>
        <v>342</v>
      </c>
      <c r="M24" s="134">
        <f>168+182</f>
        <v>350</v>
      </c>
      <c r="N24" s="134">
        <f>176+167</f>
        <v>343</v>
      </c>
      <c r="O24" s="134">
        <f>182+171</f>
        <v>353</v>
      </c>
      <c r="P24" s="134">
        <f>199+196</f>
        <v>395</v>
      </c>
      <c r="Q24" s="134">
        <f>192+201</f>
        <v>393</v>
      </c>
      <c r="R24" s="134">
        <v>267</v>
      </c>
      <c r="S24" s="134">
        <v>240</v>
      </c>
      <c r="T24" s="134">
        <v>91</v>
      </c>
      <c r="U24" s="134">
        <v>149</v>
      </c>
      <c r="V24" s="134">
        <v>27</v>
      </c>
      <c r="W24" s="134">
        <v>55</v>
      </c>
      <c r="X24" s="134">
        <v>24</v>
      </c>
      <c r="Y24" s="100" t="s">
        <v>412</v>
      </c>
    </row>
    <row r="25" spans="1:25" s="30" customFormat="1" ht="23.25" customHeight="1">
      <c r="A25" s="47" t="s">
        <v>413</v>
      </c>
      <c r="B25" s="133">
        <v>17</v>
      </c>
      <c r="C25" s="134">
        <v>17</v>
      </c>
      <c r="D25" s="139">
        <v>0</v>
      </c>
      <c r="E25" s="134">
        <v>263</v>
      </c>
      <c r="F25" s="134">
        <v>225</v>
      </c>
      <c r="G25" s="134">
        <v>1</v>
      </c>
      <c r="H25" s="134">
        <v>37</v>
      </c>
      <c r="I25" s="134">
        <v>6257</v>
      </c>
      <c r="J25" s="134">
        <v>3121</v>
      </c>
      <c r="K25" s="134">
        <v>3136</v>
      </c>
      <c r="L25" s="134">
        <f>514+529</f>
        <v>1043</v>
      </c>
      <c r="M25" s="134">
        <f>511+466</f>
        <v>977</v>
      </c>
      <c r="N25" s="134">
        <f>499+512</f>
        <v>1011</v>
      </c>
      <c r="O25" s="134">
        <f>509+508</f>
        <v>1017</v>
      </c>
      <c r="P25" s="134">
        <f>522+568</f>
        <v>1090</v>
      </c>
      <c r="Q25" s="134">
        <f>566+553</f>
        <v>1119</v>
      </c>
      <c r="R25" s="134">
        <v>421</v>
      </c>
      <c r="S25" s="134">
        <v>389</v>
      </c>
      <c r="T25" s="134">
        <v>135</v>
      </c>
      <c r="U25" s="134">
        <v>254</v>
      </c>
      <c r="V25" s="134">
        <v>32</v>
      </c>
      <c r="W25" s="134">
        <v>39</v>
      </c>
      <c r="X25" s="134">
        <v>18</v>
      </c>
      <c r="Y25" s="100" t="s">
        <v>413</v>
      </c>
    </row>
    <row r="26" spans="1:25" s="30" customFormat="1" ht="23.25" customHeight="1">
      <c r="A26" s="47" t="s">
        <v>414</v>
      </c>
      <c r="B26" s="133">
        <v>11</v>
      </c>
      <c r="C26" s="134">
        <v>11</v>
      </c>
      <c r="D26" s="139">
        <v>0</v>
      </c>
      <c r="E26" s="134">
        <v>135</v>
      </c>
      <c r="F26" s="134">
        <v>115</v>
      </c>
      <c r="G26" s="134">
        <v>5</v>
      </c>
      <c r="H26" s="134">
        <v>15</v>
      </c>
      <c r="I26" s="134">
        <v>3167</v>
      </c>
      <c r="J26" s="134">
        <v>1589</v>
      </c>
      <c r="K26" s="134">
        <v>1578</v>
      </c>
      <c r="L26" s="134">
        <f>258+261</f>
        <v>519</v>
      </c>
      <c r="M26" s="134">
        <f>258+261</f>
        <v>519</v>
      </c>
      <c r="N26" s="134">
        <f>249+255</f>
        <v>504</v>
      </c>
      <c r="O26" s="134">
        <f>297+275</f>
        <v>572</v>
      </c>
      <c r="P26" s="134">
        <f>267+250</f>
        <v>517</v>
      </c>
      <c r="Q26" s="134">
        <f>260+276</f>
        <v>536</v>
      </c>
      <c r="R26" s="134">
        <v>221</v>
      </c>
      <c r="S26" s="134">
        <v>201</v>
      </c>
      <c r="T26" s="134">
        <v>65</v>
      </c>
      <c r="U26" s="134">
        <v>136</v>
      </c>
      <c r="V26" s="134">
        <v>20</v>
      </c>
      <c r="W26" s="134">
        <v>37</v>
      </c>
      <c r="X26" s="134">
        <v>12</v>
      </c>
      <c r="Y26" s="100" t="s">
        <v>414</v>
      </c>
    </row>
    <row r="27" spans="1:25" s="30" customFormat="1" ht="23.25" customHeight="1">
      <c r="A27" s="47" t="s">
        <v>415</v>
      </c>
      <c r="B27" s="133">
        <v>47</v>
      </c>
      <c r="C27" s="134">
        <v>46</v>
      </c>
      <c r="D27" s="134">
        <v>1</v>
      </c>
      <c r="E27" s="134">
        <v>346</v>
      </c>
      <c r="F27" s="134">
        <v>272</v>
      </c>
      <c r="G27" s="134">
        <v>33</v>
      </c>
      <c r="H27" s="134">
        <v>41</v>
      </c>
      <c r="I27" s="134">
        <v>7247</v>
      </c>
      <c r="J27" s="134">
        <v>3702</v>
      </c>
      <c r="K27" s="134">
        <v>3545</v>
      </c>
      <c r="L27" s="134">
        <f>588+576</f>
        <v>1164</v>
      </c>
      <c r="M27" s="134">
        <f>585+530</f>
        <v>1115</v>
      </c>
      <c r="N27" s="134">
        <f>614+551</f>
        <v>1165</v>
      </c>
      <c r="O27" s="134">
        <f>625+603</f>
        <v>1228</v>
      </c>
      <c r="P27" s="134">
        <f>592+621</f>
        <v>1213</v>
      </c>
      <c r="Q27" s="134">
        <f>698+664</f>
        <v>1362</v>
      </c>
      <c r="R27" s="134">
        <v>568</v>
      </c>
      <c r="S27" s="134">
        <v>535</v>
      </c>
      <c r="T27" s="134">
        <v>178</v>
      </c>
      <c r="U27" s="134">
        <v>357</v>
      </c>
      <c r="V27" s="134">
        <v>33</v>
      </c>
      <c r="W27" s="134">
        <v>65</v>
      </c>
      <c r="X27" s="134">
        <v>34</v>
      </c>
      <c r="Y27" s="100" t="s">
        <v>415</v>
      </c>
    </row>
    <row r="28" spans="1:25" s="30" customFormat="1" ht="23.25" customHeight="1">
      <c r="A28" s="47" t="s">
        <v>416</v>
      </c>
      <c r="B28" s="133">
        <v>12</v>
      </c>
      <c r="C28" s="134">
        <v>12</v>
      </c>
      <c r="D28" s="139">
        <v>0</v>
      </c>
      <c r="E28" s="134">
        <v>140</v>
      </c>
      <c r="F28" s="134">
        <v>113</v>
      </c>
      <c r="G28" s="134">
        <v>5</v>
      </c>
      <c r="H28" s="134">
        <v>22</v>
      </c>
      <c r="I28" s="134">
        <v>2955</v>
      </c>
      <c r="J28" s="134">
        <v>1511</v>
      </c>
      <c r="K28" s="134">
        <v>1444</v>
      </c>
      <c r="L28" s="134">
        <f>231+218</f>
        <v>449</v>
      </c>
      <c r="M28" s="134">
        <f>237+227</f>
        <v>464</v>
      </c>
      <c r="N28" s="134">
        <f>258+244</f>
        <v>502</v>
      </c>
      <c r="O28" s="134">
        <f>244+248</f>
        <v>492</v>
      </c>
      <c r="P28" s="134">
        <f>254+256</f>
        <v>510</v>
      </c>
      <c r="Q28" s="134">
        <f>287+251</f>
        <v>538</v>
      </c>
      <c r="R28" s="134">
        <v>232</v>
      </c>
      <c r="S28" s="134">
        <v>210</v>
      </c>
      <c r="T28" s="134">
        <v>77</v>
      </c>
      <c r="U28" s="134">
        <v>133</v>
      </c>
      <c r="V28" s="134">
        <v>22</v>
      </c>
      <c r="W28" s="134">
        <v>21</v>
      </c>
      <c r="X28" s="134">
        <v>15</v>
      </c>
      <c r="Y28" s="100" t="s">
        <v>416</v>
      </c>
    </row>
    <row r="29" spans="1:25" s="30" customFormat="1" ht="23.25" customHeight="1">
      <c r="A29" s="47" t="s">
        <v>417</v>
      </c>
      <c r="B29" s="133">
        <v>11</v>
      </c>
      <c r="C29" s="134">
        <v>11</v>
      </c>
      <c r="D29" s="139">
        <v>0</v>
      </c>
      <c r="E29" s="134">
        <v>93</v>
      </c>
      <c r="F29" s="134">
        <v>64</v>
      </c>
      <c r="G29" s="134">
        <v>10</v>
      </c>
      <c r="H29" s="134">
        <v>19</v>
      </c>
      <c r="I29" s="134">
        <v>1562</v>
      </c>
      <c r="J29" s="134">
        <v>835</v>
      </c>
      <c r="K29" s="134">
        <v>727</v>
      </c>
      <c r="L29" s="134">
        <f>127+120</f>
        <v>247</v>
      </c>
      <c r="M29" s="134">
        <f>141+120</f>
        <v>261</v>
      </c>
      <c r="N29" s="134">
        <f>131+108</f>
        <v>239</v>
      </c>
      <c r="O29" s="134">
        <f>149+127</f>
        <v>276</v>
      </c>
      <c r="P29" s="134">
        <f>147+124</f>
        <v>271</v>
      </c>
      <c r="Q29" s="134">
        <f>140+128</f>
        <v>268</v>
      </c>
      <c r="R29" s="134">
        <v>152</v>
      </c>
      <c r="S29" s="134">
        <v>141</v>
      </c>
      <c r="T29" s="134">
        <v>59</v>
      </c>
      <c r="U29" s="134">
        <v>82</v>
      </c>
      <c r="V29" s="134">
        <v>11</v>
      </c>
      <c r="W29" s="134">
        <v>17</v>
      </c>
      <c r="X29" s="134">
        <v>14</v>
      </c>
      <c r="Y29" s="100" t="s">
        <v>417</v>
      </c>
    </row>
    <row r="30" spans="1:25" s="30" customFormat="1" ht="23.25" customHeight="1">
      <c r="A30" s="47" t="s">
        <v>418</v>
      </c>
      <c r="B30" s="133">
        <v>12</v>
      </c>
      <c r="C30" s="134">
        <v>12</v>
      </c>
      <c r="D30" s="139">
        <v>0</v>
      </c>
      <c r="E30" s="134">
        <v>96</v>
      </c>
      <c r="F30" s="134">
        <v>77</v>
      </c>
      <c r="G30" s="134">
        <v>4</v>
      </c>
      <c r="H30" s="134">
        <v>15</v>
      </c>
      <c r="I30" s="134">
        <v>1593</v>
      </c>
      <c r="J30" s="134">
        <v>809</v>
      </c>
      <c r="K30" s="134">
        <v>784</v>
      </c>
      <c r="L30" s="134">
        <f>138+113</f>
        <v>251</v>
      </c>
      <c r="M30" s="134">
        <f>128+117</f>
        <v>245</v>
      </c>
      <c r="N30" s="134">
        <f>136+123</f>
        <v>259</v>
      </c>
      <c r="O30" s="134">
        <f>133+152</f>
        <v>285</v>
      </c>
      <c r="P30" s="134">
        <f>135+133</f>
        <v>268</v>
      </c>
      <c r="Q30" s="134">
        <f>139+146</f>
        <v>285</v>
      </c>
      <c r="R30" s="134">
        <v>154</v>
      </c>
      <c r="S30" s="134">
        <v>149</v>
      </c>
      <c r="T30" s="134">
        <v>57</v>
      </c>
      <c r="U30" s="134">
        <v>92</v>
      </c>
      <c r="V30" s="134">
        <v>5</v>
      </c>
      <c r="W30" s="134">
        <v>12</v>
      </c>
      <c r="X30" s="134">
        <v>10</v>
      </c>
      <c r="Y30" s="100" t="s">
        <v>418</v>
      </c>
    </row>
    <row r="31" spans="1:25" s="30" customFormat="1" ht="23.25" customHeight="1">
      <c r="A31" s="47" t="s">
        <v>419</v>
      </c>
      <c r="B31" s="133">
        <v>20</v>
      </c>
      <c r="C31" s="134">
        <v>20</v>
      </c>
      <c r="D31" s="139">
        <v>0</v>
      </c>
      <c r="E31" s="134">
        <v>98</v>
      </c>
      <c r="F31" s="134">
        <v>56</v>
      </c>
      <c r="G31" s="134">
        <v>31</v>
      </c>
      <c r="H31" s="134">
        <v>11</v>
      </c>
      <c r="I31" s="134">
        <v>1174</v>
      </c>
      <c r="J31" s="134">
        <v>585</v>
      </c>
      <c r="K31" s="134">
        <v>589</v>
      </c>
      <c r="L31" s="134">
        <f>92+90</f>
        <v>182</v>
      </c>
      <c r="M31" s="134">
        <f>100+103</f>
        <v>203</v>
      </c>
      <c r="N31" s="134">
        <f>98+85</f>
        <v>183</v>
      </c>
      <c r="O31" s="134">
        <f>85+108</f>
        <v>193</v>
      </c>
      <c r="P31" s="134">
        <f>108+89</f>
        <v>197</v>
      </c>
      <c r="Q31" s="134">
        <f>102+114</f>
        <v>216</v>
      </c>
      <c r="R31" s="134">
        <v>190</v>
      </c>
      <c r="S31" s="134">
        <v>168</v>
      </c>
      <c r="T31" s="134">
        <v>71</v>
      </c>
      <c r="U31" s="134">
        <v>97</v>
      </c>
      <c r="V31" s="134">
        <v>22</v>
      </c>
      <c r="W31" s="134">
        <v>32</v>
      </c>
      <c r="X31" s="134">
        <v>22</v>
      </c>
      <c r="Y31" s="100" t="s">
        <v>419</v>
      </c>
    </row>
    <row r="32" spans="1:25" s="30" customFormat="1" ht="23.25" customHeight="1">
      <c r="A32" s="47" t="s">
        <v>420</v>
      </c>
      <c r="B32" s="133">
        <v>36</v>
      </c>
      <c r="C32" s="134">
        <v>34</v>
      </c>
      <c r="D32" s="134">
        <v>2</v>
      </c>
      <c r="E32" s="134">
        <v>341</v>
      </c>
      <c r="F32" s="134">
        <v>283</v>
      </c>
      <c r="G32" s="134">
        <v>13</v>
      </c>
      <c r="H32" s="134">
        <v>45</v>
      </c>
      <c r="I32" s="134">
        <v>7764</v>
      </c>
      <c r="J32" s="134">
        <v>4025</v>
      </c>
      <c r="K32" s="134">
        <v>3739</v>
      </c>
      <c r="L32" s="134">
        <f>666+623</f>
        <v>1289</v>
      </c>
      <c r="M32" s="134">
        <f>583+610</f>
        <v>1193</v>
      </c>
      <c r="N32" s="134">
        <f>676+599</f>
        <v>1275</v>
      </c>
      <c r="O32" s="134">
        <f>670+624</f>
        <v>1294</v>
      </c>
      <c r="P32" s="134">
        <f>702+636</f>
        <v>1338</v>
      </c>
      <c r="Q32" s="134">
        <f>728+647</f>
        <v>1375</v>
      </c>
      <c r="R32" s="134">
        <v>552</v>
      </c>
      <c r="S32" s="134">
        <v>519</v>
      </c>
      <c r="T32" s="134">
        <v>176</v>
      </c>
      <c r="U32" s="134">
        <v>343</v>
      </c>
      <c r="V32" s="134">
        <v>33</v>
      </c>
      <c r="W32" s="134">
        <v>39</v>
      </c>
      <c r="X32" s="134">
        <v>32</v>
      </c>
      <c r="Y32" s="100" t="s">
        <v>420</v>
      </c>
    </row>
    <row r="33" spans="1:25" s="30" customFormat="1" ht="23.25" customHeight="1">
      <c r="A33" s="47" t="s">
        <v>421</v>
      </c>
      <c r="B33" s="133">
        <v>13</v>
      </c>
      <c r="C33" s="134">
        <v>12</v>
      </c>
      <c r="D33" s="134">
        <v>1</v>
      </c>
      <c r="E33" s="134">
        <v>154</v>
      </c>
      <c r="F33" s="134">
        <v>132</v>
      </c>
      <c r="G33" s="139">
        <v>0</v>
      </c>
      <c r="H33" s="134">
        <v>22</v>
      </c>
      <c r="I33" s="134">
        <v>3487</v>
      </c>
      <c r="J33" s="134">
        <v>1828</v>
      </c>
      <c r="K33" s="134">
        <v>1659</v>
      </c>
      <c r="L33" s="134">
        <f>281+251</f>
        <v>532</v>
      </c>
      <c r="M33" s="134">
        <f>285+277</f>
        <v>562</v>
      </c>
      <c r="N33" s="134">
        <f>329+272</f>
        <v>601</v>
      </c>
      <c r="O33" s="134">
        <f>298+290</f>
        <v>588</v>
      </c>
      <c r="P33" s="134">
        <f>313+284</f>
        <v>597</v>
      </c>
      <c r="Q33" s="134">
        <f>322+285</f>
        <v>607</v>
      </c>
      <c r="R33" s="134">
        <v>255</v>
      </c>
      <c r="S33" s="134">
        <v>233</v>
      </c>
      <c r="T33" s="134">
        <v>70</v>
      </c>
      <c r="U33" s="134">
        <v>163</v>
      </c>
      <c r="V33" s="134">
        <v>22</v>
      </c>
      <c r="W33" s="134">
        <v>41</v>
      </c>
      <c r="X33" s="134">
        <v>15</v>
      </c>
      <c r="Y33" s="100" t="s">
        <v>421</v>
      </c>
    </row>
    <row r="34" spans="1:25" s="30" customFormat="1" ht="23.25" customHeight="1">
      <c r="A34" s="52"/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2"/>
    </row>
    <row r="35" spans="1:25" s="30" customFormat="1" ht="23.25" customHeight="1">
      <c r="A35" s="53" t="s">
        <v>422</v>
      </c>
      <c r="B35" s="135">
        <v>24</v>
      </c>
      <c r="C35" s="136">
        <v>24</v>
      </c>
      <c r="D35" s="141">
        <v>0</v>
      </c>
      <c r="E35" s="136">
        <v>160</v>
      </c>
      <c r="F35" s="136">
        <v>112</v>
      </c>
      <c r="G35" s="136">
        <v>25</v>
      </c>
      <c r="H35" s="136">
        <v>23</v>
      </c>
      <c r="I35" s="136">
        <v>2603</v>
      </c>
      <c r="J35" s="136">
        <v>1315</v>
      </c>
      <c r="K35" s="136">
        <v>1288</v>
      </c>
      <c r="L35" s="136">
        <f>201+209</f>
        <v>410</v>
      </c>
      <c r="M35" s="136">
        <f>225+209</f>
        <v>434</v>
      </c>
      <c r="N35" s="136">
        <f>202+225</f>
        <v>427</v>
      </c>
      <c r="O35" s="136">
        <f>222+208</f>
        <v>430</v>
      </c>
      <c r="P35" s="136">
        <f>217+214</f>
        <v>431</v>
      </c>
      <c r="Q35" s="136">
        <f>248+223</f>
        <v>471</v>
      </c>
      <c r="R35" s="136">
        <v>292</v>
      </c>
      <c r="S35" s="136">
        <v>270</v>
      </c>
      <c r="T35" s="136">
        <v>115</v>
      </c>
      <c r="U35" s="136">
        <v>155</v>
      </c>
      <c r="V35" s="136">
        <v>22</v>
      </c>
      <c r="W35" s="136">
        <v>27</v>
      </c>
      <c r="X35" s="136">
        <v>20</v>
      </c>
      <c r="Y35" s="137" t="s">
        <v>423</v>
      </c>
    </row>
    <row r="36" spans="1:25" s="30" customFormat="1" ht="23.25" customHeight="1">
      <c r="A36" s="52"/>
      <c r="B36" s="133"/>
      <c r="C36" s="134"/>
      <c r="D36" s="139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2"/>
    </row>
    <row r="37" spans="1:25" s="30" customFormat="1" ht="23.25" customHeight="1">
      <c r="A37" s="47" t="s">
        <v>424</v>
      </c>
      <c r="B37" s="133">
        <v>12</v>
      </c>
      <c r="C37" s="134">
        <v>12</v>
      </c>
      <c r="D37" s="139">
        <v>0</v>
      </c>
      <c r="E37" s="134">
        <v>54</v>
      </c>
      <c r="F37" s="134">
        <v>26</v>
      </c>
      <c r="G37" s="134">
        <v>19</v>
      </c>
      <c r="H37" s="134">
        <v>9</v>
      </c>
      <c r="I37" s="134">
        <v>528</v>
      </c>
      <c r="J37" s="134">
        <v>273</v>
      </c>
      <c r="K37" s="134">
        <v>255</v>
      </c>
      <c r="L37" s="134">
        <f>36+45</f>
        <v>81</v>
      </c>
      <c r="M37" s="134">
        <f>42+32</f>
        <v>74</v>
      </c>
      <c r="N37" s="134">
        <f>44+47</f>
        <v>91</v>
      </c>
      <c r="O37" s="134">
        <f>53+38</f>
        <v>91</v>
      </c>
      <c r="P37" s="134">
        <f>35+41</f>
        <v>76</v>
      </c>
      <c r="Q37" s="134">
        <f>63+52</f>
        <v>115</v>
      </c>
      <c r="R37" s="134">
        <v>106</v>
      </c>
      <c r="S37" s="134">
        <v>96</v>
      </c>
      <c r="T37" s="134">
        <v>43</v>
      </c>
      <c r="U37" s="134">
        <v>53</v>
      </c>
      <c r="V37" s="134">
        <v>10</v>
      </c>
      <c r="W37" s="134">
        <v>14</v>
      </c>
      <c r="X37" s="134">
        <v>10</v>
      </c>
      <c r="Y37" s="100" t="s">
        <v>424</v>
      </c>
    </row>
    <row r="38" spans="1:25" s="30" customFormat="1" ht="23.25" customHeight="1">
      <c r="A38" s="47" t="s">
        <v>425</v>
      </c>
      <c r="B38" s="133">
        <v>1</v>
      </c>
      <c r="C38" s="134">
        <v>1</v>
      </c>
      <c r="D38" s="139">
        <v>0</v>
      </c>
      <c r="E38" s="134">
        <v>15</v>
      </c>
      <c r="F38" s="134">
        <v>13</v>
      </c>
      <c r="G38" s="139">
        <v>0</v>
      </c>
      <c r="H38" s="134">
        <v>2</v>
      </c>
      <c r="I38" s="134">
        <v>399</v>
      </c>
      <c r="J38" s="134">
        <v>207</v>
      </c>
      <c r="K38" s="134">
        <v>192</v>
      </c>
      <c r="L38" s="134">
        <f>35+39</f>
        <v>74</v>
      </c>
      <c r="M38" s="134">
        <f>29+35</f>
        <v>64</v>
      </c>
      <c r="N38" s="134">
        <f>36+32</f>
        <v>68</v>
      </c>
      <c r="O38" s="134">
        <f>33+30</f>
        <v>63</v>
      </c>
      <c r="P38" s="134">
        <f>36+28</f>
        <v>64</v>
      </c>
      <c r="Q38" s="134">
        <f>38+28</f>
        <v>66</v>
      </c>
      <c r="R38" s="134">
        <v>33</v>
      </c>
      <c r="S38" s="134">
        <v>28</v>
      </c>
      <c r="T38" s="134">
        <v>9</v>
      </c>
      <c r="U38" s="134">
        <v>19</v>
      </c>
      <c r="V38" s="134">
        <v>5</v>
      </c>
      <c r="W38" s="134">
        <v>1</v>
      </c>
      <c r="X38" s="134">
        <v>1</v>
      </c>
      <c r="Y38" s="100" t="s">
        <v>425</v>
      </c>
    </row>
    <row r="39" spans="1:25" s="30" customFormat="1" ht="23.25" customHeight="1">
      <c r="A39" s="47" t="s">
        <v>426</v>
      </c>
      <c r="B39" s="133">
        <v>2</v>
      </c>
      <c r="C39" s="134">
        <v>2</v>
      </c>
      <c r="D39" s="139">
        <v>0</v>
      </c>
      <c r="E39" s="134">
        <v>8</v>
      </c>
      <c r="F39" s="134">
        <v>6</v>
      </c>
      <c r="G39" s="134">
        <v>1</v>
      </c>
      <c r="H39" s="134">
        <v>1</v>
      </c>
      <c r="I39" s="134">
        <v>73</v>
      </c>
      <c r="J39" s="134">
        <v>39</v>
      </c>
      <c r="K39" s="134">
        <v>34</v>
      </c>
      <c r="L39" s="134">
        <f>5+6</f>
        <v>11</v>
      </c>
      <c r="M39" s="134">
        <f>4+5</f>
        <v>9</v>
      </c>
      <c r="N39" s="134">
        <f>6+7</f>
        <v>13</v>
      </c>
      <c r="O39" s="134">
        <f>7+6</f>
        <v>13</v>
      </c>
      <c r="P39" s="134">
        <f>10+6</f>
        <v>16</v>
      </c>
      <c r="Q39" s="134">
        <f>7+4</f>
        <v>11</v>
      </c>
      <c r="R39" s="134">
        <v>19</v>
      </c>
      <c r="S39" s="134">
        <v>15</v>
      </c>
      <c r="T39" s="134">
        <v>6</v>
      </c>
      <c r="U39" s="134">
        <v>9</v>
      </c>
      <c r="V39" s="134">
        <v>4</v>
      </c>
      <c r="W39" s="134">
        <v>1</v>
      </c>
      <c r="X39" s="134">
        <v>1</v>
      </c>
      <c r="Y39" s="100" t="s">
        <v>426</v>
      </c>
    </row>
    <row r="40" spans="1:25" s="30" customFormat="1" ht="23.25" customHeight="1">
      <c r="A40" s="47" t="s">
        <v>427</v>
      </c>
      <c r="B40" s="133">
        <v>5</v>
      </c>
      <c r="C40" s="134">
        <v>5</v>
      </c>
      <c r="D40" s="139">
        <v>0</v>
      </c>
      <c r="E40" s="134">
        <v>45</v>
      </c>
      <c r="F40" s="134">
        <v>36</v>
      </c>
      <c r="G40" s="134">
        <v>3</v>
      </c>
      <c r="H40" s="134">
        <v>6</v>
      </c>
      <c r="I40" s="134">
        <v>876</v>
      </c>
      <c r="J40" s="134">
        <v>431</v>
      </c>
      <c r="K40" s="134">
        <v>445</v>
      </c>
      <c r="L40" s="134">
        <f>68+63</f>
        <v>131</v>
      </c>
      <c r="M40" s="134">
        <f>83+80</f>
        <v>163</v>
      </c>
      <c r="N40" s="134">
        <f>62+76</f>
        <v>138</v>
      </c>
      <c r="O40" s="134">
        <f>68+80</f>
        <v>148</v>
      </c>
      <c r="P40" s="134">
        <f>71+70</f>
        <v>141</v>
      </c>
      <c r="Q40" s="134">
        <f>79+76</f>
        <v>155</v>
      </c>
      <c r="R40" s="134">
        <v>69</v>
      </c>
      <c r="S40" s="134">
        <v>67</v>
      </c>
      <c r="T40" s="134">
        <v>30</v>
      </c>
      <c r="U40" s="134">
        <v>37</v>
      </c>
      <c r="V40" s="134">
        <v>2</v>
      </c>
      <c r="W40" s="134">
        <v>5</v>
      </c>
      <c r="X40" s="134">
        <v>5</v>
      </c>
      <c r="Y40" s="100" t="s">
        <v>427</v>
      </c>
    </row>
    <row r="41" spans="1:25" s="30" customFormat="1" ht="23.25" customHeight="1">
      <c r="A41" s="47" t="s">
        <v>428</v>
      </c>
      <c r="B41" s="133">
        <v>2</v>
      </c>
      <c r="C41" s="134">
        <v>2</v>
      </c>
      <c r="D41" s="139">
        <v>0</v>
      </c>
      <c r="E41" s="134">
        <v>27</v>
      </c>
      <c r="F41" s="134">
        <v>24</v>
      </c>
      <c r="G41" s="139">
        <v>0</v>
      </c>
      <c r="H41" s="134">
        <v>3</v>
      </c>
      <c r="I41" s="134">
        <v>605</v>
      </c>
      <c r="J41" s="134">
        <v>295</v>
      </c>
      <c r="K41" s="134">
        <v>310</v>
      </c>
      <c r="L41" s="134">
        <f>43+46</f>
        <v>89</v>
      </c>
      <c r="M41" s="134">
        <f>55+49</f>
        <v>104</v>
      </c>
      <c r="N41" s="134">
        <f>41+55</f>
        <v>96</v>
      </c>
      <c r="O41" s="134">
        <f>51+45</f>
        <v>96</v>
      </c>
      <c r="P41" s="134">
        <f>55+62</f>
        <v>117</v>
      </c>
      <c r="Q41" s="134">
        <f>50+53</f>
        <v>103</v>
      </c>
      <c r="R41" s="134">
        <v>44</v>
      </c>
      <c r="S41" s="134">
        <v>43</v>
      </c>
      <c r="T41" s="134">
        <v>18</v>
      </c>
      <c r="U41" s="134">
        <v>25</v>
      </c>
      <c r="V41" s="134">
        <v>1</v>
      </c>
      <c r="W41" s="134">
        <v>5</v>
      </c>
      <c r="X41" s="134">
        <v>2</v>
      </c>
      <c r="Y41" s="100" t="s">
        <v>428</v>
      </c>
    </row>
    <row r="42" spans="1:25" s="30" customFormat="1" ht="23.25" customHeight="1">
      <c r="A42" s="47" t="s">
        <v>429</v>
      </c>
      <c r="B42" s="133">
        <v>2</v>
      </c>
      <c r="C42" s="134">
        <v>2</v>
      </c>
      <c r="D42" s="139">
        <v>0</v>
      </c>
      <c r="E42" s="134">
        <v>11</v>
      </c>
      <c r="F42" s="134">
        <v>7</v>
      </c>
      <c r="G42" s="134">
        <v>2</v>
      </c>
      <c r="H42" s="134">
        <v>2</v>
      </c>
      <c r="I42" s="134">
        <v>122</v>
      </c>
      <c r="J42" s="134">
        <v>70</v>
      </c>
      <c r="K42" s="134">
        <v>52</v>
      </c>
      <c r="L42" s="134">
        <f>14+10</f>
        <v>24</v>
      </c>
      <c r="M42" s="134">
        <f>12+8</f>
        <v>20</v>
      </c>
      <c r="N42" s="134">
        <f>13+8</f>
        <v>21</v>
      </c>
      <c r="O42" s="134">
        <f>10+9</f>
        <v>19</v>
      </c>
      <c r="P42" s="134">
        <f>10+7</f>
        <v>17</v>
      </c>
      <c r="Q42" s="134">
        <f>11+10</f>
        <v>21</v>
      </c>
      <c r="R42" s="134">
        <v>21</v>
      </c>
      <c r="S42" s="134">
        <v>21</v>
      </c>
      <c r="T42" s="134">
        <v>9</v>
      </c>
      <c r="U42" s="134">
        <v>12</v>
      </c>
      <c r="V42" s="139">
        <v>0</v>
      </c>
      <c r="W42" s="134">
        <v>1</v>
      </c>
      <c r="X42" s="134">
        <v>1</v>
      </c>
      <c r="Y42" s="100" t="s">
        <v>429</v>
      </c>
    </row>
    <row r="43" spans="1:25" s="30" customFormat="1" ht="23.25" customHeight="1">
      <c r="A43" s="142" t="s">
        <v>209</v>
      </c>
      <c r="B43" s="143" t="s">
        <v>202</v>
      </c>
      <c r="C43" s="143" t="s">
        <v>202</v>
      </c>
      <c r="D43" s="143" t="s">
        <v>202</v>
      </c>
      <c r="E43" s="143" t="s">
        <v>202</v>
      </c>
      <c r="F43" s="143" t="s">
        <v>202</v>
      </c>
      <c r="G43" s="143" t="s">
        <v>202</v>
      </c>
      <c r="H43" s="143" t="s">
        <v>202</v>
      </c>
      <c r="I43" s="144" t="s">
        <v>202</v>
      </c>
      <c r="J43" s="144" t="s">
        <v>202</v>
      </c>
      <c r="K43" s="144" t="s">
        <v>202</v>
      </c>
      <c r="L43" s="144" t="s">
        <v>202</v>
      </c>
      <c r="M43" s="144" t="s">
        <v>202</v>
      </c>
      <c r="N43" s="144" t="s">
        <v>202</v>
      </c>
      <c r="O43" s="144" t="s">
        <v>202</v>
      </c>
      <c r="P43" s="144" t="s">
        <v>202</v>
      </c>
      <c r="Q43" s="144" t="s">
        <v>202</v>
      </c>
      <c r="R43" s="143" t="s">
        <v>202</v>
      </c>
      <c r="S43" s="143"/>
      <c r="T43" s="143"/>
      <c r="U43" s="143"/>
      <c r="V43" s="143" t="s">
        <v>202</v>
      </c>
      <c r="W43" s="143" t="s">
        <v>202</v>
      </c>
      <c r="X43" s="143" t="s">
        <v>202</v>
      </c>
      <c r="Y43" s="145" t="s">
        <v>209</v>
      </c>
    </row>
  </sheetData>
  <sheetProtection password="EE7F" sheet="1"/>
  <mergeCells count="16">
    <mergeCell ref="N7:N8"/>
    <mergeCell ref="O7:O8"/>
    <mergeCell ref="P7:P8"/>
    <mergeCell ref="Q7:Q8"/>
    <mergeCell ref="R7:R8"/>
    <mergeCell ref="V7:V8"/>
    <mergeCell ref="B6:D6"/>
    <mergeCell ref="E6:H6"/>
    <mergeCell ref="R6:V6"/>
    <mergeCell ref="B7:B8"/>
    <mergeCell ref="C7:C8"/>
    <mergeCell ref="D7:D8"/>
    <mergeCell ref="E7:E8"/>
    <mergeCell ref="I7:I8"/>
    <mergeCell ref="L7:L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14.28125" style="146" customWidth="1"/>
    <col min="2" max="7" width="7.7109375" style="35" customWidth="1"/>
    <col min="8" max="8" width="8.421875" style="35" customWidth="1"/>
    <col min="9" max="14" width="8.00390625" style="35" customWidth="1"/>
    <col min="15" max="18" width="8.140625" style="35" customWidth="1"/>
    <col min="19" max="19" width="7.7109375" style="35" customWidth="1"/>
    <col min="20" max="21" width="8.57421875" style="35" customWidth="1"/>
    <col min="22" max="22" width="14.28125" style="146" customWidth="1"/>
    <col min="23" max="16384" width="9.00390625" style="35" customWidth="1"/>
  </cols>
  <sheetData>
    <row r="1" spans="1:22" s="30" customFormat="1" ht="13.5">
      <c r="A1" s="106"/>
      <c r="B1" s="107" t="s">
        <v>327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06"/>
    </row>
    <row r="2" spans="1:22" s="30" customFormat="1" ht="13.5">
      <c r="A2" s="147"/>
      <c r="B2" s="10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47"/>
    </row>
    <row r="3" spans="1:22" s="30" customFormat="1" ht="13.5">
      <c r="A3" s="106"/>
      <c r="B3" s="29" t="s">
        <v>328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06"/>
    </row>
    <row r="4" spans="1:22" s="30" customFormat="1" ht="13.5">
      <c r="A4" s="106"/>
      <c r="B4" s="109" t="s">
        <v>329</v>
      </c>
      <c r="C4" s="7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06"/>
    </row>
    <row r="5" spans="1:22" s="30" customFormat="1" ht="14.25" thickBot="1">
      <c r="A5" s="10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06"/>
    </row>
    <row r="6" spans="1:22" s="30" customFormat="1" ht="19.5" customHeight="1" thickTop="1">
      <c r="A6" s="111" t="s">
        <v>263</v>
      </c>
      <c r="B6" s="330" t="s">
        <v>330</v>
      </c>
      <c r="C6" s="338"/>
      <c r="D6" s="331"/>
      <c r="E6" s="330" t="s">
        <v>331</v>
      </c>
      <c r="F6" s="338"/>
      <c r="G6" s="338"/>
      <c r="H6" s="331"/>
      <c r="I6" s="148"/>
      <c r="J6" s="149" t="s">
        <v>332</v>
      </c>
      <c r="K6" s="343" t="s">
        <v>333</v>
      </c>
      <c r="L6" s="343"/>
      <c r="M6" s="149" t="s">
        <v>334</v>
      </c>
      <c r="N6" s="150"/>
      <c r="O6" s="330" t="s">
        <v>335</v>
      </c>
      <c r="P6" s="338"/>
      <c r="Q6" s="338"/>
      <c r="R6" s="338"/>
      <c r="S6" s="331"/>
      <c r="T6" s="117" t="s">
        <v>336</v>
      </c>
      <c r="U6" s="118"/>
      <c r="V6" s="119" t="s">
        <v>263</v>
      </c>
    </row>
    <row r="7" spans="1:22" s="30" customFormat="1" ht="19.5" customHeight="1">
      <c r="A7" s="47"/>
      <c r="B7" s="340" t="s">
        <v>53</v>
      </c>
      <c r="C7" s="340" t="s">
        <v>337</v>
      </c>
      <c r="D7" s="340" t="s">
        <v>338</v>
      </c>
      <c r="E7" s="340" t="s">
        <v>53</v>
      </c>
      <c r="F7" s="99" t="s">
        <v>339</v>
      </c>
      <c r="G7" s="99" t="s">
        <v>340</v>
      </c>
      <c r="H7" s="151" t="s">
        <v>341</v>
      </c>
      <c r="I7" s="342" t="s">
        <v>53</v>
      </c>
      <c r="J7" s="123"/>
      <c r="K7" s="152"/>
      <c r="L7" s="340" t="s">
        <v>342</v>
      </c>
      <c r="M7" s="340" t="s">
        <v>343</v>
      </c>
      <c r="N7" s="340" t="s">
        <v>344</v>
      </c>
      <c r="O7" s="340" t="s">
        <v>53</v>
      </c>
      <c r="P7" s="124" t="s">
        <v>345</v>
      </c>
      <c r="Q7" s="122" t="s">
        <v>346</v>
      </c>
      <c r="R7" s="125" t="s">
        <v>347</v>
      </c>
      <c r="S7" s="340" t="s">
        <v>348</v>
      </c>
      <c r="T7" s="153"/>
      <c r="U7" s="127" t="s">
        <v>349</v>
      </c>
      <c r="V7" s="100"/>
    </row>
    <row r="8" spans="1:22" s="30" customFormat="1" ht="19.5" customHeight="1">
      <c r="A8" s="40" t="s">
        <v>350</v>
      </c>
      <c r="B8" s="341"/>
      <c r="C8" s="341"/>
      <c r="D8" s="341"/>
      <c r="E8" s="341"/>
      <c r="F8" s="79" t="s">
        <v>351</v>
      </c>
      <c r="G8" s="79" t="s">
        <v>351</v>
      </c>
      <c r="H8" s="41" t="s">
        <v>351</v>
      </c>
      <c r="I8" s="337"/>
      <c r="J8" s="42" t="s">
        <v>352</v>
      </c>
      <c r="K8" s="42" t="s">
        <v>353</v>
      </c>
      <c r="L8" s="341"/>
      <c r="M8" s="341"/>
      <c r="N8" s="341"/>
      <c r="O8" s="341"/>
      <c r="P8" s="43" t="s">
        <v>354</v>
      </c>
      <c r="Q8" s="42" t="s">
        <v>355</v>
      </c>
      <c r="R8" s="40" t="s">
        <v>55</v>
      </c>
      <c r="S8" s="341"/>
      <c r="T8" s="103"/>
      <c r="U8" s="129" t="s">
        <v>356</v>
      </c>
      <c r="V8" s="43" t="s">
        <v>357</v>
      </c>
    </row>
    <row r="9" spans="1:22" s="30" customFormat="1" ht="19.5" customHeight="1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32"/>
    </row>
    <row r="10" spans="1:22" s="30" customFormat="1" ht="19.5" customHeight="1">
      <c r="A10" s="47" t="s">
        <v>198</v>
      </c>
      <c r="B10" s="51">
        <v>177</v>
      </c>
      <c r="C10" s="51">
        <v>175</v>
      </c>
      <c r="D10" s="51">
        <v>2</v>
      </c>
      <c r="E10" s="51">
        <v>1591</v>
      </c>
      <c r="F10" s="51">
        <v>1370</v>
      </c>
      <c r="G10" s="51">
        <v>1</v>
      </c>
      <c r="H10" s="51">
        <v>220</v>
      </c>
      <c r="I10" s="51">
        <v>39233</v>
      </c>
      <c r="J10" s="51">
        <v>20033</v>
      </c>
      <c r="K10" s="51">
        <v>19200</v>
      </c>
      <c r="L10" s="51">
        <v>12995</v>
      </c>
      <c r="M10" s="51">
        <v>13036</v>
      </c>
      <c r="N10" s="51">
        <v>13202</v>
      </c>
      <c r="O10" s="51">
        <v>3627</v>
      </c>
      <c r="P10" s="51">
        <v>3256</v>
      </c>
      <c r="Q10" s="51">
        <v>1854</v>
      </c>
      <c r="R10" s="51">
        <v>1402</v>
      </c>
      <c r="S10" s="51">
        <v>371</v>
      </c>
      <c r="T10" s="51">
        <v>329</v>
      </c>
      <c r="U10" s="51">
        <v>181</v>
      </c>
      <c r="V10" s="100" t="str">
        <f>A10</f>
        <v>平成23年度</v>
      </c>
    </row>
    <row r="11" spans="1:22" s="30" customFormat="1" ht="19.5" customHeight="1">
      <c r="A11" s="85">
        <v>24</v>
      </c>
      <c r="B11" s="154">
        <v>176</v>
      </c>
      <c r="C11" s="154">
        <v>174</v>
      </c>
      <c r="D11" s="154">
        <v>2</v>
      </c>
      <c r="E11" s="154">
        <v>1588</v>
      </c>
      <c r="F11" s="154">
        <v>1351</v>
      </c>
      <c r="G11" s="154">
        <v>2</v>
      </c>
      <c r="H11" s="154">
        <v>235</v>
      </c>
      <c r="I11" s="154">
        <v>38868</v>
      </c>
      <c r="J11" s="154">
        <v>19924</v>
      </c>
      <c r="K11" s="154">
        <v>18944</v>
      </c>
      <c r="L11" s="154">
        <v>12872</v>
      </c>
      <c r="M11" s="154">
        <v>12980</v>
      </c>
      <c r="N11" s="154">
        <v>13016</v>
      </c>
      <c r="O11" s="154">
        <v>3691</v>
      </c>
      <c r="P11" s="154">
        <v>3251</v>
      </c>
      <c r="Q11" s="154">
        <v>1844</v>
      </c>
      <c r="R11" s="154">
        <v>1407</v>
      </c>
      <c r="S11" s="154">
        <v>440</v>
      </c>
      <c r="T11" s="154">
        <v>330</v>
      </c>
      <c r="U11" s="154">
        <v>176</v>
      </c>
      <c r="V11" s="100">
        <f>A11</f>
        <v>24</v>
      </c>
    </row>
    <row r="12" spans="1:22" s="30" customFormat="1" ht="19.5" customHeight="1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00"/>
    </row>
    <row r="13" spans="1:22" s="30" customFormat="1" ht="19.5" customHeight="1">
      <c r="A13" s="87">
        <v>25</v>
      </c>
      <c r="B13" s="136">
        <v>174</v>
      </c>
      <c r="C13" s="136">
        <v>172</v>
      </c>
      <c r="D13" s="136">
        <v>2</v>
      </c>
      <c r="E13" s="136">
        <v>1564</v>
      </c>
      <c r="F13" s="136">
        <v>1328</v>
      </c>
      <c r="G13" s="136">
        <v>2</v>
      </c>
      <c r="H13" s="136">
        <v>234</v>
      </c>
      <c r="I13" s="136">
        <v>38377</v>
      </c>
      <c r="J13" s="136">
        <v>19597</v>
      </c>
      <c r="K13" s="136">
        <v>18780</v>
      </c>
      <c r="L13" s="136">
        <f>6370+6198</f>
        <v>12568</v>
      </c>
      <c r="M13" s="136">
        <f>6606+6228</f>
        <v>12834</v>
      </c>
      <c r="N13" s="136">
        <f>6621+6354</f>
        <v>12975</v>
      </c>
      <c r="O13" s="136">
        <v>3666</v>
      </c>
      <c r="P13" s="136">
        <v>3213</v>
      </c>
      <c r="Q13" s="136">
        <v>1817</v>
      </c>
      <c r="R13" s="136">
        <v>1396</v>
      </c>
      <c r="S13" s="136">
        <v>453</v>
      </c>
      <c r="T13" s="136">
        <v>317</v>
      </c>
      <c r="U13" s="136">
        <v>172</v>
      </c>
      <c r="V13" s="137">
        <f>A13</f>
        <v>25</v>
      </c>
    </row>
    <row r="14" spans="1:22" s="30" customFormat="1" ht="19.5" customHeight="1">
      <c r="A14" s="52"/>
      <c r="B14" s="15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55"/>
      <c r="N14" s="134"/>
      <c r="O14" s="134"/>
      <c r="P14" s="134"/>
      <c r="Q14" s="134"/>
      <c r="R14" s="134"/>
      <c r="S14" s="134"/>
      <c r="T14" s="134"/>
      <c r="U14" s="134"/>
      <c r="V14" s="132"/>
    </row>
    <row r="15" spans="1:22" s="30" customFormat="1" ht="19.5" customHeight="1">
      <c r="A15" s="47" t="s">
        <v>358</v>
      </c>
      <c r="B15" s="154">
        <v>2</v>
      </c>
      <c r="C15" s="134">
        <v>2</v>
      </c>
      <c r="D15" s="156">
        <v>0</v>
      </c>
      <c r="E15" s="134">
        <v>21</v>
      </c>
      <c r="F15" s="134">
        <v>21</v>
      </c>
      <c r="G15" s="156">
        <v>0</v>
      </c>
      <c r="H15" s="156">
        <v>0</v>
      </c>
      <c r="I15" s="134">
        <v>735</v>
      </c>
      <c r="J15" s="134">
        <v>358</v>
      </c>
      <c r="K15" s="134">
        <v>377</v>
      </c>
      <c r="L15" s="134">
        <f>117+128</f>
        <v>245</v>
      </c>
      <c r="M15" s="134">
        <f>111+128</f>
        <v>239</v>
      </c>
      <c r="N15" s="134">
        <f>130+121</f>
        <v>251</v>
      </c>
      <c r="O15" s="134">
        <v>58</v>
      </c>
      <c r="P15" s="134">
        <v>42</v>
      </c>
      <c r="Q15" s="134">
        <v>30</v>
      </c>
      <c r="R15" s="134">
        <v>12</v>
      </c>
      <c r="S15" s="134">
        <v>16</v>
      </c>
      <c r="T15" s="134">
        <v>2</v>
      </c>
      <c r="U15" s="156">
        <v>2</v>
      </c>
      <c r="V15" s="100" t="s">
        <v>358</v>
      </c>
    </row>
    <row r="16" spans="1:22" s="30" customFormat="1" ht="19.5" customHeight="1">
      <c r="A16" s="47" t="s">
        <v>359</v>
      </c>
      <c r="B16" s="154">
        <v>164</v>
      </c>
      <c r="C16" s="134">
        <v>162</v>
      </c>
      <c r="D16" s="134">
        <v>2</v>
      </c>
      <c r="E16" s="134">
        <v>1493</v>
      </c>
      <c r="F16" s="134">
        <v>1257</v>
      </c>
      <c r="G16" s="134">
        <v>2</v>
      </c>
      <c r="H16" s="134">
        <v>234</v>
      </c>
      <c r="I16" s="134">
        <v>36410</v>
      </c>
      <c r="J16" s="134">
        <v>18654</v>
      </c>
      <c r="K16" s="134">
        <v>17756</v>
      </c>
      <c r="L16" s="134">
        <f>6045+5873</f>
        <v>11918</v>
      </c>
      <c r="M16" s="134">
        <f>6296+5890</f>
        <v>12186</v>
      </c>
      <c r="N16" s="134">
        <f>6313+5993</f>
        <v>12306</v>
      </c>
      <c r="O16" s="134">
        <v>3375</v>
      </c>
      <c r="P16" s="134">
        <v>3079</v>
      </c>
      <c r="Q16" s="134">
        <v>1720</v>
      </c>
      <c r="R16" s="134">
        <v>1359</v>
      </c>
      <c r="S16" s="134">
        <v>296</v>
      </c>
      <c r="T16" s="134">
        <v>308</v>
      </c>
      <c r="U16" s="134">
        <v>166</v>
      </c>
      <c r="V16" s="100" t="s">
        <v>359</v>
      </c>
    </row>
    <row r="17" spans="1:22" s="30" customFormat="1" ht="19.5" customHeight="1">
      <c r="A17" s="47" t="s">
        <v>360</v>
      </c>
      <c r="B17" s="154">
        <v>8</v>
      </c>
      <c r="C17" s="134">
        <v>8</v>
      </c>
      <c r="D17" s="156">
        <v>0</v>
      </c>
      <c r="E17" s="134">
        <v>50</v>
      </c>
      <c r="F17" s="134">
        <v>50</v>
      </c>
      <c r="G17" s="156">
        <v>0</v>
      </c>
      <c r="H17" s="156">
        <v>0</v>
      </c>
      <c r="I17" s="134">
        <v>1232</v>
      </c>
      <c r="J17" s="134">
        <v>585</v>
      </c>
      <c r="K17" s="134">
        <v>647</v>
      </c>
      <c r="L17" s="134">
        <f>208+197</f>
        <v>405</v>
      </c>
      <c r="M17" s="134">
        <f>199+210</f>
        <v>409</v>
      </c>
      <c r="N17" s="134">
        <f>178+240</f>
        <v>418</v>
      </c>
      <c r="O17" s="134">
        <v>233</v>
      </c>
      <c r="P17" s="134">
        <v>92</v>
      </c>
      <c r="Q17" s="134">
        <v>67</v>
      </c>
      <c r="R17" s="134">
        <v>25</v>
      </c>
      <c r="S17" s="134">
        <v>141</v>
      </c>
      <c r="T17" s="134">
        <v>7</v>
      </c>
      <c r="U17" s="156">
        <v>4</v>
      </c>
      <c r="V17" s="100" t="s">
        <v>360</v>
      </c>
    </row>
    <row r="18" spans="1:22" s="30" customFormat="1" ht="19.5" customHeight="1">
      <c r="A18" s="52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 t="s">
        <v>209</v>
      </c>
      <c r="R18" s="134"/>
      <c r="S18" s="134"/>
      <c r="T18" s="134" t="s">
        <v>209</v>
      </c>
      <c r="U18" s="134"/>
      <c r="V18" s="132"/>
    </row>
    <row r="19" spans="1:22" s="30" customFormat="1" ht="19.5" customHeight="1">
      <c r="A19" s="53" t="s">
        <v>361</v>
      </c>
      <c r="B19" s="135">
        <v>162</v>
      </c>
      <c r="C19" s="136">
        <v>160</v>
      </c>
      <c r="D19" s="136">
        <v>2</v>
      </c>
      <c r="E19" s="136">
        <v>1497</v>
      </c>
      <c r="F19" s="136">
        <v>1274</v>
      </c>
      <c r="G19" s="136">
        <v>2</v>
      </c>
      <c r="H19" s="136">
        <v>221</v>
      </c>
      <c r="I19" s="136">
        <v>37053</v>
      </c>
      <c r="J19" s="136">
        <v>18911</v>
      </c>
      <c r="K19" s="136">
        <v>18142</v>
      </c>
      <c r="L19" s="136">
        <f>6140+5983</f>
        <v>12123</v>
      </c>
      <c r="M19" s="136">
        <f>6392+6015</f>
        <v>12407</v>
      </c>
      <c r="N19" s="136">
        <f>6379+6144</f>
        <v>12523</v>
      </c>
      <c r="O19" s="136">
        <v>3486</v>
      </c>
      <c r="P19" s="136">
        <v>3053</v>
      </c>
      <c r="Q19" s="136">
        <v>1724</v>
      </c>
      <c r="R19" s="136">
        <v>1329</v>
      </c>
      <c r="S19" s="136">
        <v>433</v>
      </c>
      <c r="T19" s="136">
        <v>301</v>
      </c>
      <c r="U19" s="136">
        <v>160</v>
      </c>
      <c r="V19" s="137" t="s">
        <v>361</v>
      </c>
    </row>
    <row r="20" spans="1:22" s="30" customFormat="1" ht="19.5" customHeight="1">
      <c r="A20" s="52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2"/>
    </row>
    <row r="21" spans="1:22" s="30" customFormat="1" ht="19.5" customHeight="1">
      <c r="A21" s="47" t="s">
        <v>362</v>
      </c>
      <c r="B21" s="133">
        <v>23</v>
      </c>
      <c r="C21" s="134">
        <v>23</v>
      </c>
      <c r="D21" s="156">
        <v>0</v>
      </c>
      <c r="E21" s="134">
        <v>266</v>
      </c>
      <c r="F21" s="134">
        <v>226</v>
      </c>
      <c r="G21" s="156">
        <v>0</v>
      </c>
      <c r="H21" s="134">
        <v>40</v>
      </c>
      <c r="I21" s="134">
        <v>6706</v>
      </c>
      <c r="J21" s="134">
        <v>3436</v>
      </c>
      <c r="K21" s="134">
        <v>3270</v>
      </c>
      <c r="L21" s="134">
        <f>1101+1050</f>
        <v>2151</v>
      </c>
      <c r="M21" s="134">
        <f>1210+1104</f>
        <v>2314</v>
      </c>
      <c r="N21" s="134">
        <f>1125+1116</f>
        <v>2241</v>
      </c>
      <c r="O21" s="134">
        <v>582</v>
      </c>
      <c r="P21" s="134">
        <v>522</v>
      </c>
      <c r="Q21" s="134">
        <v>286</v>
      </c>
      <c r="R21" s="134">
        <v>236</v>
      </c>
      <c r="S21" s="134">
        <v>60</v>
      </c>
      <c r="T21" s="134">
        <v>68</v>
      </c>
      <c r="U21" s="134">
        <v>27</v>
      </c>
      <c r="V21" s="100" t="s">
        <v>363</v>
      </c>
    </row>
    <row r="22" spans="1:22" s="30" customFormat="1" ht="19.5" customHeight="1">
      <c r="A22" s="47" t="s">
        <v>364</v>
      </c>
      <c r="B22" s="133">
        <v>15</v>
      </c>
      <c r="C22" s="134">
        <v>15</v>
      </c>
      <c r="D22" s="156">
        <v>0</v>
      </c>
      <c r="E22" s="134">
        <v>183</v>
      </c>
      <c r="F22" s="134">
        <v>155</v>
      </c>
      <c r="G22" s="156">
        <v>0</v>
      </c>
      <c r="H22" s="134">
        <v>28</v>
      </c>
      <c r="I22" s="134">
        <v>4814</v>
      </c>
      <c r="J22" s="134">
        <v>2449</v>
      </c>
      <c r="K22" s="134">
        <v>2365</v>
      </c>
      <c r="L22" s="134">
        <f>825+811</f>
        <v>1636</v>
      </c>
      <c r="M22" s="134">
        <f>823+759</f>
        <v>1582</v>
      </c>
      <c r="N22" s="134">
        <f>801+795</f>
        <v>1596</v>
      </c>
      <c r="O22" s="134">
        <v>411</v>
      </c>
      <c r="P22" s="134">
        <v>350</v>
      </c>
      <c r="Q22" s="134">
        <v>194</v>
      </c>
      <c r="R22" s="134">
        <v>156</v>
      </c>
      <c r="S22" s="134">
        <v>61</v>
      </c>
      <c r="T22" s="134">
        <v>32</v>
      </c>
      <c r="U22" s="134">
        <v>17</v>
      </c>
      <c r="V22" s="100" t="s">
        <v>364</v>
      </c>
    </row>
    <row r="23" spans="1:22" s="30" customFormat="1" ht="19.5" customHeight="1">
      <c r="A23" s="47" t="s">
        <v>365</v>
      </c>
      <c r="B23" s="133">
        <v>20</v>
      </c>
      <c r="C23" s="134">
        <v>19</v>
      </c>
      <c r="D23" s="134">
        <v>1</v>
      </c>
      <c r="E23" s="134">
        <v>224</v>
      </c>
      <c r="F23" s="134">
        <v>192</v>
      </c>
      <c r="G23" s="156">
        <v>0</v>
      </c>
      <c r="H23" s="134">
        <v>32</v>
      </c>
      <c r="I23" s="134">
        <v>5827</v>
      </c>
      <c r="J23" s="134">
        <v>2984</v>
      </c>
      <c r="K23" s="134">
        <v>2843</v>
      </c>
      <c r="L23" s="134">
        <f>1011+969</f>
        <v>1980</v>
      </c>
      <c r="M23" s="134">
        <f>982+925</f>
        <v>1907</v>
      </c>
      <c r="N23" s="134">
        <f>991+949</f>
        <v>1940</v>
      </c>
      <c r="O23" s="134">
        <v>526</v>
      </c>
      <c r="P23" s="134">
        <v>458</v>
      </c>
      <c r="Q23" s="134">
        <v>268</v>
      </c>
      <c r="R23" s="134">
        <v>190</v>
      </c>
      <c r="S23" s="134">
        <v>68</v>
      </c>
      <c r="T23" s="134">
        <v>37</v>
      </c>
      <c r="U23" s="134">
        <v>22</v>
      </c>
      <c r="V23" s="100" t="s">
        <v>366</v>
      </c>
    </row>
    <row r="24" spans="1:22" s="30" customFormat="1" ht="19.5" customHeight="1">
      <c r="A24" s="47" t="s">
        <v>367</v>
      </c>
      <c r="B24" s="133">
        <v>16</v>
      </c>
      <c r="C24" s="134">
        <v>16</v>
      </c>
      <c r="D24" s="156">
        <v>0</v>
      </c>
      <c r="E24" s="134">
        <v>70</v>
      </c>
      <c r="F24" s="134">
        <v>59</v>
      </c>
      <c r="G24" s="134">
        <v>2</v>
      </c>
      <c r="H24" s="134">
        <v>9</v>
      </c>
      <c r="I24" s="134">
        <v>1207</v>
      </c>
      <c r="J24" s="134">
        <v>614</v>
      </c>
      <c r="K24" s="134">
        <v>593</v>
      </c>
      <c r="L24" s="134">
        <f>202+175</f>
        <v>377</v>
      </c>
      <c r="M24" s="134">
        <f>217+190</f>
        <v>407</v>
      </c>
      <c r="N24" s="134">
        <f>195+228</f>
        <v>423</v>
      </c>
      <c r="O24" s="134">
        <v>220</v>
      </c>
      <c r="P24" s="134">
        <v>168</v>
      </c>
      <c r="Q24" s="134">
        <v>97</v>
      </c>
      <c r="R24" s="134">
        <v>71</v>
      </c>
      <c r="S24" s="134">
        <v>52</v>
      </c>
      <c r="T24" s="134">
        <v>23</v>
      </c>
      <c r="U24" s="134">
        <v>12</v>
      </c>
      <c r="V24" s="100" t="s">
        <v>368</v>
      </c>
    </row>
    <row r="25" spans="1:22" s="30" customFormat="1" ht="19.5" customHeight="1">
      <c r="A25" s="47" t="s">
        <v>369</v>
      </c>
      <c r="B25" s="133">
        <v>12</v>
      </c>
      <c r="C25" s="134">
        <v>12</v>
      </c>
      <c r="D25" s="156">
        <v>0</v>
      </c>
      <c r="E25" s="134">
        <v>121</v>
      </c>
      <c r="F25" s="134">
        <v>110</v>
      </c>
      <c r="G25" s="156">
        <v>0</v>
      </c>
      <c r="H25" s="134">
        <v>11</v>
      </c>
      <c r="I25" s="134">
        <v>3228</v>
      </c>
      <c r="J25" s="134">
        <v>1688</v>
      </c>
      <c r="K25" s="134">
        <v>1540</v>
      </c>
      <c r="L25" s="134">
        <f>566+514</f>
        <v>1080</v>
      </c>
      <c r="M25" s="134">
        <f>547+518</f>
        <v>1065</v>
      </c>
      <c r="N25" s="134">
        <f>575+508</f>
        <v>1083</v>
      </c>
      <c r="O25" s="134">
        <v>285</v>
      </c>
      <c r="P25" s="134">
        <v>241</v>
      </c>
      <c r="Q25" s="134">
        <v>140</v>
      </c>
      <c r="R25" s="134">
        <v>101</v>
      </c>
      <c r="S25" s="134">
        <v>44</v>
      </c>
      <c r="T25" s="134">
        <v>15</v>
      </c>
      <c r="U25" s="134">
        <v>12</v>
      </c>
      <c r="V25" s="100" t="s">
        <v>370</v>
      </c>
    </row>
    <row r="26" spans="1:22" s="30" customFormat="1" ht="19.5" customHeight="1">
      <c r="A26" s="47" t="s">
        <v>371</v>
      </c>
      <c r="B26" s="133">
        <v>3</v>
      </c>
      <c r="C26" s="134">
        <v>3</v>
      </c>
      <c r="D26" s="156">
        <v>0</v>
      </c>
      <c r="E26" s="134">
        <v>54</v>
      </c>
      <c r="F26" s="134">
        <v>46</v>
      </c>
      <c r="G26" s="156">
        <v>0</v>
      </c>
      <c r="H26" s="134">
        <v>8</v>
      </c>
      <c r="I26" s="134">
        <v>1502</v>
      </c>
      <c r="J26" s="134">
        <v>778</v>
      </c>
      <c r="K26" s="134">
        <v>724</v>
      </c>
      <c r="L26" s="134">
        <f>252+260</f>
        <v>512</v>
      </c>
      <c r="M26" s="134">
        <f>280+235</f>
        <v>515</v>
      </c>
      <c r="N26" s="134">
        <f>246+229</f>
        <v>475</v>
      </c>
      <c r="O26" s="134">
        <v>109</v>
      </c>
      <c r="P26" s="134">
        <v>102</v>
      </c>
      <c r="Q26" s="134">
        <v>57</v>
      </c>
      <c r="R26" s="134">
        <v>45</v>
      </c>
      <c r="S26" s="134">
        <v>7</v>
      </c>
      <c r="T26" s="134">
        <v>7</v>
      </c>
      <c r="U26" s="134">
        <v>5</v>
      </c>
      <c r="V26" s="100" t="s">
        <v>371</v>
      </c>
    </row>
    <row r="27" spans="1:22" s="30" customFormat="1" ht="19.5" customHeight="1">
      <c r="A27" s="47" t="s">
        <v>372</v>
      </c>
      <c r="B27" s="133">
        <v>23</v>
      </c>
      <c r="C27" s="134">
        <v>23</v>
      </c>
      <c r="D27" s="156">
        <v>0</v>
      </c>
      <c r="E27" s="134">
        <v>163</v>
      </c>
      <c r="F27" s="134">
        <v>140</v>
      </c>
      <c r="G27" s="156">
        <v>0</v>
      </c>
      <c r="H27" s="134">
        <v>23</v>
      </c>
      <c r="I27" s="134">
        <v>3999</v>
      </c>
      <c r="J27" s="134">
        <v>2036</v>
      </c>
      <c r="K27" s="134">
        <v>1963</v>
      </c>
      <c r="L27" s="134">
        <f>630+640</f>
        <v>1270</v>
      </c>
      <c r="M27" s="134">
        <f>670+650</f>
        <v>1320</v>
      </c>
      <c r="N27" s="134">
        <f>736+673</f>
        <v>1409</v>
      </c>
      <c r="O27" s="134">
        <v>383</v>
      </c>
      <c r="P27" s="134">
        <v>336</v>
      </c>
      <c r="Q27" s="134">
        <v>191</v>
      </c>
      <c r="R27" s="134">
        <v>145</v>
      </c>
      <c r="S27" s="134">
        <v>47</v>
      </c>
      <c r="T27" s="134">
        <v>29</v>
      </c>
      <c r="U27" s="134">
        <v>17</v>
      </c>
      <c r="V27" s="100" t="s">
        <v>372</v>
      </c>
    </row>
    <row r="28" spans="1:22" s="30" customFormat="1" ht="19.5" customHeight="1">
      <c r="A28" s="47" t="s">
        <v>373</v>
      </c>
      <c r="B28" s="133">
        <v>6</v>
      </c>
      <c r="C28" s="134">
        <v>6</v>
      </c>
      <c r="D28" s="156">
        <v>0</v>
      </c>
      <c r="E28" s="134">
        <v>63</v>
      </c>
      <c r="F28" s="134">
        <v>53</v>
      </c>
      <c r="G28" s="156">
        <v>0</v>
      </c>
      <c r="H28" s="134">
        <v>10</v>
      </c>
      <c r="I28" s="134">
        <v>1634</v>
      </c>
      <c r="J28" s="134">
        <v>812</v>
      </c>
      <c r="K28" s="134">
        <v>822</v>
      </c>
      <c r="L28" s="134">
        <f>276+273</f>
        <v>549</v>
      </c>
      <c r="M28" s="134">
        <f>251+271</f>
        <v>522</v>
      </c>
      <c r="N28" s="134">
        <f>285+278</f>
        <v>563</v>
      </c>
      <c r="O28" s="134">
        <v>144</v>
      </c>
      <c r="P28" s="134">
        <v>126</v>
      </c>
      <c r="Q28" s="134">
        <v>73</v>
      </c>
      <c r="R28" s="134">
        <v>53</v>
      </c>
      <c r="S28" s="134">
        <v>18</v>
      </c>
      <c r="T28" s="134">
        <v>10</v>
      </c>
      <c r="U28" s="134">
        <v>6</v>
      </c>
      <c r="V28" s="100" t="s">
        <v>373</v>
      </c>
    </row>
    <row r="29" spans="1:22" s="30" customFormat="1" ht="19.5" customHeight="1">
      <c r="A29" s="47" t="s">
        <v>374</v>
      </c>
      <c r="B29" s="133">
        <v>6</v>
      </c>
      <c r="C29" s="134">
        <v>6</v>
      </c>
      <c r="D29" s="156">
        <v>0</v>
      </c>
      <c r="E29" s="134">
        <v>47</v>
      </c>
      <c r="F29" s="134">
        <v>36</v>
      </c>
      <c r="G29" s="156">
        <v>0</v>
      </c>
      <c r="H29" s="134">
        <v>11</v>
      </c>
      <c r="I29" s="134">
        <v>887</v>
      </c>
      <c r="J29" s="134">
        <v>448</v>
      </c>
      <c r="K29" s="134">
        <v>439</v>
      </c>
      <c r="L29" s="134">
        <f>143+116</f>
        <v>259</v>
      </c>
      <c r="M29" s="134">
        <f>158+177</f>
        <v>335</v>
      </c>
      <c r="N29" s="134">
        <f>147+146</f>
        <v>293</v>
      </c>
      <c r="O29" s="134">
        <v>105</v>
      </c>
      <c r="P29" s="134">
        <v>97</v>
      </c>
      <c r="Q29" s="134">
        <v>54</v>
      </c>
      <c r="R29" s="134">
        <v>43</v>
      </c>
      <c r="S29" s="134">
        <v>8</v>
      </c>
      <c r="T29" s="134">
        <v>13</v>
      </c>
      <c r="U29" s="134">
        <v>6</v>
      </c>
      <c r="V29" s="100" t="s">
        <v>374</v>
      </c>
    </row>
    <row r="30" spans="1:22" s="30" customFormat="1" ht="19.5" customHeight="1">
      <c r="A30" s="47" t="s">
        <v>375</v>
      </c>
      <c r="B30" s="133">
        <v>4</v>
      </c>
      <c r="C30" s="134">
        <v>4</v>
      </c>
      <c r="D30" s="156">
        <v>0</v>
      </c>
      <c r="E30" s="134">
        <v>34</v>
      </c>
      <c r="F30" s="134">
        <v>28</v>
      </c>
      <c r="G30" s="156">
        <v>0</v>
      </c>
      <c r="H30" s="134">
        <v>6</v>
      </c>
      <c r="I30" s="134">
        <v>856</v>
      </c>
      <c r="J30" s="134">
        <v>440</v>
      </c>
      <c r="K30" s="134">
        <v>416</v>
      </c>
      <c r="L30" s="134">
        <f>134+140</f>
        <v>274</v>
      </c>
      <c r="M30" s="134">
        <f>133+139</f>
        <v>272</v>
      </c>
      <c r="N30" s="134">
        <f>173+137</f>
        <v>310</v>
      </c>
      <c r="O30" s="134">
        <v>82</v>
      </c>
      <c r="P30" s="134">
        <v>76</v>
      </c>
      <c r="Q30" s="134">
        <v>43</v>
      </c>
      <c r="R30" s="134">
        <v>33</v>
      </c>
      <c r="S30" s="134">
        <v>6</v>
      </c>
      <c r="T30" s="134">
        <v>5</v>
      </c>
      <c r="U30" s="134">
        <v>5</v>
      </c>
      <c r="V30" s="100" t="s">
        <v>375</v>
      </c>
    </row>
    <row r="31" spans="1:22" s="30" customFormat="1" ht="19.5" customHeight="1">
      <c r="A31" s="47" t="s">
        <v>376</v>
      </c>
      <c r="B31" s="133">
        <v>8</v>
      </c>
      <c r="C31" s="134">
        <v>8</v>
      </c>
      <c r="D31" s="156">
        <v>0</v>
      </c>
      <c r="E31" s="134">
        <v>41</v>
      </c>
      <c r="F31" s="134">
        <v>32</v>
      </c>
      <c r="G31" s="156">
        <v>0</v>
      </c>
      <c r="H31" s="134">
        <v>9</v>
      </c>
      <c r="I31" s="134">
        <v>647</v>
      </c>
      <c r="J31" s="134">
        <v>328</v>
      </c>
      <c r="K31" s="134">
        <v>319</v>
      </c>
      <c r="L31" s="134">
        <f>87+106</f>
        <v>193</v>
      </c>
      <c r="M31" s="134">
        <f>112+95</f>
        <v>207</v>
      </c>
      <c r="N31" s="134">
        <f>129+118</f>
        <v>247</v>
      </c>
      <c r="O31" s="134">
        <v>119</v>
      </c>
      <c r="P31" s="134">
        <v>105</v>
      </c>
      <c r="Q31" s="134">
        <v>60</v>
      </c>
      <c r="R31" s="134">
        <v>45</v>
      </c>
      <c r="S31" s="134">
        <v>14</v>
      </c>
      <c r="T31" s="134">
        <v>10</v>
      </c>
      <c r="U31" s="134">
        <v>9</v>
      </c>
      <c r="V31" s="100" t="s">
        <v>376</v>
      </c>
    </row>
    <row r="32" spans="1:22" s="30" customFormat="1" ht="19.5" customHeight="1">
      <c r="A32" s="47" t="s">
        <v>377</v>
      </c>
      <c r="B32" s="133">
        <v>19</v>
      </c>
      <c r="C32" s="134">
        <v>19</v>
      </c>
      <c r="D32" s="156">
        <v>0</v>
      </c>
      <c r="E32" s="134">
        <v>163</v>
      </c>
      <c r="F32" s="134">
        <v>140</v>
      </c>
      <c r="G32" s="156">
        <v>0</v>
      </c>
      <c r="H32" s="134">
        <v>23</v>
      </c>
      <c r="I32" s="134">
        <v>4020</v>
      </c>
      <c r="J32" s="134">
        <v>2055</v>
      </c>
      <c r="K32" s="134">
        <v>1965</v>
      </c>
      <c r="L32" s="134">
        <f>643+642</f>
        <v>1285</v>
      </c>
      <c r="M32" s="134">
        <f>713+659</f>
        <v>1372</v>
      </c>
      <c r="N32" s="134">
        <f>699+664</f>
        <v>1363</v>
      </c>
      <c r="O32" s="134">
        <v>372</v>
      </c>
      <c r="P32" s="134">
        <v>332</v>
      </c>
      <c r="Q32" s="134">
        <v>186</v>
      </c>
      <c r="R32" s="134">
        <v>146</v>
      </c>
      <c r="S32" s="134">
        <v>40</v>
      </c>
      <c r="T32" s="134">
        <v>25</v>
      </c>
      <c r="U32" s="134">
        <v>16</v>
      </c>
      <c r="V32" s="100" t="s">
        <v>377</v>
      </c>
    </row>
    <row r="33" spans="1:22" s="30" customFormat="1" ht="19.5" customHeight="1">
      <c r="A33" s="47" t="s">
        <v>378</v>
      </c>
      <c r="B33" s="133">
        <v>7</v>
      </c>
      <c r="C33" s="134">
        <v>6</v>
      </c>
      <c r="D33" s="134">
        <v>1</v>
      </c>
      <c r="E33" s="134">
        <v>68</v>
      </c>
      <c r="F33" s="134">
        <v>57</v>
      </c>
      <c r="G33" s="156">
        <v>0</v>
      </c>
      <c r="H33" s="134">
        <v>11</v>
      </c>
      <c r="I33" s="134">
        <v>1726</v>
      </c>
      <c r="J33" s="134">
        <v>843</v>
      </c>
      <c r="K33" s="134">
        <v>883</v>
      </c>
      <c r="L33" s="134">
        <f>270+287</f>
        <v>557</v>
      </c>
      <c r="M33" s="134">
        <f>296+293</f>
        <v>589</v>
      </c>
      <c r="N33" s="134">
        <f>277+303</f>
        <v>580</v>
      </c>
      <c r="O33" s="134">
        <v>148</v>
      </c>
      <c r="P33" s="134">
        <v>140</v>
      </c>
      <c r="Q33" s="134">
        <v>75</v>
      </c>
      <c r="R33" s="134">
        <v>65</v>
      </c>
      <c r="S33" s="134">
        <v>8</v>
      </c>
      <c r="T33" s="134">
        <v>27</v>
      </c>
      <c r="U33" s="134">
        <v>6</v>
      </c>
      <c r="V33" s="100" t="s">
        <v>378</v>
      </c>
    </row>
    <row r="34" spans="1:22" s="30" customFormat="1" ht="19.5" customHeight="1">
      <c r="A34" s="52" t="s">
        <v>202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2" t="s">
        <v>202</v>
      </c>
    </row>
    <row r="35" spans="1:22" s="30" customFormat="1" ht="19.5" customHeight="1">
      <c r="A35" s="53" t="s">
        <v>379</v>
      </c>
      <c r="B35" s="135">
        <v>12</v>
      </c>
      <c r="C35" s="136">
        <v>12</v>
      </c>
      <c r="D35" s="157">
        <v>0</v>
      </c>
      <c r="E35" s="136">
        <v>67</v>
      </c>
      <c r="F35" s="136">
        <v>54</v>
      </c>
      <c r="G35" s="157">
        <v>0</v>
      </c>
      <c r="H35" s="136">
        <v>13</v>
      </c>
      <c r="I35" s="136">
        <v>1324</v>
      </c>
      <c r="J35" s="136">
        <v>686</v>
      </c>
      <c r="K35" s="136">
        <v>638</v>
      </c>
      <c r="L35" s="136">
        <f>230+215</f>
        <v>445</v>
      </c>
      <c r="M35" s="136">
        <f>214+213</f>
        <v>427</v>
      </c>
      <c r="N35" s="136">
        <f>242+210</f>
        <v>452</v>
      </c>
      <c r="O35" s="136">
        <v>180</v>
      </c>
      <c r="P35" s="136">
        <v>160</v>
      </c>
      <c r="Q35" s="136">
        <v>93</v>
      </c>
      <c r="R35" s="136">
        <v>67</v>
      </c>
      <c r="S35" s="136">
        <v>20</v>
      </c>
      <c r="T35" s="136">
        <v>16</v>
      </c>
      <c r="U35" s="136">
        <v>12</v>
      </c>
      <c r="V35" s="137" t="s">
        <v>379</v>
      </c>
    </row>
    <row r="36" spans="1:22" s="30" customFormat="1" ht="19.5" customHeight="1">
      <c r="A36" s="52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2"/>
    </row>
    <row r="37" spans="1:22" s="30" customFormat="1" ht="19.5" customHeight="1">
      <c r="A37" s="47" t="s">
        <v>380</v>
      </c>
      <c r="B37" s="133">
        <v>5</v>
      </c>
      <c r="C37" s="134">
        <v>5</v>
      </c>
      <c r="D37" s="156">
        <v>0</v>
      </c>
      <c r="E37" s="134">
        <v>20</v>
      </c>
      <c r="F37" s="134">
        <v>15</v>
      </c>
      <c r="G37" s="139">
        <v>0</v>
      </c>
      <c r="H37" s="134">
        <v>5</v>
      </c>
      <c r="I37" s="134">
        <v>299</v>
      </c>
      <c r="J37" s="134">
        <v>150</v>
      </c>
      <c r="K37" s="134">
        <v>149</v>
      </c>
      <c r="L37" s="134">
        <f>49+52</f>
        <v>101</v>
      </c>
      <c r="M37" s="134">
        <f>50+46</f>
        <v>96</v>
      </c>
      <c r="N37" s="134">
        <f>51+51</f>
        <v>102</v>
      </c>
      <c r="O37" s="134">
        <v>63</v>
      </c>
      <c r="P37" s="134">
        <v>56</v>
      </c>
      <c r="Q37" s="134">
        <v>32</v>
      </c>
      <c r="R37" s="134">
        <v>24</v>
      </c>
      <c r="S37" s="134">
        <v>7</v>
      </c>
      <c r="T37" s="134">
        <v>5</v>
      </c>
      <c r="U37" s="134">
        <v>5</v>
      </c>
      <c r="V37" s="100" t="s">
        <v>380</v>
      </c>
    </row>
    <row r="38" spans="1:22" s="30" customFormat="1" ht="19.5" customHeight="1">
      <c r="A38" s="47" t="s">
        <v>381</v>
      </c>
      <c r="B38" s="133">
        <v>1</v>
      </c>
      <c r="C38" s="134">
        <v>1</v>
      </c>
      <c r="D38" s="156">
        <v>0</v>
      </c>
      <c r="E38" s="134">
        <v>8</v>
      </c>
      <c r="F38" s="134">
        <v>7</v>
      </c>
      <c r="G38" s="139">
        <v>0</v>
      </c>
      <c r="H38" s="134">
        <v>1</v>
      </c>
      <c r="I38" s="134">
        <v>196</v>
      </c>
      <c r="J38" s="134">
        <v>109</v>
      </c>
      <c r="K38" s="134">
        <v>87</v>
      </c>
      <c r="L38" s="134">
        <f>43+35</f>
        <v>78</v>
      </c>
      <c r="M38" s="134">
        <f>28+28</f>
        <v>56</v>
      </c>
      <c r="N38" s="134">
        <f>38+24</f>
        <v>62</v>
      </c>
      <c r="O38" s="134">
        <v>21</v>
      </c>
      <c r="P38" s="134">
        <v>20</v>
      </c>
      <c r="Q38" s="134">
        <v>10</v>
      </c>
      <c r="R38" s="134">
        <v>10</v>
      </c>
      <c r="S38" s="156">
        <v>1</v>
      </c>
      <c r="T38" s="134">
        <v>1</v>
      </c>
      <c r="U38" s="134">
        <v>1</v>
      </c>
      <c r="V38" s="100" t="s">
        <v>381</v>
      </c>
    </row>
    <row r="39" spans="1:22" s="30" customFormat="1" ht="19.5" customHeight="1">
      <c r="A39" s="47" t="s">
        <v>382</v>
      </c>
      <c r="B39" s="133">
        <v>2</v>
      </c>
      <c r="C39" s="134">
        <v>2</v>
      </c>
      <c r="D39" s="156">
        <v>0</v>
      </c>
      <c r="E39" s="134">
        <v>5</v>
      </c>
      <c r="F39" s="134">
        <v>3</v>
      </c>
      <c r="G39" s="139">
        <v>0</v>
      </c>
      <c r="H39" s="156">
        <v>2</v>
      </c>
      <c r="I39" s="134">
        <v>53</v>
      </c>
      <c r="J39" s="134">
        <v>30</v>
      </c>
      <c r="K39" s="134">
        <v>23</v>
      </c>
      <c r="L39" s="134">
        <f>8+4</f>
        <v>12</v>
      </c>
      <c r="M39" s="134">
        <f>14+8</f>
        <v>22</v>
      </c>
      <c r="N39" s="134">
        <f>8+11</f>
        <v>19</v>
      </c>
      <c r="O39" s="134">
        <v>16</v>
      </c>
      <c r="P39" s="134">
        <v>12</v>
      </c>
      <c r="Q39" s="134">
        <v>7</v>
      </c>
      <c r="R39" s="134">
        <v>5</v>
      </c>
      <c r="S39" s="134">
        <v>4</v>
      </c>
      <c r="T39" s="134">
        <v>1</v>
      </c>
      <c r="U39" s="134">
        <v>1</v>
      </c>
      <c r="V39" s="100" t="s">
        <v>382</v>
      </c>
    </row>
    <row r="40" spans="1:22" s="30" customFormat="1" ht="19.5" customHeight="1">
      <c r="A40" s="47" t="s">
        <v>383</v>
      </c>
      <c r="B40" s="133">
        <v>1</v>
      </c>
      <c r="C40" s="134">
        <v>1</v>
      </c>
      <c r="D40" s="156">
        <v>0</v>
      </c>
      <c r="E40" s="134">
        <v>14</v>
      </c>
      <c r="F40" s="134">
        <v>12</v>
      </c>
      <c r="G40" s="139">
        <v>0</v>
      </c>
      <c r="H40" s="134">
        <v>2</v>
      </c>
      <c r="I40" s="134">
        <v>398</v>
      </c>
      <c r="J40" s="134">
        <v>207</v>
      </c>
      <c r="K40" s="134">
        <v>191</v>
      </c>
      <c r="L40" s="134">
        <f>59+67</f>
        <v>126</v>
      </c>
      <c r="M40" s="134">
        <f>69+66</f>
        <v>135</v>
      </c>
      <c r="N40" s="134">
        <f>79+58</f>
        <v>137</v>
      </c>
      <c r="O40" s="134">
        <v>31</v>
      </c>
      <c r="P40" s="134">
        <v>30</v>
      </c>
      <c r="Q40" s="134">
        <v>20</v>
      </c>
      <c r="R40" s="134">
        <v>10</v>
      </c>
      <c r="S40" s="134">
        <v>1</v>
      </c>
      <c r="T40" s="134">
        <v>4</v>
      </c>
      <c r="U40" s="134">
        <v>2</v>
      </c>
      <c r="V40" s="100" t="s">
        <v>383</v>
      </c>
    </row>
    <row r="41" spans="1:22" s="30" customFormat="1" ht="19.5" customHeight="1">
      <c r="A41" s="47" t="s">
        <v>384</v>
      </c>
      <c r="B41" s="133">
        <v>1</v>
      </c>
      <c r="C41" s="134">
        <v>1</v>
      </c>
      <c r="D41" s="156">
        <v>0</v>
      </c>
      <c r="E41" s="134">
        <v>13</v>
      </c>
      <c r="F41" s="134">
        <v>11</v>
      </c>
      <c r="G41" s="139">
        <v>0</v>
      </c>
      <c r="H41" s="134">
        <v>2</v>
      </c>
      <c r="I41" s="134">
        <v>324</v>
      </c>
      <c r="J41" s="134">
        <v>163</v>
      </c>
      <c r="K41" s="134">
        <v>161</v>
      </c>
      <c r="L41" s="134">
        <f>62+48</f>
        <v>110</v>
      </c>
      <c r="M41" s="134">
        <f>45+53</f>
        <v>98</v>
      </c>
      <c r="N41" s="134">
        <f>56+60</f>
        <v>116</v>
      </c>
      <c r="O41" s="134">
        <v>25</v>
      </c>
      <c r="P41" s="134">
        <v>25</v>
      </c>
      <c r="Q41" s="134">
        <v>14</v>
      </c>
      <c r="R41" s="134">
        <v>11</v>
      </c>
      <c r="S41" s="156">
        <v>0</v>
      </c>
      <c r="T41" s="134">
        <v>3</v>
      </c>
      <c r="U41" s="134">
        <v>1</v>
      </c>
      <c r="V41" s="100" t="s">
        <v>384</v>
      </c>
    </row>
    <row r="42" spans="1:22" s="30" customFormat="1" ht="19.5" customHeight="1">
      <c r="A42" s="47" t="s">
        <v>385</v>
      </c>
      <c r="B42" s="133">
        <v>2</v>
      </c>
      <c r="C42" s="134">
        <v>2</v>
      </c>
      <c r="D42" s="156">
        <v>0</v>
      </c>
      <c r="E42" s="134">
        <v>7</v>
      </c>
      <c r="F42" s="134">
        <v>6</v>
      </c>
      <c r="G42" s="139">
        <v>0</v>
      </c>
      <c r="H42" s="134">
        <v>1</v>
      </c>
      <c r="I42" s="134">
        <v>54</v>
      </c>
      <c r="J42" s="134">
        <v>27</v>
      </c>
      <c r="K42" s="134">
        <v>27</v>
      </c>
      <c r="L42" s="134">
        <f>9+9</f>
        <v>18</v>
      </c>
      <c r="M42" s="134">
        <f>8+12</f>
        <v>20</v>
      </c>
      <c r="N42" s="134">
        <f>10+6</f>
        <v>16</v>
      </c>
      <c r="O42" s="134">
        <v>24</v>
      </c>
      <c r="P42" s="134">
        <v>17</v>
      </c>
      <c r="Q42" s="134">
        <v>10</v>
      </c>
      <c r="R42" s="134">
        <v>7</v>
      </c>
      <c r="S42" s="134">
        <v>7</v>
      </c>
      <c r="T42" s="134">
        <v>2</v>
      </c>
      <c r="U42" s="134">
        <v>2</v>
      </c>
      <c r="V42" s="100" t="s">
        <v>385</v>
      </c>
    </row>
    <row r="43" spans="1:22" s="30" customFormat="1" ht="19.5" customHeight="1">
      <c r="A43" s="142"/>
      <c r="B43" s="158" t="s">
        <v>209</v>
      </c>
      <c r="C43" s="158" t="s">
        <v>209</v>
      </c>
      <c r="D43" s="158" t="s">
        <v>209</v>
      </c>
      <c r="E43" s="158" t="s">
        <v>209</v>
      </c>
      <c r="F43" s="158" t="s">
        <v>209</v>
      </c>
      <c r="G43" s="158" t="s">
        <v>209</v>
      </c>
      <c r="H43" s="158" t="s">
        <v>209</v>
      </c>
      <c r="I43" s="158" t="s">
        <v>209</v>
      </c>
      <c r="J43" s="158" t="s">
        <v>209</v>
      </c>
      <c r="K43" s="158" t="s">
        <v>209</v>
      </c>
      <c r="L43" s="158" t="s">
        <v>209</v>
      </c>
      <c r="M43" s="158" t="s">
        <v>209</v>
      </c>
      <c r="N43" s="158" t="s">
        <v>209</v>
      </c>
      <c r="O43" s="158" t="s">
        <v>209</v>
      </c>
      <c r="P43" s="158" t="s">
        <v>209</v>
      </c>
      <c r="Q43" s="158" t="s">
        <v>209</v>
      </c>
      <c r="R43" s="158" t="s">
        <v>209</v>
      </c>
      <c r="S43" s="158" t="s">
        <v>209</v>
      </c>
      <c r="T43" s="158" t="s">
        <v>209</v>
      </c>
      <c r="U43" s="158" t="s">
        <v>209</v>
      </c>
      <c r="V43" s="145"/>
    </row>
  </sheetData>
  <sheetProtection password="EE7F" sheet="1"/>
  <mergeCells count="14">
    <mergeCell ref="M7:M8"/>
    <mergeCell ref="N7:N8"/>
    <mergeCell ref="O7:O8"/>
    <mergeCell ref="S7:S8"/>
    <mergeCell ref="B6:D6"/>
    <mergeCell ref="E6:H6"/>
    <mergeCell ref="K6:L6"/>
    <mergeCell ref="O6:S6"/>
    <mergeCell ref="B7:B8"/>
    <mergeCell ref="C7:C8"/>
    <mergeCell ref="D7:D8"/>
    <mergeCell ref="E7:E8"/>
    <mergeCell ref="I7:I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19.00390625" style="30" customWidth="1"/>
    <col min="2" max="8" width="14.28125" style="30" customWidth="1"/>
    <col min="9" max="16384" width="9.00390625" style="30" customWidth="1"/>
  </cols>
  <sheetData>
    <row r="1" spans="1:8" ht="13.5">
      <c r="A1" s="159"/>
      <c r="B1" s="107" t="s">
        <v>81</v>
      </c>
      <c r="C1" s="29"/>
      <c r="D1" s="29"/>
      <c r="E1" s="29"/>
      <c r="F1" s="29"/>
      <c r="G1" s="29"/>
      <c r="H1" s="29"/>
    </row>
    <row r="2" spans="1:8" ht="13.5">
      <c r="A2" s="160" t="s">
        <v>1</v>
      </c>
      <c r="B2" s="161"/>
      <c r="C2" s="160"/>
      <c r="D2" s="160"/>
      <c r="E2" s="160"/>
      <c r="F2" s="160"/>
      <c r="G2" s="160"/>
      <c r="H2" s="160"/>
    </row>
    <row r="3" spans="1:8" ht="14.25">
      <c r="A3" s="29"/>
      <c r="B3" s="110" t="s">
        <v>277</v>
      </c>
      <c r="C3" s="29"/>
      <c r="D3" s="29"/>
      <c r="E3" s="29"/>
      <c r="F3" s="29"/>
      <c r="G3" s="29"/>
      <c r="H3" s="29"/>
    </row>
    <row r="4" spans="1:8" ht="14.25" thickBot="1">
      <c r="A4" s="29"/>
      <c r="B4" s="29"/>
      <c r="C4" s="29"/>
      <c r="D4" s="29"/>
      <c r="E4" s="29"/>
      <c r="F4" s="29"/>
      <c r="G4" s="29"/>
      <c r="H4" s="29"/>
    </row>
    <row r="5" spans="1:8" ht="20.25" customHeight="1" thickTop="1">
      <c r="A5" s="331" t="s">
        <v>278</v>
      </c>
      <c r="B5" s="345" t="s">
        <v>5</v>
      </c>
      <c r="C5" s="345">
        <v>22</v>
      </c>
      <c r="D5" s="345">
        <v>23</v>
      </c>
      <c r="E5" s="345">
        <v>24</v>
      </c>
      <c r="F5" s="37"/>
      <c r="G5" s="162">
        <v>25</v>
      </c>
      <c r="H5" s="38"/>
    </row>
    <row r="6" spans="1:8" ht="20.25" customHeight="1">
      <c r="A6" s="344"/>
      <c r="B6" s="346"/>
      <c r="C6" s="346"/>
      <c r="D6" s="346"/>
      <c r="E6" s="346"/>
      <c r="F6" s="42" t="s">
        <v>53</v>
      </c>
      <c r="G6" s="42" t="s">
        <v>279</v>
      </c>
      <c r="H6" s="124" t="s">
        <v>280</v>
      </c>
    </row>
    <row r="7" spans="1:8" ht="13.5">
      <c r="A7" s="163"/>
      <c r="B7" s="164"/>
      <c r="C7" s="165"/>
      <c r="D7" s="165"/>
      <c r="E7" s="165"/>
      <c r="F7" s="165"/>
      <c r="G7" s="165"/>
      <c r="H7" s="165"/>
    </row>
    <row r="8" spans="1:8" ht="13.5">
      <c r="A8" s="166" t="s">
        <v>281</v>
      </c>
      <c r="B8" s="167">
        <v>90</v>
      </c>
      <c r="C8" s="55">
        <v>83</v>
      </c>
      <c r="D8" s="55">
        <v>84</v>
      </c>
      <c r="E8" s="55">
        <v>85</v>
      </c>
      <c r="F8" s="55">
        <v>83</v>
      </c>
      <c r="G8" s="55">
        <v>63</v>
      </c>
      <c r="H8" s="55">
        <v>20</v>
      </c>
    </row>
    <row r="9" spans="1:8" ht="13.5">
      <c r="A9" s="168" t="s">
        <v>282</v>
      </c>
      <c r="B9" s="169">
        <v>81</v>
      </c>
      <c r="C9" s="50">
        <v>78</v>
      </c>
      <c r="D9" s="50">
        <v>79</v>
      </c>
      <c r="E9" s="50">
        <v>78</v>
      </c>
      <c r="F9" s="50">
        <f>62+14</f>
        <v>76</v>
      </c>
      <c r="G9" s="50">
        <f>42+14</f>
        <v>56</v>
      </c>
      <c r="H9" s="50">
        <v>20</v>
      </c>
    </row>
    <row r="10" spans="1:8" ht="13.5">
      <c r="A10" s="168" t="s">
        <v>283</v>
      </c>
      <c r="B10" s="169">
        <v>9</v>
      </c>
      <c r="C10" s="50">
        <v>5</v>
      </c>
      <c r="D10" s="50">
        <v>5</v>
      </c>
      <c r="E10" s="50">
        <v>7</v>
      </c>
      <c r="F10" s="50">
        <f>6+1</f>
        <v>7</v>
      </c>
      <c r="G10" s="50">
        <f>6+1</f>
        <v>7</v>
      </c>
      <c r="H10" s="156">
        <v>0</v>
      </c>
    </row>
    <row r="11" spans="1:8" ht="11.25" customHeight="1">
      <c r="A11" s="170"/>
      <c r="B11" s="169"/>
      <c r="C11" s="50"/>
      <c r="D11" s="50"/>
      <c r="E11" s="50"/>
      <c r="F11" s="50"/>
      <c r="G11" s="50"/>
      <c r="H11" s="50"/>
    </row>
    <row r="12" spans="1:8" ht="13.5">
      <c r="A12" s="166" t="s">
        <v>284</v>
      </c>
      <c r="B12" s="167">
        <v>4324</v>
      </c>
      <c r="C12" s="55">
        <v>3980</v>
      </c>
      <c r="D12" s="55">
        <v>3988</v>
      </c>
      <c r="E12" s="55">
        <v>4033</v>
      </c>
      <c r="F12" s="55">
        <v>4054</v>
      </c>
      <c r="G12" s="55">
        <v>2887</v>
      </c>
      <c r="H12" s="55">
        <v>1167</v>
      </c>
    </row>
    <row r="13" spans="1:8" ht="13.5">
      <c r="A13" s="168" t="s">
        <v>285</v>
      </c>
      <c r="B13" s="169">
        <v>3102</v>
      </c>
      <c r="C13" s="50">
        <v>3083</v>
      </c>
      <c r="D13" s="50">
        <v>3066</v>
      </c>
      <c r="E13" s="50">
        <v>3006</v>
      </c>
      <c r="F13" s="50">
        <v>2985</v>
      </c>
      <c r="G13" s="50">
        <v>2258</v>
      </c>
      <c r="H13" s="50">
        <v>727</v>
      </c>
    </row>
    <row r="14" spans="1:8" ht="13.5">
      <c r="A14" s="168" t="s">
        <v>286</v>
      </c>
      <c r="B14" s="169">
        <v>2182</v>
      </c>
      <c r="C14" s="50">
        <v>2161</v>
      </c>
      <c r="D14" s="50">
        <v>2152</v>
      </c>
      <c r="E14" s="50">
        <v>2101</v>
      </c>
      <c r="F14" s="50">
        <v>2069</v>
      </c>
      <c r="G14" s="50">
        <v>1587</v>
      </c>
      <c r="H14" s="50">
        <v>482</v>
      </c>
    </row>
    <row r="15" spans="1:8" ht="13.5">
      <c r="A15" s="168" t="s">
        <v>287</v>
      </c>
      <c r="B15" s="169">
        <v>920</v>
      </c>
      <c r="C15" s="50">
        <v>922</v>
      </c>
      <c r="D15" s="50">
        <v>914</v>
      </c>
      <c r="E15" s="50">
        <v>905</v>
      </c>
      <c r="F15" s="50">
        <v>916</v>
      </c>
      <c r="G15" s="50">
        <v>671</v>
      </c>
      <c r="H15" s="50">
        <v>245</v>
      </c>
    </row>
    <row r="16" spans="1:8" ht="13.5">
      <c r="A16" s="168" t="s">
        <v>288</v>
      </c>
      <c r="B16" s="169">
        <v>1222</v>
      </c>
      <c r="C16" s="50">
        <v>897</v>
      </c>
      <c r="D16" s="50">
        <v>922</v>
      </c>
      <c r="E16" s="50">
        <v>1027</v>
      </c>
      <c r="F16" s="50">
        <v>1069</v>
      </c>
      <c r="G16" s="50">
        <v>629</v>
      </c>
      <c r="H16" s="50">
        <v>440</v>
      </c>
    </row>
    <row r="17" spans="1:8" ht="11.25" customHeight="1">
      <c r="A17" s="170"/>
      <c r="B17" s="169"/>
      <c r="C17" s="50"/>
      <c r="D17" s="50"/>
      <c r="E17" s="50"/>
      <c r="F17" s="50"/>
      <c r="G17" s="50"/>
      <c r="H17" s="50"/>
    </row>
    <row r="18" spans="1:8" ht="13.5">
      <c r="A18" s="166" t="s">
        <v>289</v>
      </c>
      <c r="B18" s="167">
        <v>716</v>
      </c>
      <c r="C18" s="55">
        <v>674</v>
      </c>
      <c r="D18" s="55">
        <v>632</v>
      </c>
      <c r="E18" s="55">
        <v>609</v>
      </c>
      <c r="F18" s="55">
        <v>585</v>
      </c>
      <c r="G18" s="55">
        <v>475</v>
      </c>
      <c r="H18" s="55">
        <v>110</v>
      </c>
    </row>
    <row r="19" spans="1:8" ht="13.5">
      <c r="A19" s="168" t="s">
        <v>290</v>
      </c>
      <c r="B19" s="169">
        <v>324</v>
      </c>
      <c r="C19" s="50">
        <v>307</v>
      </c>
      <c r="D19" s="50">
        <v>294</v>
      </c>
      <c r="E19" s="50">
        <v>291</v>
      </c>
      <c r="F19" s="50">
        <v>282</v>
      </c>
      <c r="G19" s="50">
        <v>195</v>
      </c>
      <c r="H19" s="50">
        <v>87</v>
      </c>
    </row>
    <row r="20" spans="1:8" ht="11.25" customHeight="1">
      <c r="A20" s="170"/>
      <c r="B20" s="169"/>
      <c r="C20" s="50"/>
      <c r="D20" s="50"/>
      <c r="E20" s="50"/>
      <c r="F20" s="50"/>
      <c r="G20" s="50"/>
      <c r="H20" s="50"/>
    </row>
    <row r="21" spans="1:8" ht="13.5">
      <c r="A21" s="166" t="s">
        <v>291</v>
      </c>
      <c r="B21" s="167">
        <v>36933</v>
      </c>
      <c r="C21" s="55">
        <v>36796</v>
      </c>
      <c r="D21" s="55">
        <v>36282</v>
      </c>
      <c r="E21" s="55">
        <v>36042</v>
      </c>
      <c r="F21" s="55">
        <v>35475</v>
      </c>
      <c r="G21" s="55">
        <v>25120</v>
      </c>
      <c r="H21" s="55">
        <v>10355</v>
      </c>
    </row>
    <row r="22" spans="1:8" ht="13.5">
      <c r="A22" s="168" t="s">
        <v>292</v>
      </c>
      <c r="B22" s="169">
        <v>18542</v>
      </c>
      <c r="C22" s="50">
        <v>18362</v>
      </c>
      <c r="D22" s="50">
        <v>18157</v>
      </c>
      <c r="E22" s="50">
        <v>18000</v>
      </c>
      <c r="F22" s="50">
        <v>17693</v>
      </c>
      <c r="G22" s="50">
        <v>12650</v>
      </c>
      <c r="H22" s="50">
        <v>5043</v>
      </c>
    </row>
    <row r="23" spans="1:8" ht="13.5">
      <c r="A23" s="168" t="s">
        <v>293</v>
      </c>
      <c r="B23" s="169">
        <v>18391</v>
      </c>
      <c r="C23" s="50">
        <v>18434</v>
      </c>
      <c r="D23" s="50">
        <v>18125</v>
      </c>
      <c r="E23" s="50">
        <v>18042</v>
      </c>
      <c r="F23" s="50">
        <v>17782</v>
      </c>
      <c r="G23" s="50">
        <v>12470</v>
      </c>
      <c r="H23" s="50">
        <v>5312</v>
      </c>
    </row>
    <row r="24" spans="1:8" ht="11.25" customHeight="1">
      <c r="A24" s="168"/>
      <c r="B24" s="169"/>
      <c r="C24" s="50"/>
      <c r="D24" s="50"/>
      <c r="E24" s="50"/>
      <c r="F24" s="50"/>
      <c r="G24" s="50"/>
      <c r="H24" s="50"/>
    </row>
    <row r="25" spans="1:8" ht="13.5">
      <c r="A25" s="168" t="s">
        <v>294</v>
      </c>
      <c r="B25" s="169">
        <v>36641</v>
      </c>
      <c r="C25" s="50">
        <v>36497</v>
      </c>
      <c r="D25" s="50">
        <v>35980</v>
      </c>
      <c r="E25" s="50">
        <v>35747</v>
      </c>
      <c r="F25" s="50">
        <f>SUM(F26:F29)</f>
        <v>35194</v>
      </c>
      <c r="G25" s="50">
        <f>SUM(G26:G29)</f>
        <v>25027</v>
      </c>
      <c r="H25" s="50">
        <f>SUM(H26:H29)</f>
        <v>10167</v>
      </c>
    </row>
    <row r="26" spans="1:8" ht="13.5">
      <c r="A26" s="168" t="s">
        <v>295</v>
      </c>
      <c r="B26" s="169">
        <v>12399</v>
      </c>
      <c r="C26" s="50">
        <v>12614</v>
      </c>
      <c r="D26" s="50">
        <v>12000</v>
      </c>
      <c r="E26" s="50">
        <v>12104</v>
      </c>
      <c r="F26" s="50">
        <f>6053+5926</f>
        <v>11979</v>
      </c>
      <c r="G26" s="50">
        <f>4172+4151</f>
        <v>8323</v>
      </c>
      <c r="H26" s="50">
        <f>1881+1775</f>
        <v>3656</v>
      </c>
    </row>
    <row r="27" spans="1:8" ht="13.5">
      <c r="A27" s="168" t="s">
        <v>296</v>
      </c>
      <c r="B27" s="169">
        <v>12107</v>
      </c>
      <c r="C27" s="50">
        <v>11956</v>
      </c>
      <c r="D27" s="50">
        <v>12201</v>
      </c>
      <c r="E27" s="50">
        <v>11608</v>
      </c>
      <c r="F27" s="50">
        <f>5857+5885</f>
        <v>11742</v>
      </c>
      <c r="G27" s="50">
        <f>4198+4112</f>
        <v>8310</v>
      </c>
      <c r="H27" s="50">
        <f>1659+1773</f>
        <v>3432</v>
      </c>
    </row>
    <row r="28" spans="1:8" ht="13.5">
      <c r="A28" s="168" t="s">
        <v>297</v>
      </c>
      <c r="B28" s="169">
        <v>12053</v>
      </c>
      <c r="C28" s="50">
        <v>11816</v>
      </c>
      <c r="D28" s="50">
        <v>11661</v>
      </c>
      <c r="E28" s="50">
        <v>11934</v>
      </c>
      <c r="F28" s="50">
        <f>5685+5668</f>
        <v>11353</v>
      </c>
      <c r="G28" s="50">
        <f>4200+4074</f>
        <v>8274</v>
      </c>
      <c r="H28" s="50">
        <f>1485+1594</f>
        <v>3079</v>
      </c>
    </row>
    <row r="29" spans="1:8" ht="13.5">
      <c r="A29" s="168" t="s">
        <v>298</v>
      </c>
      <c r="B29" s="169">
        <v>82</v>
      </c>
      <c r="C29" s="50">
        <v>111</v>
      </c>
      <c r="D29" s="50">
        <v>118</v>
      </c>
      <c r="E29" s="50">
        <v>101</v>
      </c>
      <c r="F29" s="50">
        <f>67+53</f>
        <v>120</v>
      </c>
      <c r="G29" s="50">
        <f>67+53</f>
        <v>120</v>
      </c>
      <c r="H29" s="156">
        <v>0</v>
      </c>
    </row>
    <row r="30" spans="1:8" ht="13.5">
      <c r="A30" s="168" t="s">
        <v>299</v>
      </c>
      <c r="B30" s="169">
        <v>292</v>
      </c>
      <c r="C30" s="50">
        <v>299</v>
      </c>
      <c r="D30" s="50">
        <v>302</v>
      </c>
      <c r="E30" s="50">
        <v>295</v>
      </c>
      <c r="F30" s="50">
        <f>31+250</f>
        <v>281</v>
      </c>
      <c r="G30" s="50">
        <f>13+80</f>
        <v>93</v>
      </c>
      <c r="H30" s="50">
        <f>18+170</f>
        <v>188</v>
      </c>
    </row>
    <row r="31" spans="1:8" ht="11.25" customHeight="1">
      <c r="A31" s="170"/>
      <c r="B31" s="169"/>
      <c r="C31" s="50"/>
      <c r="D31" s="50"/>
      <c r="E31" s="50"/>
      <c r="F31" s="50"/>
      <c r="G31" s="50"/>
      <c r="H31" s="50"/>
    </row>
    <row r="32" spans="1:8" ht="13.5">
      <c r="A32" s="166" t="s">
        <v>300</v>
      </c>
      <c r="B32" s="167">
        <v>36641</v>
      </c>
      <c r="C32" s="55">
        <v>36497</v>
      </c>
      <c r="D32" s="55">
        <v>35980</v>
      </c>
      <c r="E32" s="55">
        <v>35747</v>
      </c>
      <c r="F32" s="55">
        <v>35194</v>
      </c>
      <c r="G32" s="55">
        <f>24426+601</f>
        <v>25027</v>
      </c>
      <c r="H32" s="55">
        <v>10167</v>
      </c>
    </row>
    <row r="33" spans="1:8" ht="13.5">
      <c r="A33" s="168" t="s">
        <v>301</v>
      </c>
      <c r="B33" s="169">
        <v>20812</v>
      </c>
      <c r="C33" s="50">
        <v>20843</v>
      </c>
      <c r="D33" s="50">
        <v>20519</v>
      </c>
      <c r="E33" s="50">
        <v>20377</v>
      </c>
      <c r="F33" s="50">
        <v>19968</v>
      </c>
      <c r="G33" s="50">
        <f>12710+407</f>
        <v>13117</v>
      </c>
      <c r="H33" s="50">
        <v>6851</v>
      </c>
    </row>
    <row r="34" spans="1:8" ht="13.5">
      <c r="A34" s="168" t="s">
        <v>302</v>
      </c>
      <c r="B34" s="169">
        <v>1154</v>
      </c>
      <c r="C34" s="50">
        <v>1136</v>
      </c>
      <c r="D34" s="50">
        <v>1142</v>
      </c>
      <c r="E34" s="50">
        <v>1143</v>
      </c>
      <c r="F34" s="50">
        <v>1111</v>
      </c>
      <c r="G34" s="50">
        <v>1111</v>
      </c>
      <c r="H34" s="156">
        <v>0</v>
      </c>
    </row>
    <row r="35" spans="1:8" ht="13.5">
      <c r="A35" s="168" t="s">
        <v>303</v>
      </c>
      <c r="B35" s="169">
        <v>5247</v>
      </c>
      <c r="C35" s="50">
        <v>5265</v>
      </c>
      <c r="D35" s="50">
        <v>5208</v>
      </c>
      <c r="E35" s="50">
        <v>5228</v>
      </c>
      <c r="F35" s="50">
        <v>5164</v>
      </c>
      <c r="G35" s="50">
        <f>4237+124</f>
        <v>4361</v>
      </c>
      <c r="H35" s="50">
        <v>803</v>
      </c>
    </row>
    <row r="36" spans="1:8" ht="13.5">
      <c r="A36" s="168" t="s">
        <v>304</v>
      </c>
      <c r="B36" s="169">
        <v>3980</v>
      </c>
      <c r="C36" s="50">
        <v>3933</v>
      </c>
      <c r="D36" s="50">
        <v>3914</v>
      </c>
      <c r="E36" s="50">
        <v>3890</v>
      </c>
      <c r="F36" s="50">
        <v>3873</v>
      </c>
      <c r="G36" s="50">
        <f>2825+70</f>
        <v>2895</v>
      </c>
      <c r="H36" s="50">
        <v>978</v>
      </c>
    </row>
    <row r="37" spans="1:8" ht="13.5">
      <c r="A37" s="168" t="s">
        <v>305</v>
      </c>
      <c r="B37" s="169">
        <v>134</v>
      </c>
      <c r="C37" s="50">
        <v>121</v>
      </c>
      <c r="D37" s="50">
        <v>108</v>
      </c>
      <c r="E37" s="50">
        <v>120</v>
      </c>
      <c r="F37" s="50">
        <v>137</v>
      </c>
      <c r="G37" s="50">
        <v>137</v>
      </c>
      <c r="H37" s="156">
        <v>0</v>
      </c>
    </row>
    <row r="38" spans="1:8" ht="13.5">
      <c r="A38" s="168" t="s">
        <v>306</v>
      </c>
      <c r="B38" s="169">
        <v>974</v>
      </c>
      <c r="C38" s="50">
        <v>922</v>
      </c>
      <c r="D38" s="50">
        <v>859</v>
      </c>
      <c r="E38" s="50">
        <v>899</v>
      </c>
      <c r="F38" s="50">
        <v>945</v>
      </c>
      <c r="G38" s="50">
        <v>331</v>
      </c>
      <c r="H38" s="50">
        <v>614</v>
      </c>
    </row>
    <row r="39" spans="1:8" ht="13.5">
      <c r="A39" s="168" t="s">
        <v>307</v>
      </c>
      <c r="B39" s="169">
        <v>518</v>
      </c>
      <c r="C39" s="50">
        <v>540</v>
      </c>
      <c r="D39" s="50">
        <v>565</v>
      </c>
      <c r="E39" s="50">
        <v>600</v>
      </c>
      <c r="F39" s="50">
        <v>633</v>
      </c>
      <c r="G39" s="50">
        <v>120</v>
      </c>
      <c r="H39" s="50">
        <v>513</v>
      </c>
    </row>
    <row r="40" spans="1:8" ht="13.5">
      <c r="A40" s="168" t="s">
        <v>308</v>
      </c>
      <c r="B40" s="169">
        <v>281</v>
      </c>
      <c r="C40" s="50">
        <v>304</v>
      </c>
      <c r="D40" s="50">
        <v>332</v>
      </c>
      <c r="E40" s="50">
        <v>343</v>
      </c>
      <c r="F40" s="50">
        <v>347</v>
      </c>
      <c r="G40" s="50">
        <v>76</v>
      </c>
      <c r="H40" s="50">
        <v>271</v>
      </c>
    </row>
    <row r="41" spans="1:8" ht="13.5">
      <c r="A41" s="168" t="s">
        <v>309</v>
      </c>
      <c r="B41" s="169">
        <v>897</v>
      </c>
      <c r="C41" s="50">
        <v>896</v>
      </c>
      <c r="D41" s="50">
        <v>890</v>
      </c>
      <c r="E41" s="50">
        <v>873</v>
      </c>
      <c r="F41" s="50">
        <v>860</v>
      </c>
      <c r="G41" s="50">
        <v>814</v>
      </c>
      <c r="H41" s="50">
        <v>46</v>
      </c>
    </row>
    <row r="42" spans="1:8" ht="13.5">
      <c r="A42" s="168" t="s">
        <v>310</v>
      </c>
      <c r="B42" s="169">
        <v>2644</v>
      </c>
      <c r="C42" s="50">
        <v>2537</v>
      </c>
      <c r="D42" s="50">
        <v>2443</v>
      </c>
      <c r="E42" s="50">
        <v>2274</v>
      </c>
      <c r="F42" s="50">
        <v>2156</v>
      </c>
      <c r="G42" s="50">
        <v>2065</v>
      </c>
      <c r="H42" s="50">
        <v>91</v>
      </c>
    </row>
    <row r="43" spans="1:8" ht="11.25" customHeight="1">
      <c r="A43" s="170" t="s">
        <v>311</v>
      </c>
      <c r="B43" s="169"/>
      <c r="C43" s="50"/>
      <c r="D43" s="50"/>
      <c r="E43" s="50"/>
      <c r="F43" s="50"/>
      <c r="G43" s="50"/>
      <c r="H43" s="50"/>
    </row>
    <row r="44" spans="1:8" ht="11.25" customHeight="1">
      <c r="A44" s="170" t="s">
        <v>311</v>
      </c>
      <c r="B44" s="169"/>
      <c r="C44" s="50"/>
      <c r="D44" s="50"/>
      <c r="E44" s="50"/>
      <c r="F44" s="50"/>
      <c r="G44" s="50"/>
      <c r="H44" s="50"/>
    </row>
    <row r="45" spans="1:8" ht="13.5">
      <c r="A45" s="166" t="s">
        <v>312</v>
      </c>
      <c r="B45" s="167">
        <v>11763</v>
      </c>
      <c r="C45" s="55">
        <v>11876</v>
      </c>
      <c r="D45" s="55">
        <v>11697</v>
      </c>
      <c r="E45" s="55">
        <v>11591</v>
      </c>
      <c r="F45" s="55">
        <v>11813</v>
      </c>
      <c r="G45" s="55">
        <f>SUM(G46:G47)</f>
        <v>8627</v>
      </c>
      <c r="H45" s="55">
        <f>SUM(H46:H47)</f>
        <v>3186</v>
      </c>
    </row>
    <row r="46" spans="1:8" ht="13.5">
      <c r="A46" s="168" t="s">
        <v>292</v>
      </c>
      <c r="B46" s="169">
        <v>5962</v>
      </c>
      <c r="C46" s="50">
        <v>6110</v>
      </c>
      <c r="D46" s="50">
        <v>5827</v>
      </c>
      <c r="E46" s="50">
        <v>5798</v>
      </c>
      <c r="F46" s="50">
        <v>5959</v>
      </c>
      <c r="G46" s="50">
        <v>4402</v>
      </c>
      <c r="H46" s="50">
        <v>1557</v>
      </c>
    </row>
    <row r="47" spans="1:8" ht="13.5">
      <c r="A47" s="168" t="s">
        <v>313</v>
      </c>
      <c r="B47" s="169">
        <v>5801</v>
      </c>
      <c r="C47" s="50">
        <v>5766</v>
      </c>
      <c r="D47" s="50">
        <v>5870</v>
      </c>
      <c r="E47" s="50">
        <v>5793</v>
      </c>
      <c r="F47" s="50">
        <v>5854</v>
      </c>
      <c r="G47" s="50">
        <v>4225</v>
      </c>
      <c r="H47" s="50">
        <v>1629</v>
      </c>
    </row>
    <row r="48" spans="1:8" ht="11.25" customHeight="1">
      <c r="A48" s="168"/>
      <c r="B48" s="169"/>
      <c r="C48" s="50"/>
      <c r="D48" s="50"/>
      <c r="E48" s="50"/>
      <c r="F48" s="50"/>
      <c r="G48" s="50"/>
      <c r="H48" s="50"/>
    </row>
    <row r="49" spans="1:8" ht="13.5">
      <c r="A49" s="168" t="s">
        <v>314</v>
      </c>
      <c r="B49" s="169">
        <v>3176</v>
      </c>
      <c r="C49" s="50">
        <v>3311</v>
      </c>
      <c r="D49" s="50">
        <v>3103</v>
      </c>
      <c r="E49" s="50">
        <v>3160</v>
      </c>
      <c r="F49" s="50">
        <v>3224</v>
      </c>
      <c r="G49" s="50" t="s">
        <v>315</v>
      </c>
      <c r="H49" s="50" t="s">
        <v>315</v>
      </c>
    </row>
    <row r="50" spans="1:8" ht="13.5">
      <c r="A50" s="168" t="s">
        <v>316</v>
      </c>
      <c r="B50" s="169">
        <v>3311</v>
      </c>
      <c r="C50" s="50">
        <v>3403</v>
      </c>
      <c r="D50" s="50">
        <v>3535</v>
      </c>
      <c r="E50" s="50">
        <v>3428</v>
      </c>
      <c r="F50" s="50">
        <v>3574</v>
      </c>
      <c r="G50" s="50" t="s">
        <v>315</v>
      </c>
      <c r="H50" s="50" t="s">
        <v>315</v>
      </c>
    </row>
    <row r="51" spans="1:8" ht="9" customHeight="1">
      <c r="A51" s="168"/>
      <c r="B51" s="169"/>
      <c r="C51" s="50"/>
      <c r="D51" s="50"/>
      <c r="E51" s="50"/>
      <c r="F51" s="50"/>
      <c r="G51" s="50"/>
      <c r="H51" s="50"/>
    </row>
    <row r="52" spans="1:8" ht="13.5">
      <c r="A52" s="168" t="s">
        <v>317</v>
      </c>
      <c r="B52" s="169">
        <v>196</v>
      </c>
      <c r="C52" s="50">
        <v>176</v>
      </c>
      <c r="D52" s="50">
        <v>164</v>
      </c>
      <c r="E52" s="50">
        <v>181</v>
      </c>
      <c r="F52" s="50">
        <v>187</v>
      </c>
      <c r="G52" s="50" t="s">
        <v>315</v>
      </c>
      <c r="H52" s="50" t="s">
        <v>315</v>
      </c>
    </row>
    <row r="53" spans="1:8" ht="13.5">
      <c r="A53" s="168" t="s">
        <v>316</v>
      </c>
      <c r="B53" s="169">
        <v>198</v>
      </c>
      <c r="C53" s="50">
        <v>196</v>
      </c>
      <c r="D53" s="50">
        <v>194</v>
      </c>
      <c r="E53" s="50">
        <v>185</v>
      </c>
      <c r="F53" s="50">
        <v>186</v>
      </c>
      <c r="G53" s="50" t="s">
        <v>315</v>
      </c>
      <c r="H53" s="50" t="s">
        <v>315</v>
      </c>
    </row>
    <row r="54" spans="1:8" ht="9" customHeight="1">
      <c r="A54" s="168"/>
      <c r="B54" s="169"/>
      <c r="C54" s="50"/>
      <c r="D54" s="50"/>
      <c r="E54" s="50"/>
      <c r="F54" s="50"/>
      <c r="G54" s="50"/>
      <c r="H54" s="50"/>
    </row>
    <row r="55" spans="1:8" ht="13.5">
      <c r="A55" s="168" t="s">
        <v>318</v>
      </c>
      <c r="B55" s="169">
        <v>1563</v>
      </c>
      <c r="C55" s="50">
        <v>1632</v>
      </c>
      <c r="D55" s="50">
        <v>1594</v>
      </c>
      <c r="E55" s="50">
        <v>1584</v>
      </c>
      <c r="F55" s="50">
        <v>1646</v>
      </c>
      <c r="G55" s="50" t="s">
        <v>315</v>
      </c>
      <c r="H55" s="50" t="s">
        <v>315</v>
      </c>
    </row>
    <row r="56" spans="1:8" ht="13.5">
      <c r="A56" s="168" t="s">
        <v>316</v>
      </c>
      <c r="B56" s="169">
        <v>78</v>
      </c>
      <c r="C56" s="50">
        <v>73</v>
      </c>
      <c r="D56" s="50">
        <v>89</v>
      </c>
      <c r="E56" s="50">
        <v>82</v>
      </c>
      <c r="F56" s="50">
        <v>78</v>
      </c>
      <c r="G56" s="50" t="s">
        <v>315</v>
      </c>
      <c r="H56" s="50" t="s">
        <v>315</v>
      </c>
    </row>
    <row r="57" spans="1:8" ht="9" customHeight="1">
      <c r="A57" s="168"/>
      <c r="B57" s="169"/>
      <c r="C57" s="50"/>
      <c r="D57" s="50"/>
      <c r="E57" s="50"/>
      <c r="F57" s="50"/>
      <c r="G57" s="50"/>
      <c r="H57" s="50"/>
    </row>
    <row r="58" spans="1:8" ht="13.5">
      <c r="A58" s="168" t="s">
        <v>319</v>
      </c>
      <c r="B58" s="169">
        <v>412</v>
      </c>
      <c r="C58" s="50">
        <v>428</v>
      </c>
      <c r="D58" s="50">
        <v>394</v>
      </c>
      <c r="E58" s="50">
        <v>367</v>
      </c>
      <c r="F58" s="50">
        <v>412</v>
      </c>
      <c r="G58" s="50" t="s">
        <v>315</v>
      </c>
      <c r="H58" s="50" t="s">
        <v>315</v>
      </c>
    </row>
    <row r="59" spans="1:8" ht="13.5">
      <c r="A59" s="168" t="s">
        <v>316</v>
      </c>
      <c r="B59" s="169">
        <v>941</v>
      </c>
      <c r="C59" s="50">
        <v>847</v>
      </c>
      <c r="D59" s="50">
        <v>892</v>
      </c>
      <c r="E59" s="50">
        <v>897</v>
      </c>
      <c r="F59" s="50">
        <v>829</v>
      </c>
      <c r="G59" s="50" t="s">
        <v>315</v>
      </c>
      <c r="H59" s="50" t="s">
        <v>315</v>
      </c>
    </row>
    <row r="60" spans="1:8" ht="9" customHeight="1">
      <c r="A60" s="168"/>
      <c r="B60" s="169"/>
      <c r="C60" s="50"/>
      <c r="D60" s="50"/>
      <c r="E60" s="50"/>
      <c r="F60" s="50"/>
      <c r="G60" s="50"/>
      <c r="H60" s="50"/>
    </row>
    <row r="61" spans="1:8" ht="13.5">
      <c r="A61" s="168" t="s">
        <v>320</v>
      </c>
      <c r="B61" s="169">
        <v>42</v>
      </c>
      <c r="C61" s="50">
        <v>40</v>
      </c>
      <c r="D61" s="50">
        <v>29</v>
      </c>
      <c r="E61" s="50">
        <v>35</v>
      </c>
      <c r="F61" s="50">
        <v>24</v>
      </c>
      <c r="G61" s="50" t="s">
        <v>315</v>
      </c>
      <c r="H61" s="50" t="s">
        <v>315</v>
      </c>
    </row>
    <row r="62" spans="1:8" ht="13.5">
      <c r="A62" s="168" t="s">
        <v>316</v>
      </c>
      <c r="B62" s="169">
        <v>3</v>
      </c>
      <c r="C62" s="50">
        <v>7</v>
      </c>
      <c r="D62" s="50">
        <v>5</v>
      </c>
      <c r="E62" s="50">
        <v>6</v>
      </c>
      <c r="F62" s="50">
        <v>1</v>
      </c>
      <c r="G62" s="50" t="s">
        <v>315</v>
      </c>
      <c r="H62" s="50" t="s">
        <v>315</v>
      </c>
    </row>
    <row r="63" spans="1:8" ht="9" customHeight="1">
      <c r="A63" s="168"/>
      <c r="B63" s="169"/>
      <c r="C63" s="50"/>
      <c r="D63" s="50"/>
      <c r="E63" s="50"/>
      <c r="F63" s="50"/>
      <c r="G63" s="50"/>
      <c r="H63" s="50"/>
    </row>
    <row r="64" spans="1:8" ht="13.5">
      <c r="A64" s="168" t="s">
        <v>321</v>
      </c>
      <c r="B64" s="169">
        <v>26</v>
      </c>
      <c r="C64" s="50">
        <v>24</v>
      </c>
      <c r="D64" s="50">
        <v>17</v>
      </c>
      <c r="E64" s="50">
        <v>14</v>
      </c>
      <c r="F64" s="50">
        <v>15</v>
      </c>
      <c r="G64" s="50" t="s">
        <v>315</v>
      </c>
      <c r="H64" s="50" t="s">
        <v>315</v>
      </c>
    </row>
    <row r="65" spans="1:8" ht="13.5">
      <c r="A65" s="168" t="s">
        <v>316</v>
      </c>
      <c r="B65" s="169">
        <v>329</v>
      </c>
      <c r="C65" s="50">
        <v>321</v>
      </c>
      <c r="D65" s="50">
        <v>283</v>
      </c>
      <c r="E65" s="50">
        <v>266</v>
      </c>
      <c r="F65" s="50">
        <v>279</v>
      </c>
      <c r="G65" s="50" t="s">
        <v>315</v>
      </c>
      <c r="H65" s="50" t="s">
        <v>315</v>
      </c>
    </row>
    <row r="66" spans="1:8" ht="9" customHeight="1">
      <c r="A66" s="168"/>
      <c r="B66" s="169"/>
      <c r="C66" s="50"/>
      <c r="D66" s="50"/>
      <c r="E66" s="50"/>
      <c r="F66" s="50"/>
      <c r="G66" s="50"/>
      <c r="H66" s="50"/>
    </row>
    <row r="67" spans="1:8" ht="13.5">
      <c r="A67" s="168" t="s">
        <v>322</v>
      </c>
      <c r="B67" s="169">
        <v>7</v>
      </c>
      <c r="C67" s="50">
        <v>8</v>
      </c>
      <c r="D67" s="50">
        <v>7</v>
      </c>
      <c r="E67" s="50">
        <v>4</v>
      </c>
      <c r="F67" s="50">
        <v>6</v>
      </c>
      <c r="G67" s="50" t="s">
        <v>315</v>
      </c>
      <c r="H67" s="50" t="s">
        <v>315</v>
      </c>
    </row>
    <row r="68" spans="1:8" ht="13.5">
      <c r="A68" s="168" t="s">
        <v>316</v>
      </c>
      <c r="B68" s="169">
        <v>170</v>
      </c>
      <c r="C68" s="50">
        <v>149</v>
      </c>
      <c r="D68" s="50">
        <v>155</v>
      </c>
      <c r="E68" s="50">
        <v>172</v>
      </c>
      <c r="F68" s="50">
        <v>174</v>
      </c>
      <c r="G68" s="50" t="s">
        <v>315</v>
      </c>
      <c r="H68" s="50" t="s">
        <v>315</v>
      </c>
    </row>
    <row r="69" spans="1:8" ht="9" customHeight="1">
      <c r="A69" s="168"/>
      <c r="B69" s="169"/>
      <c r="C69" s="50"/>
      <c r="D69" s="50"/>
      <c r="E69" s="50"/>
      <c r="F69" s="50"/>
      <c r="G69" s="50"/>
      <c r="H69" s="50"/>
    </row>
    <row r="70" spans="1:8" ht="13.5">
      <c r="A70" s="168" t="s">
        <v>323</v>
      </c>
      <c r="B70" s="169">
        <v>12</v>
      </c>
      <c r="C70" s="50">
        <v>14</v>
      </c>
      <c r="D70" s="50">
        <v>28</v>
      </c>
      <c r="E70" s="50">
        <v>21</v>
      </c>
      <c r="F70" s="50">
        <v>31</v>
      </c>
      <c r="G70" s="50" t="s">
        <v>315</v>
      </c>
      <c r="H70" s="50" t="s">
        <v>315</v>
      </c>
    </row>
    <row r="71" spans="1:8" ht="13.5">
      <c r="A71" s="168" t="s">
        <v>316</v>
      </c>
      <c r="B71" s="169">
        <v>74</v>
      </c>
      <c r="C71" s="50">
        <v>74</v>
      </c>
      <c r="D71" s="50">
        <v>52</v>
      </c>
      <c r="E71" s="50">
        <v>72</v>
      </c>
      <c r="F71" s="50">
        <v>76</v>
      </c>
      <c r="G71" s="50" t="s">
        <v>315</v>
      </c>
      <c r="H71" s="50" t="s">
        <v>315</v>
      </c>
    </row>
    <row r="72" spans="1:8" ht="9" customHeight="1">
      <c r="A72" s="168"/>
      <c r="B72" s="169"/>
      <c r="C72" s="50"/>
      <c r="D72" s="50"/>
      <c r="E72" s="50"/>
      <c r="F72" s="50"/>
      <c r="G72" s="50"/>
      <c r="H72" s="50"/>
    </row>
    <row r="73" spans="1:8" ht="13.5">
      <c r="A73" s="168" t="s">
        <v>324</v>
      </c>
      <c r="B73" s="169">
        <v>167</v>
      </c>
      <c r="C73" s="50">
        <v>159</v>
      </c>
      <c r="D73" s="50">
        <v>167</v>
      </c>
      <c r="E73" s="50">
        <v>154</v>
      </c>
      <c r="F73" s="50">
        <v>153</v>
      </c>
      <c r="G73" s="50" t="s">
        <v>315</v>
      </c>
      <c r="H73" s="50" t="s">
        <v>315</v>
      </c>
    </row>
    <row r="74" spans="1:8" ht="13.5">
      <c r="A74" s="168" t="s">
        <v>316</v>
      </c>
      <c r="B74" s="169">
        <v>139</v>
      </c>
      <c r="C74" s="50">
        <v>136</v>
      </c>
      <c r="D74" s="50">
        <v>133</v>
      </c>
      <c r="E74" s="50">
        <v>141</v>
      </c>
      <c r="F74" s="50">
        <v>135</v>
      </c>
      <c r="G74" s="50" t="s">
        <v>315</v>
      </c>
      <c r="H74" s="50" t="s">
        <v>315</v>
      </c>
    </row>
    <row r="75" spans="1:8" ht="9" customHeight="1">
      <c r="A75" s="168"/>
      <c r="B75" s="169"/>
      <c r="C75" s="50"/>
      <c r="D75" s="50"/>
      <c r="E75" s="50"/>
      <c r="F75" s="50"/>
      <c r="G75" s="50"/>
      <c r="H75" s="50"/>
    </row>
    <row r="76" spans="1:8" ht="13.5">
      <c r="A76" s="168" t="s">
        <v>325</v>
      </c>
      <c r="B76" s="169">
        <v>361</v>
      </c>
      <c r="C76" s="50">
        <v>318</v>
      </c>
      <c r="D76" s="50">
        <v>324</v>
      </c>
      <c r="E76" s="50">
        <v>278</v>
      </c>
      <c r="F76" s="50">
        <v>261</v>
      </c>
      <c r="G76" s="50" t="s">
        <v>315</v>
      </c>
      <c r="H76" s="50" t="s">
        <v>315</v>
      </c>
    </row>
    <row r="77" spans="1:8" ht="13.5">
      <c r="A77" s="168" t="s">
        <v>316</v>
      </c>
      <c r="B77" s="169">
        <v>558</v>
      </c>
      <c r="C77" s="50">
        <v>560</v>
      </c>
      <c r="D77" s="50">
        <v>532</v>
      </c>
      <c r="E77" s="50">
        <v>544</v>
      </c>
      <c r="F77" s="50">
        <v>522</v>
      </c>
      <c r="G77" s="50" t="s">
        <v>315</v>
      </c>
      <c r="H77" s="50" t="s">
        <v>315</v>
      </c>
    </row>
    <row r="78" spans="1:8" ht="11.25" customHeight="1">
      <c r="A78" s="171" t="s">
        <v>202</v>
      </c>
      <c r="B78" s="172"/>
      <c r="C78" s="67"/>
      <c r="D78" s="67"/>
      <c r="E78" s="66"/>
      <c r="F78" s="66"/>
      <c r="G78" s="66"/>
      <c r="H78" s="67"/>
    </row>
    <row r="79" spans="1:8" ht="13.5">
      <c r="A79" s="97" t="s">
        <v>326</v>
      </c>
      <c r="B79" s="173"/>
      <c r="C79" s="174"/>
      <c r="D79" s="174"/>
      <c r="E79" s="174"/>
      <c r="F79" s="174"/>
      <c r="G79" s="174"/>
      <c r="H79" s="174"/>
    </row>
    <row r="80" spans="1:8" ht="13.5">
      <c r="A80" s="97"/>
      <c r="B80" s="173"/>
      <c r="C80" s="173"/>
      <c r="D80" s="173"/>
      <c r="E80" s="173"/>
      <c r="F80" s="173"/>
      <c r="G80" s="173"/>
      <c r="H80" s="173"/>
    </row>
  </sheetData>
  <sheetProtection password="EE7F" sheet="1"/>
  <mergeCells count="5"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57421875" style="30" customWidth="1"/>
    <col min="2" max="15" width="8.7109375" style="30" customWidth="1"/>
    <col min="16" max="16384" width="9.00390625" style="30" customWidth="1"/>
  </cols>
  <sheetData>
    <row r="1" spans="1:15" ht="13.5">
      <c r="A1" s="29"/>
      <c r="B1" s="107" t="s">
        <v>81</v>
      </c>
      <c r="C1" s="10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>
      <c r="A2" s="29"/>
      <c r="B2" s="109" t="s">
        <v>1</v>
      </c>
      <c r="C2" s="10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9"/>
      <c r="B3" s="175" t="s">
        <v>262</v>
      </c>
      <c r="C3" s="17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2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4.25" thickTop="1">
      <c r="A5" s="349" t="s">
        <v>263</v>
      </c>
      <c r="B5" s="37" t="s">
        <v>264</v>
      </c>
      <c r="C5" s="38"/>
      <c r="D5" s="39"/>
      <c r="E5" s="350" t="s">
        <v>265</v>
      </c>
      <c r="F5" s="37" t="s">
        <v>266</v>
      </c>
      <c r="G5" s="38"/>
      <c r="H5" s="38"/>
      <c r="I5" s="38"/>
      <c r="J5" s="38"/>
      <c r="K5" s="38"/>
      <c r="L5" s="39"/>
      <c r="M5" s="38" t="s">
        <v>267</v>
      </c>
      <c r="N5" s="39"/>
      <c r="O5" s="352" t="s">
        <v>268</v>
      </c>
    </row>
    <row r="6" spans="1:15" ht="13.5">
      <c r="A6" s="339"/>
      <c r="B6" s="340" t="s">
        <v>53</v>
      </c>
      <c r="C6" s="340" t="s">
        <v>269</v>
      </c>
      <c r="D6" s="340" t="s">
        <v>270</v>
      </c>
      <c r="E6" s="351"/>
      <c r="F6" s="342" t="s">
        <v>53</v>
      </c>
      <c r="G6" s="179"/>
      <c r="H6" s="152"/>
      <c r="I6" s="347" t="s">
        <v>271</v>
      </c>
      <c r="J6" s="347" t="s">
        <v>272</v>
      </c>
      <c r="K6" s="347" t="s">
        <v>273</v>
      </c>
      <c r="L6" s="347" t="s">
        <v>274</v>
      </c>
      <c r="M6" s="340" t="s">
        <v>275</v>
      </c>
      <c r="N6" s="340" t="s">
        <v>276</v>
      </c>
      <c r="O6" s="353"/>
    </row>
    <row r="7" spans="1:15" ht="13.5">
      <c r="A7" s="335"/>
      <c r="B7" s="341"/>
      <c r="C7" s="341"/>
      <c r="D7" s="341"/>
      <c r="E7" s="341"/>
      <c r="F7" s="337"/>
      <c r="G7" s="42" t="s">
        <v>54</v>
      </c>
      <c r="H7" s="40" t="s">
        <v>55</v>
      </c>
      <c r="I7" s="348"/>
      <c r="J7" s="348"/>
      <c r="K7" s="348"/>
      <c r="L7" s="348"/>
      <c r="M7" s="341"/>
      <c r="N7" s="341"/>
      <c r="O7" s="337"/>
    </row>
    <row r="8" spans="1:16" ht="13.5">
      <c r="A8" s="52"/>
      <c r="B8" s="180"/>
      <c r="C8" s="180"/>
      <c r="D8" s="180"/>
      <c r="E8" s="180"/>
      <c r="F8" s="180"/>
      <c r="G8" s="180"/>
      <c r="H8" s="180"/>
      <c r="I8" s="181"/>
      <c r="J8" s="180"/>
      <c r="K8" s="180"/>
      <c r="L8" s="180"/>
      <c r="M8" s="180"/>
      <c r="N8" s="180"/>
      <c r="O8" s="180"/>
      <c r="P8" s="182"/>
    </row>
    <row r="9" spans="1:16" ht="13.5">
      <c r="A9" s="151" t="s">
        <v>198</v>
      </c>
      <c r="B9" s="183">
        <v>15</v>
      </c>
      <c r="C9" s="180">
        <v>13</v>
      </c>
      <c r="D9" s="180">
        <v>2</v>
      </c>
      <c r="E9" s="180">
        <v>477</v>
      </c>
      <c r="F9" s="180">
        <v>1593</v>
      </c>
      <c r="G9" s="180">
        <v>1031</v>
      </c>
      <c r="H9" s="180">
        <v>562</v>
      </c>
      <c r="I9" s="181">
        <v>9</v>
      </c>
      <c r="J9" s="180">
        <v>424</v>
      </c>
      <c r="K9" s="180">
        <v>384</v>
      </c>
      <c r="L9" s="180">
        <v>776</v>
      </c>
      <c r="M9" s="180">
        <v>1143</v>
      </c>
      <c r="N9" s="180">
        <v>41</v>
      </c>
      <c r="O9" s="180">
        <v>192</v>
      </c>
      <c r="P9" s="184"/>
    </row>
    <row r="10" spans="1:16" ht="13.5">
      <c r="A10" s="47">
        <v>24</v>
      </c>
      <c r="B10" s="180">
        <v>15</v>
      </c>
      <c r="C10" s="180">
        <v>13</v>
      </c>
      <c r="D10" s="180">
        <v>2</v>
      </c>
      <c r="E10" s="180">
        <v>487</v>
      </c>
      <c r="F10" s="180">
        <v>1671</v>
      </c>
      <c r="G10" s="180">
        <v>1070</v>
      </c>
      <c r="H10" s="180">
        <v>601</v>
      </c>
      <c r="I10" s="181">
        <v>12</v>
      </c>
      <c r="J10" s="180">
        <v>426</v>
      </c>
      <c r="K10" s="180">
        <v>417</v>
      </c>
      <c r="L10" s="180">
        <v>816</v>
      </c>
      <c r="M10" s="180">
        <v>1145</v>
      </c>
      <c r="N10" s="180">
        <v>47</v>
      </c>
      <c r="O10" s="180">
        <v>188</v>
      </c>
      <c r="P10" s="184"/>
    </row>
    <row r="11" spans="1:16" ht="9.75" customHeight="1">
      <c r="A11" s="52"/>
      <c r="B11" s="180"/>
      <c r="C11" s="180"/>
      <c r="D11" s="180"/>
      <c r="E11" s="180"/>
      <c r="F11" s="180"/>
      <c r="G11" s="180"/>
      <c r="H11" s="180"/>
      <c r="I11" s="181"/>
      <c r="J11" s="180"/>
      <c r="K11" s="180"/>
      <c r="L11" s="180"/>
      <c r="M11" s="180"/>
      <c r="N11" s="180"/>
      <c r="O11" s="180"/>
      <c r="P11" s="184"/>
    </row>
    <row r="12" spans="1:16" ht="13.5">
      <c r="A12" s="185">
        <v>25</v>
      </c>
      <c r="B12" s="186">
        <v>15</v>
      </c>
      <c r="C12" s="186">
        <v>13</v>
      </c>
      <c r="D12" s="186">
        <v>2</v>
      </c>
      <c r="E12" s="186">
        <v>501</v>
      </c>
      <c r="F12" s="186">
        <v>1710</v>
      </c>
      <c r="G12" s="186">
        <v>1099</v>
      </c>
      <c r="H12" s="186">
        <v>611</v>
      </c>
      <c r="I12" s="187">
        <f>8+6</f>
        <v>14</v>
      </c>
      <c r="J12" s="186">
        <f>291+147</f>
        <v>438</v>
      </c>
      <c r="K12" s="186">
        <f>286+146</f>
        <v>432</v>
      </c>
      <c r="L12" s="186">
        <f>514+312</f>
        <v>826</v>
      </c>
      <c r="M12" s="186">
        <v>1153</v>
      </c>
      <c r="N12" s="186">
        <v>46</v>
      </c>
      <c r="O12" s="186">
        <v>177</v>
      </c>
      <c r="P12" s="182"/>
    </row>
    <row r="13" spans="1:16" ht="13.5">
      <c r="A13" s="188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13.5">
      <c r="A14" s="189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2:16" ht="13.5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</row>
    <row r="16" spans="2:16" ht="13.5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</row>
  </sheetData>
  <sheetProtection password="EE7F" sheet="1"/>
  <mergeCells count="13"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421875" style="35" customWidth="1"/>
    <col min="2" max="7" width="16.28125" style="35" customWidth="1"/>
    <col min="8" max="16384" width="9.00390625" style="35" customWidth="1"/>
  </cols>
  <sheetData>
    <row r="1" spans="1:7" s="30" customFormat="1" ht="13.5">
      <c r="A1" s="27"/>
      <c r="B1" s="107" t="s">
        <v>81</v>
      </c>
      <c r="C1" s="27"/>
      <c r="D1" s="27"/>
      <c r="E1" s="27"/>
      <c r="F1" s="27"/>
      <c r="G1" s="27"/>
    </row>
    <row r="2" spans="1:7" s="30" customFormat="1" ht="13.5">
      <c r="A2" s="109" t="s">
        <v>1</v>
      </c>
      <c r="B2" s="27"/>
      <c r="C2" s="27"/>
      <c r="D2" s="27"/>
      <c r="E2" s="27"/>
      <c r="F2" s="27"/>
      <c r="G2" s="27"/>
    </row>
    <row r="3" spans="1:7" ht="14.25">
      <c r="A3" s="190"/>
      <c r="B3" s="96" t="s">
        <v>246</v>
      </c>
      <c r="C3" s="191"/>
      <c r="D3" s="191"/>
      <c r="E3" s="191"/>
      <c r="F3" s="191"/>
      <c r="G3" s="191"/>
    </row>
    <row r="4" spans="1:7" ht="14.25" thickBot="1">
      <c r="A4" s="191"/>
      <c r="B4" s="191"/>
      <c r="C4" s="191"/>
      <c r="D4" s="191"/>
      <c r="E4" s="191"/>
      <c r="F4" s="191"/>
      <c r="G4" s="191"/>
    </row>
    <row r="5" spans="1:7" s="30" customFormat="1" ht="14.25" thickTop="1">
      <c r="A5" s="349" t="s">
        <v>247</v>
      </c>
      <c r="B5" s="37" t="s">
        <v>53</v>
      </c>
      <c r="C5" s="38"/>
      <c r="D5" s="37" t="s">
        <v>248</v>
      </c>
      <c r="E5" s="39"/>
      <c r="F5" s="38" t="s">
        <v>249</v>
      </c>
      <c r="G5" s="38"/>
    </row>
    <row r="6" spans="1:7" s="30" customFormat="1" ht="13.5">
      <c r="A6" s="335"/>
      <c r="B6" s="41" t="s">
        <v>250</v>
      </c>
      <c r="C6" s="42" t="s">
        <v>251</v>
      </c>
      <c r="D6" s="43" t="s">
        <v>250</v>
      </c>
      <c r="E6" s="42" t="s">
        <v>252</v>
      </c>
      <c r="F6" s="42" t="s">
        <v>250</v>
      </c>
      <c r="G6" s="41" t="s">
        <v>253</v>
      </c>
    </row>
    <row r="7" spans="1:7" s="30" customFormat="1" ht="13.5">
      <c r="A7" s="56"/>
      <c r="B7" s="192"/>
      <c r="C7" s="192"/>
      <c r="D7" s="192"/>
      <c r="E7" s="192"/>
      <c r="F7" s="192"/>
      <c r="G7" s="192"/>
    </row>
    <row r="8" spans="1:7" s="30" customFormat="1" ht="13.5">
      <c r="A8" s="47" t="s">
        <v>198</v>
      </c>
      <c r="B8" s="193">
        <v>668</v>
      </c>
      <c r="C8" s="193">
        <v>1858</v>
      </c>
      <c r="D8" s="193">
        <v>448</v>
      </c>
      <c r="E8" s="193">
        <v>1291</v>
      </c>
      <c r="F8" s="193">
        <v>220</v>
      </c>
      <c r="G8" s="193">
        <v>567</v>
      </c>
    </row>
    <row r="9" spans="1:7" s="30" customFormat="1" ht="13.5">
      <c r="A9" s="47">
        <v>24</v>
      </c>
      <c r="B9" s="193">
        <v>680</v>
      </c>
      <c r="C9" s="193">
        <v>1910</v>
      </c>
      <c r="D9" s="193">
        <v>445</v>
      </c>
      <c r="E9" s="193">
        <v>1333</v>
      </c>
      <c r="F9" s="193">
        <v>235</v>
      </c>
      <c r="G9" s="193">
        <v>577</v>
      </c>
    </row>
    <row r="10" spans="1:7" s="30" customFormat="1" ht="13.5">
      <c r="A10" s="53">
        <v>25</v>
      </c>
      <c r="B10" s="194">
        <f>SUM(D10,F10)</f>
        <v>709</v>
      </c>
      <c r="C10" s="194">
        <f>SUM(E10,G10)</f>
        <v>2049</v>
      </c>
      <c r="D10" s="194">
        <v>475</v>
      </c>
      <c r="E10" s="194">
        <v>1421</v>
      </c>
      <c r="F10" s="194">
        <v>234</v>
      </c>
      <c r="G10" s="194">
        <v>628</v>
      </c>
    </row>
    <row r="11" spans="1:7" s="30" customFormat="1" ht="13.5">
      <c r="A11" s="56"/>
      <c r="B11" s="193"/>
      <c r="C11" s="193"/>
      <c r="D11" s="193"/>
      <c r="E11" s="193"/>
      <c r="F11" s="193"/>
      <c r="G11" s="193"/>
    </row>
    <row r="12" spans="1:7" s="30" customFormat="1" ht="13.5">
      <c r="A12" s="195" t="s">
        <v>254</v>
      </c>
      <c r="B12" s="193">
        <f>SUM(D12,F12)</f>
        <v>292</v>
      </c>
      <c r="C12" s="193">
        <f>SUM(E12,G12)</f>
        <v>850</v>
      </c>
      <c r="D12" s="193">
        <v>187</v>
      </c>
      <c r="E12" s="193">
        <v>558</v>
      </c>
      <c r="F12" s="193">
        <v>105</v>
      </c>
      <c r="G12" s="193">
        <v>292</v>
      </c>
    </row>
    <row r="13" spans="1:7" s="30" customFormat="1" ht="13.5">
      <c r="A13" s="195" t="s">
        <v>255</v>
      </c>
      <c r="B13" s="193">
        <f aca="true" t="shared" si="0" ref="B13:C18">SUM(D13,F13)</f>
        <v>49</v>
      </c>
      <c r="C13" s="193">
        <f t="shared" si="0"/>
        <v>72</v>
      </c>
      <c r="D13" s="193">
        <v>40</v>
      </c>
      <c r="E13" s="193">
        <v>58</v>
      </c>
      <c r="F13" s="193">
        <v>9</v>
      </c>
      <c r="G13" s="193">
        <v>14</v>
      </c>
    </row>
    <row r="14" spans="1:7" s="30" customFormat="1" ht="13.5">
      <c r="A14" s="195" t="s">
        <v>256</v>
      </c>
      <c r="B14" s="193">
        <f t="shared" si="0"/>
        <v>5</v>
      </c>
      <c r="C14" s="193">
        <f t="shared" si="0"/>
        <v>9</v>
      </c>
      <c r="D14" s="193">
        <v>4</v>
      </c>
      <c r="E14" s="193">
        <v>6</v>
      </c>
      <c r="F14" s="196">
        <v>1</v>
      </c>
      <c r="G14" s="196">
        <v>3</v>
      </c>
    </row>
    <row r="15" spans="1:7" s="30" customFormat="1" ht="13.5">
      <c r="A15" s="195" t="s">
        <v>257</v>
      </c>
      <c r="B15" s="193">
        <f t="shared" si="0"/>
        <v>6</v>
      </c>
      <c r="C15" s="193">
        <f t="shared" si="0"/>
        <v>7</v>
      </c>
      <c r="D15" s="196">
        <v>6</v>
      </c>
      <c r="E15" s="196">
        <v>7</v>
      </c>
      <c r="F15" s="196">
        <v>0</v>
      </c>
      <c r="G15" s="196">
        <v>0</v>
      </c>
    </row>
    <row r="16" spans="1:7" s="30" customFormat="1" ht="13.5">
      <c r="A16" s="195" t="s">
        <v>258</v>
      </c>
      <c r="B16" s="193">
        <f t="shared" si="0"/>
        <v>45</v>
      </c>
      <c r="C16" s="193">
        <f t="shared" si="0"/>
        <v>63</v>
      </c>
      <c r="D16" s="193">
        <v>27</v>
      </c>
      <c r="E16" s="193">
        <v>39</v>
      </c>
      <c r="F16" s="193">
        <v>18</v>
      </c>
      <c r="G16" s="193">
        <v>24</v>
      </c>
    </row>
    <row r="17" spans="1:7" s="30" customFormat="1" ht="13.5">
      <c r="A17" s="195" t="s">
        <v>259</v>
      </c>
      <c r="B17" s="196">
        <f t="shared" si="0"/>
        <v>1</v>
      </c>
      <c r="C17" s="196">
        <f t="shared" si="0"/>
        <v>1</v>
      </c>
      <c r="D17" s="196">
        <v>1</v>
      </c>
      <c r="E17" s="196">
        <v>1</v>
      </c>
      <c r="F17" s="196">
        <v>0</v>
      </c>
      <c r="G17" s="196" t="s">
        <v>260</v>
      </c>
    </row>
    <row r="18" spans="1:7" s="30" customFormat="1" ht="13.5">
      <c r="A18" s="197" t="s">
        <v>261</v>
      </c>
      <c r="B18" s="198">
        <f t="shared" si="0"/>
        <v>311</v>
      </c>
      <c r="C18" s="198">
        <f t="shared" si="0"/>
        <v>1047</v>
      </c>
      <c r="D18" s="198">
        <v>210</v>
      </c>
      <c r="E18" s="198">
        <v>752</v>
      </c>
      <c r="F18" s="198">
        <v>101</v>
      </c>
      <c r="G18" s="198">
        <v>295</v>
      </c>
    </row>
    <row r="19" spans="2:7" ht="13.5">
      <c r="B19" s="105"/>
      <c r="C19" s="105"/>
      <c r="D19" s="105"/>
      <c r="E19" s="105"/>
      <c r="F19" s="105"/>
      <c r="G19" s="105"/>
    </row>
    <row r="21" s="105" customFormat="1" ht="13.5"/>
    <row r="22" spans="2:6" s="105" customFormat="1" ht="13.5">
      <c r="B22" s="199"/>
      <c r="F22" s="199"/>
    </row>
    <row r="23" spans="2:6" s="105" customFormat="1" ht="13.5">
      <c r="B23" s="199"/>
      <c r="F23" s="199"/>
    </row>
    <row r="24" spans="2:6" s="105" customFormat="1" ht="13.5">
      <c r="B24" s="199"/>
      <c r="F24" s="199"/>
    </row>
    <row r="25" spans="2:6" s="105" customFormat="1" ht="13.5">
      <c r="B25" s="199"/>
      <c r="F25" s="199"/>
    </row>
    <row r="26" spans="2:6" s="105" customFormat="1" ht="13.5">
      <c r="B26" s="199"/>
      <c r="F26" s="199"/>
    </row>
    <row r="27" spans="2:6" s="105" customFormat="1" ht="13.5">
      <c r="B27" s="199"/>
      <c r="F27" s="199"/>
    </row>
    <row r="28" spans="2:6" s="105" customFormat="1" ht="13.5">
      <c r="B28" s="199"/>
      <c r="F28" s="199"/>
    </row>
    <row r="29" ht="13.5">
      <c r="B29" s="200"/>
    </row>
  </sheetData>
  <sheetProtection password="EE7F" sheet="1"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146" customWidth="1"/>
    <col min="2" max="5" width="11.421875" style="35" customWidth="1"/>
    <col min="6" max="6" width="15.28125" style="35" customWidth="1"/>
    <col min="7" max="10" width="11.421875" style="35" customWidth="1"/>
    <col min="11" max="16384" width="9.00390625" style="35" customWidth="1"/>
  </cols>
  <sheetData>
    <row r="1" spans="1:10" ht="13.5">
      <c r="A1" s="201"/>
      <c r="B1" s="202" t="s">
        <v>81</v>
      </c>
      <c r="C1" s="191"/>
      <c r="D1" s="191"/>
      <c r="E1" s="191"/>
      <c r="F1" s="191"/>
      <c r="G1" s="191"/>
      <c r="H1" s="191"/>
      <c r="I1" s="191"/>
      <c r="J1" s="191"/>
    </row>
    <row r="2" spans="1:10" ht="13.5">
      <c r="A2" s="203" t="s">
        <v>210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4.25">
      <c r="A3" s="201"/>
      <c r="B3" s="204" t="s">
        <v>211</v>
      </c>
      <c r="C3" s="191"/>
      <c r="D3" s="191"/>
      <c r="E3" s="191"/>
      <c r="F3" s="191"/>
      <c r="G3" s="191"/>
      <c r="H3" s="191"/>
      <c r="I3" s="191"/>
      <c r="J3" s="191"/>
    </row>
    <row r="4" spans="1:10" ht="14.25" thickBot="1">
      <c r="A4" s="20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" customHeight="1" thickTop="1">
      <c r="A5" s="349" t="s">
        <v>212</v>
      </c>
      <c r="B5" s="350" t="s">
        <v>213</v>
      </c>
      <c r="C5" s="330" t="s">
        <v>196</v>
      </c>
      <c r="D5" s="338"/>
      <c r="E5" s="331"/>
      <c r="F5" s="350" t="s">
        <v>214</v>
      </c>
      <c r="G5" s="350" t="s">
        <v>213</v>
      </c>
      <c r="H5" s="330" t="s">
        <v>196</v>
      </c>
      <c r="I5" s="338"/>
      <c r="J5" s="338"/>
    </row>
    <row r="6" spans="1:10" ht="15" customHeight="1">
      <c r="A6" s="335"/>
      <c r="B6" s="341"/>
      <c r="C6" s="43" t="s">
        <v>53</v>
      </c>
      <c r="D6" s="42" t="s">
        <v>54</v>
      </c>
      <c r="E6" s="41" t="s">
        <v>55</v>
      </c>
      <c r="F6" s="341"/>
      <c r="G6" s="341"/>
      <c r="H6" s="43" t="s">
        <v>53</v>
      </c>
      <c r="I6" s="42" t="s">
        <v>54</v>
      </c>
      <c r="J6" s="41" t="s">
        <v>55</v>
      </c>
    </row>
    <row r="7" spans="1:10" s="30" customFormat="1" ht="13.5">
      <c r="A7" s="205" t="s">
        <v>209</v>
      </c>
      <c r="B7" s="174"/>
      <c r="C7" s="174"/>
      <c r="D7" s="174"/>
      <c r="E7" s="174"/>
      <c r="F7" s="206"/>
      <c r="G7" s="207"/>
      <c r="H7" s="207"/>
      <c r="I7" s="207"/>
      <c r="J7" s="207"/>
    </row>
    <row r="8" spans="1:10" s="30" customFormat="1" ht="13.5">
      <c r="A8" s="208" t="s">
        <v>198</v>
      </c>
      <c r="B8" s="193">
        <v>76</v>
      </c>
      <c r="C8" s="193">
        <v>4941</v>
      </c>
      <c r="D8" s="193">
        <v>1816</v>
      </c>
      <c r="E8" s="193">
        <v>3125</v>
      </c>
      <c r="F8" s="209" t="s">
        <v>215</v>
      </c>
      <c r="G8" s="196">
        <v>1</v>
      </c>
      <c r="H8" s="196">
        <f aca="true" t="shared" si="0" ref="H8:H14">SUM(I8:J8)</f>
        <v>165</v>
      </c>
      <c r="I8" s="196">
        <v>0</v>
      </c>
      <c r="J8" s="196">
        <v>165</v>
      </c>
    </row>
    <row r="9" spans="1:10" s="30" customFormat="1" ht="13.5">
      <c r="A9" s="208">
        <v>24</v>
      </c>
      <c r="B9" s="193">
        <v>79</v>
      </c>
      <c r="C9" s="193">
        <v>4963</v>
      </c>
      <c r="D9" s="193">
        <v>1820</v>
      </c>
      <c r="E9" s="193">
        <v>3143</v>
      </c>
      <c r="F9" s="209" t="s">
        <v>216</v>
      </c>
      <c r="G9" s="196">
        <v>1</v>
      </c>
      <c r="H9" s="196">
        <f t="shared" si="0"/>
        <v>30</v>
      </c>
      <c r="I9" s="196">
        <v>21</v>
      </c>
      <c r="J9" s="196">
        <v>9</v>
      </c>
    </row>
    <row r="10" spans="1:10" s="30" customFormat="1" ht="13.5">
      <c r="A10" s="210">
        <v>25</v>
      </c>
      <c r="B10" s="194">
        <v>78</v>
      </c>
      <c r="C10" s="194">
        <v>5168</v>
      </c>
      <c r="D10" s="194">
        <v>1946</v>
      </c>
      <c r="E10" s="194">
        <v>3222</v>
      </c>
      <c r="F10" s="209" t="s">
        <v>217</v>
      </c>
      <c r="G10" s="196">
        <v>6</v>
      </c>
      <c r="H10" s="196">
        <f t="shared" si="0"/>
        <v>740</v>
      </c>
      <c r="I10" s="196">
        <v>475</v>
      </c>
      <c r="J10" s="196">
        <v>265</v>
      </c>
    </row>
    <row r="11" spans="1:10" s="30" customFormat="1" ht="13.5">
      <c r="A11" s="205"/>
      <c r="B11" s="193"/>
      <c r="C11" s="193" t="s">
        <v>209</v>
      </c>
      <c r="D11" s="193"/>
      <c r="E11" s="193"/>
      <c r="F11" s="209" t="s">
        <v>218</v>
      </c>
      <c r="G11" s="196">
        <v>1</v>
      </c>
      <c r="H11" s="196">
        <f t="shared" si="0"/>
        <v>53</v>
      </c>
      <c r="I11" s="196">
        <v>31</v>
      </c>
      <c r="J11" s="196">
        <v>22</v>
      </c>
    </row>
    <row r="12" spans="1:10" s="30" customFormat="1" ht="13.5">
      <c r="A12" s="211" t="s">
        <v>219</v>
      </c>
      <c r="B12" s="196">
        <v>0</v>
      </c>
      <c r="C12" s="196">
        <v>0</v>
      </c>
      <c r="D12" s="196">
        <v>0</v>
      </c>
      <c r="E12" s="196">
        <v>0</v>
      </c>
      <c r="F12" s="209" t="s">
        <v>220</v>
      </c>
      <c r="G12" s="196">
        <v>1</v>
      </c>
      <c r="H12" s="196">
        <f t="shared" si="0"/>
        <v>4</v>
      </c>
      <c r="I12" s="196">
        <v>4</v>
      </c>
      <c r="J12" s="196">
        <v>0</v>
      </c>
    </row>
    <row r="13" spans="1:10" s="30" customFormat="1" ht="13.5">
      <c r="A13" s="211" t="s">
        <v>221</v>
      </c>
      <c r="B13" s="193">
        <v>5</v>
      </c>
      <c r="C13" s="193">
        <v>368</v>
      </c>
      <c r="D13" s="193">
        <v>74</v>
      </c>
      <c r="E13" s="193">
        <v>294</v>
      </c>
      <c r="F13" s="209" t="s">
        <v>222</v>
      </c>
      <c r="G13" s="196">
        <v>2</v>
      </c>
      <c r="H13" s="196">
        <f t="shared" si="0"/>
        <v>106</v>
      </c>
      <c r="I13" s="196">
        <v>26</v>
      </c>
      <c r="J13" s="196">
        <v>80</v>
      </c>
    </row>
    <row r="14" spans="1:10" s="30" customFormat="1" ht="13.5">
      <c r="A14" s="211" t="s">
        <v>223</v>
      </c>
      <c r="B14" s="193">
        <v>73</v>
      </c>
      <c r="C14" s="193">
        <v>4800</v>
      </c>
      <c r="D14" s="193">
        <v>1872</v>
      </c>
      <c r="E14" s="193">
        <v>2928</v>
      </c>
      <c r="F14" s="209" t="s">
        <v>224</v>
      </c>
      <c r="G14" s="196">
        <v>1</v>
      </c>
      <c r="H14" s="196">
        <f t="shared" si="0"/>
        <v>15</v>
      </c>
      <c r="I14" s="196">
        <v>3</v>
      </c>
      <c r="J14" s="196">
        <v>12</v>
      </c>
    </row>
    <row r="15" spans="1:10" s="30" customFormat="1" ht="13.5">
      <c r="A15" s="208"/>
      <c r="B15" s="193"/>
      <c r="C15" s="193"/>
      <c r="D15" s="193"/>
      <c r="E15" s="193"/>
      <c r="F15" s="209" t="s">
        <v>225</v>
      </c>
      <c r="G15" s="196">
        <v>3</v>
      </c>
      <c r="H15" s="196">
        <v>204</v>
      </c>
      <c r="I15" s="196">
        <v>99</v>
      </c>
      <c r="J15" s="196">
        <v>105</v>
      </c>
    </row>
    <row r="16" spans="1:10" s="30" customFormat="1" ht="13.5">
      <c r="A16" s="212" t="s">
        <v>226</v>
      </c>
      <c r="B16" s="196">
        <v>10</v>
      </c>
      <c r="C16" s="196">
        <v>633</v>
      </c>
      <c r="D16" s="196">
        <v>193</v>
      </c>
      <c r="E16" s="196">
        <v>440</v>
      </c>
      <c r="F16" s="209" t="s">
        <v>227</v>
      </c>
      <c r="G16" s="213">
        <v>3</v>
      </c>
      <c r="H16" s="196">
        <v>12</v>
      </c>
      <c r="I16" s="196">
        <v>8</v>
      </c>
      <c r="J16" s="196">
        <v>4</v>
      </c>
    </row>
    <row r="17" spans="1:10" s="30" customFormat="1" ht="13.5">
      <c r="A17" s="211" t="s">
        <v>199</v>
      </c>
      <c r="B17" s="196">
        <v>3</v>
      </c>
      <c r="C17" s="196">
        <f>SUM(D17:E17)</f>
        <v>418</v>
      </c>
      <c r="D17" s="196">
        <v>104</v>
      </c>
      <c r="E17" s="196">
        <v>314</v>
      </c>
      <c r="F17" s="209" t="s">
        <v>228</v>
      </c>
      <c r="G17" s="196">
        <v>3</v>
      </c>
      <c r="H17" s="196">
        <v>63</v>
      </c>
      <c r="I17" s="196">
        <v>23</v>
      </c>
      <c r="J17" s="196">
        <v>40</v>
      </c>
    </row>
    <row r="18" spans="1:10" s="30" customFormat="1" ht="13.5">
      <c r="A18" s="211" t="s">
        <v>229</v>
      </c>
      <c r="B18" s="196">
        <v>1</v>
      </c>
      <c r="C18" s="196">
        <f aca="true" t="shared" si="1" ref="C18:C24">SUM(D18:E18)</f>
        <v>34</v>
      </c>
      <c r="D18" s="196">
        <v>17</v>
      </c>
      <c r="E18" s="196">
        <v>17</v>
      </c>
      <c r="F18" s="209" t="s">
        <v>230</v>
      </c>
      <c r="G18" s="196">
        <v>4</v>
      </c>
      <c r="H18" s="196">
        <v>158</v>
      </c>
      <c r="I18" s="196">
        <v>3</v>
      </c>
      <c r="J18" s="196">
        <v>155</v>
      </c>
    </row>
    <row r="19" spans="1:10" s="30" customFormat="1" ht="13.5">
      <c r="A19" s="211" t="s">
        <v>220</v>
      </c>
      <c r="B19" s="196">
        <v>1</v>
      </c>
      <c r="C19" s="196">
        <f t="shared" si="1"/>
        <v>9</v>
      </c>
      <c r="D19" s="196">
        <v>8</v>
      </c>
      <c r="E19" s="196">
        <v>1</v>
      </c>
      <c r="F19" s="209" t="s">
        <v>231</v>
      </c>
      <c r="G19" s="196">
        <v>2</v>
      </c>
      <c r="H19" s="196">
        <v>18</v>
      </c>
      <c r="I19" s="196">
        <v>3</v>
      </c>
      <c r="J19" s="196">
        <v>15</v>
      </c>
    </row>
    <row r="20" spans="1:10" s="30" customFormat="1" ht="13.5">
      <c r="A20" s="211" t="s">
        <v>222</v>
      </c>
      <c r="B20" s="196">
        <v>1</v>
      </c>
      <c r="C20" s="196">
        <f t="shared" si="1"/>
        <v>22</v>
      </c>
      <c r="D20" s="196">
        <v>13</v>
      </c>
      <c r="E20" s="196">
        <v>9</v>
      </c>
      <c r="F20" s="209" t="s">
        <v>232</v>
      </c>
      <c r="G20" s="196">
        <v>1</v>
      </c>
      <c r="H20" s="196">
        <v>4</v>
      </c>
      <c r="I20" s="196">
        <v>0</v>
      </c>
      <c r="J20" s="196">
        <v>4</v>
      </c>
    </row>
    <row r="21" spans="1:10" s="30" customFormat="1" ht="13.5">
      <c r="A21" s="211" t="s">
        <v>224</v>
      </c>
      <c r="B21" s="196">
        <v>1</v>
      </c>
      <c r="C21" s="196">
        <f t="shared" si="1"/>
        <v>19</v>
      </c>
      <c r="D21" s="196">
        <v>5</v>
      </c>
      <c r="E21" s="196">
        <v>14</v>
      </c>
      <c r="F21" s="209" t="s">
        <v>233</v>
      </c>
      <c r="G21" s="196">
        <v>3</v>
      </c>
      <c r="H21" s="196">
        <v>58</v>
      </c>
      <c r="I21" s="196">
        <v>22</v>
      </c>
      <c r="J21" s="196">
        <v>36</v>
      </c>
    </row>
    <row r="22" spans="1:10" s="30" customFormat="1" ht="13.5">
      <c r="A22" s="211" t="s">
        <v>234</v>
      </c>
      <c r="B22" s="196">
        <v>1</v>
      </c>
      <c r="C22" s="196">
        <f t="shared" si="1"/>
        <v>29</v>
      </c>
      <c r="D22" s="196">
        <v>9</v>
      </c>
      <c r="E22" s="196">
        <v>20</v>
      </c>
      <c r="F22" s="209" t="s">
        <v>235</v>
      </c>
      <c r="G22" s="196">
        <v>1</v>
      </c>
      <c r="H22" s="196">
        <v>33</v>
      </c>
      <c r="I22" s="196">
        <v>3</v>
      </c>
      <c r="J22" s="196">
        <v>30</v>
      </c>
    </row>
    <row r="23" spans="1:10" s="30" customFormat="1" ht="13.5">
      <c r="A23" s="211" t="s">
        <v>236</v>
      </c>
      <c r="B23" s="196">
        <v>1</v>
      </c>
      <c r="C23" s="196">
        <f t="shared" si="1"/>
        <v>60</v>
      </c>
      <c r="D23" s="196">
        <v>25</v>
      </c>
      <c r="E23" s="196">
        <v>35</v>
      </c>
      <c r="F23" s="209" t="s">
        <v>237</v>
      </c>
      <c r="G23" s="196">
        <v>3</v>
      </c>
      <c r="H23" s="196">
        <v>105</v>
      </c>
      <c r="I23" s="196">
        <v>85</v>
      </c>
      <c r="J23" s="196">
        <v>20</v>
      </c>
    </row>
    <row r="24" spans="1:10" s="30" customFormat="1" ht="13.5">
      <c r="A24" s="211" t="s">
        <v>200</v>
      </c>
      <c r="B24" s="196">
        <v>1</v>
      </c>
      <c r="C24" s="196">
        <f t="shared" si="1"/>
        <v>42</v>
      </c>
      <c r="D24" s="196">
        <v>12</v>
      </c>
      <c r="E24" s="196">
        <v>30</v>
      </c>
      <c r="F24" s="209" t="s">
        <v>238</v>
      </c>
      <c r="G24" s="196">
        <f>1+6</f>
        <v>7</v>
      </c>
      <c r="H24" s="196">
        <v>170</v>
      </c>
      <c r="I24" s="196">
        <v>89</v>
      </c>
      <c r="J24" s="213">
        <v>81</v>
      </c>
    </row>
    <row r="25" spans="1:10" s="30" customFormat="1" ht="13.5">
      <c r="A25" s="211"/>
      <c r="B25" s="196"/>
      <c r="C25" s="196"/>
      <c r="D25" s="196"/>
      <c r="E25" s="196"/>
      <c r="F25" s="209"/>
      <c r="G25" s="213"/>
      <c r="H25" s="213"/>
      <c r="I25" s="213"/>
      <c r="J25" s="213"/>
    </row>
    <row r="26" spans="1:10" s="30" customFormat="1" ht="13.5">
      <c r="A26" s="208"/>
      <c r="B26" s="196"/>
      <c r="C26" s="196"/>
      <c r="D26" s="196"/>
      <c r="E26" s="196"/>
      <c r="F26" s="209"/>
      <c r="G26" s="196"/>
      <c r="H26" s="196"/>
      <c r="I26" s="196"/>
      <c r="J26" s="213"/>
    </row>
    <row r="27" spans="1:10" s="30" customFormat="1" ht="13.5">
      <c r="A27" s="168" t="s">
        <v>239</v>
      </c>
      <c r="B27" s="196">
        <v>65</v>
      </c>
      <c r="C27" s="196">
        <v>3977</v>
      </c>
      <c r="D27" s="196">
        <v>1377</v>
      </c>
      <c r="E27" s="196">
        <v>2600</v>
      </c>
      <c r="F27" s="214" t="s">
        <v>240</v>
      </c>
      <c r="G27" s="213">
        <v>3</v>
      </c>
      <c r="H27" s="213">
        <v>558</v>
      </c>
      <c r="I27" s="213">
        <v>376</v>
      </c>
      <c r="J27" s="213">
        <v>182</v>
      </c>
    </row>
    <row r="28" spans="1:10" s="30" customFormat="1" ht="13.5">
      <c r="A28" s="211" t="s">
        <v>241</v>
      </c>
      <c r="B28" s="196">
        <v>6</v>
      </c>
      <c r="C28" s="196">
        <f>SUM(D28:E28)</f>
        <v>124</v>
      </c>
      <c r="D28" s="196">
        <v>103</v>
      </c>
      <c r="E28" s="196">
        <v>21</v>
      </c>
      <c r="F28" s="215" t="s">
        <v>242</v>
      </c>
      <c r="G28" s="196">
        <v>1</v>
      </c>
      <c r="H28" s="196">
        <v>546</v>
      </c>
      <c r="I28" s="196">
        <v>375</v>
      </c>
      <c r="J28" s="196">
        <v>171</v>
      </c>
    </row>
    <row r="29" spans="1:10" s="30" customFormat="1" ht="13.5">
      <c r="A29" s="211" t="s">
        <v>243</v>
      </c>
      <c r="B29" s="196">
        <v>2</v>
      </c>
      <c r="C29" s="196">
        <f>SUM(D29:E29)</f>
        <v>53</v>
      </c>
      <c r="D29" s="196">
        <v>36</v>
      </c>
      <c r="E29" s="196">
        <v>17</v>
      </c>
      <c r="F29" s="209" t="s">
        <v>244</v>
      </c>
      <c r="G29" s="196">
        <v>2</v>
      </c>
      <c r="H29" s="196">
        <v>12</v>
      </c>
      <c r="I29" s="196">
        <v>1</v>
      </c>
      <c r="J29" s="196">
        <v>11</v>
      </c>
    </row>
    <row r="30" spans="1:10" s="30" customFormat="1" ht="13.5">
      <c r="A30" s="211" t="s">
        <v>245</v>
      </c>
      <c r="B30" s="196">
        <f>13+1</f>
        <v>14</v>
      </c>
      <c r="C30" s="196">
        <f>SUM(D30:E30)</f>
        <v>1862</v>
      </c>
      <c r="D30" s="196">
        <v>343</v>
      </c>
      <c r="E30" s="196">
        <v>1519</v>
      </c>
      <c r="F30" s="216"/>
      <c r="G30" s="196"/>
      <c r="H30" s="196"/>
      <c r="I30" s="196"/>
      <c r="J30" s="196"/>
    </row>
    <row r="31" spans="1:10" s="30" customFormat="1" ht="13.5">
      <c r="A31" s="217"/>
      <c r="B31" s="218"/>
      <c r="C31" s="218"/>
      <c r="D31" s="218"/>
      <c r="E31" s="218"/>
      <c r="F31" s="219"/>
      <c r="G31" s="220"/>
      <c r="H31" s="220"/>
      <c r="I31" s="220"/>
      <c r="J31" s="220"/>
    </row>
    <row r="32" spans="2:5" ht="13.5">
      <c r="B32" s="105"/>
      <c r="C32" s="105"/>
      <c r="D32" s="105"/>
      <c r="E32" s="105"/>
    </row>
  </sheetData>
  <sheetProtection password="EE7F" sheet="1"/>
  <mergeCells count="6">
    <mergeCell ref="H5:J5"/>
    <mergeCell ref="A5:A6"/>
    <mergeCell ref="B5:B6"/>
    <mergeCell ref="C5:E5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2014-12-09T05:11:56Z</dcterms:created>
  <dcterms:modified xsi:type="dcterms:W3CDTF">2014-12-10T07:51:01Z</dcterms:modified>
  <cp:category/>
  <cp:version/>
  <cp:contentType/>
  <cp:contentStatus/>
</cp:coreProperties>
</file>