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05" yWindow="60" windowWidth="22680" windowHeight="7680" activeTab="4"/>
  </bookViews>
  <sheets>
    <sheet name="経営収支" sheetId="7" r:id="rId1"/>
    <sheet name="作業体系表" sheetId="5" r:id="rId2"/>
    <sheet name="Z-BFM" sheetId="19" r:id="rId3"/>
    <sheet name="①技術体系" sheetId="1" r:id="rId4"/>
    <sheet name="②償却資産" sheetId="2" r:id="rId5"/>
    <sheet name="③労働時間" sheetId="3" r:id="rId6"/>
    <sheet name="④収入" sheetId="21" r:id="rId7"/>
    <sheet name="⑤支出" sheetId="4" r:id="rId8"/>
    <sheet name="凡例" sheetId="20" r:id="rId9"/>
    <sheet name="科目設定" sheetId="11" r:id="rId10"/>
  </sheets>
  <externalReferences>
    <externalReference r:id="rId11"/>
    <externalReference r:id="rId12"/>
  </externalReferences>
  <definedNames>
    <definedName name="_xlnm._FilterDatabase" localSheetId="7" hidden="1">⑤支出!$A$2:$W$171</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3">①技術体系!$A$1:$E$25</definedName>
    <definedName name="_xlnm.Print_Area" localSheetId="5">③労働時間!$A$1:$O$155</definedName>
    <definedName name="_xlnm.Print_Area" localSheetId="6">④収入!$A$2:$H$22</definedName>
    <definedName name="_xlnm.Print_Area" localSheetId="7">⑤支出!$B$1:$W$170</definedName>
    <definedName name="_xlnm.Print_Area" localSheetId="9">科目設定!$A$1:$W$38</definedName>
    <definedName name="_xlnm.Print_Area" localSheetId="1">作業体系表!$B$1:$AN$50</definedName>
    <definedName name="_xlnm.Print_Titles" localSheetId="3">①技術体系!$1:$5</definedName>
    <definedName name="_xlnm.Print_Titles" localSheetId="5">③労働時間!$1:$4</definedName>
    <definedName name="_xlnm.Print_Titles" localSheetId="7">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②償却資産!$B$19:$B$25</definedName>
    <definedName name="機械能力">②償却資産!$D$19:$D$25</definedName>
    <definedName name="月旬" localSheetId="2">[1]科目設定!$P$2:$P$38</definedName>
    <definedName name="月旬">科目設定!$P$2:$P$38</definedName>
    <definedName name="原動機">'[2]算出根基３（減価償却費等）'!$C$14:$C$25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'[2]算出根基２（労働時間他）'!$T$5:$T$42</definedName>
    <definedName name="作業機械・規格">'[2]算出根基３（減価償却費等）'!$D$14:$D$25</definedName>
    <definedName name="作業名">①技術体系!$A$6:$A$25</definedName>
    <definedName name="作業名_4" localSheetId="2">#REF!</definedName>
    <definedName name="作業名_4">#REF!</definedName>
    <definedName name="作業名_7" localSheetId="2">#REF!</definedName>
    <definedName name="作業名_7">#REF!</definedName>
    <definedName name="作業名2">[2]前提条件!$A$23:$A$49</definedName>
    <definedName name="種苗費">科目設定!$D$2:$D$5</definedName>
    <definedName name="諸材料費">科目設定!$H$2:$H$8</definedName>
    <definedName name="植付本数">科目設定!$Y$2:$Y$4</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'[2]算出根基１（粗収益・物財費）'!$P$22:$P$28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45621"/>
</workbook>
</file>

<file path=xl/calcChain.xml><?xml version="1.0" encoding="utf-8"?>
<calcChain xmlns="http://schemas.openxmlformats.org/spreadsheetml/2006/main">
  <c r="I85" i="4" l="1"/>
  <c r="J85" i="4" s="1"/>
  <c r="Q7" i="3" l="1"/>
  <c r="R7" i="3"/>
  <c r="Q8" i="3"/>
  <c r="R8" i="3"/>
  <c r="Q9" i="3"/>
  <c r="R9" i="3"/>
  <c r="Q10" i="3"/>
  <c r="R10" i="3"/>
  <c r="Q11" i="3"/>
  <c r="R11" i="3"/>
  <c r="Q12" i="3"/>
  <c r="R12" i="3"/>
  <c r="Q13" i="3"/>
  <c r="R13" i="3"/>
  <c r="Q14" i="3"/>
  <c r="R14" i="3"/>
  <c r="Q15" i="3"/>
  <c r="R15" i="3"/>
  <c r="Q16" i="3"/>
  <c r="R16" i="3"/>
  <c r="Q17" i="3"/>
  <c r="R17" i="3"/>
  <c r="Q18" i="3"/>
  <c r="R18" i="3"/>
  <c r="Q19" i="3"/>
  <c r="R19" i="3"/>
  <c r="Q20" i="3"/>
  <c r="R20" i="3"/>
  <c r="Q21" i="3"/>
  <c r="R21" i="3"/>
  <c r="Q22" i="3"/>
  <c r="R22" i="3"/>
  <c r="Q23" i="3"/>
  <c r="R23" i="3"/>
  <c r="Q24" i="3"/>
  <c r="R24" i="3"/>
  <c r="Q25" i="3"/>
  <c r="R25" i="3"/>
  <c r="Q26" i="3"/>
  <c r="R26" i="3"/>
  <c r="Q27" i="3"/>
  <c r="R27" i="3"/>
  <c r="Q28" i="3"/>
  <c r="R28" i="3"/>
  <c r="Q29" i="3"/>
  <c r="R29" i="3"/>
  <c r="Q30" i="3"/>
  <c r="R30" i="3"/>
  <c r="Q31" i="3"/>
  <c r="R31" i="3"/>
  <c r="Q32" i="3"/>
  <c r="R32" i="3"/>
  <c r="Q33" i="3"/>
  <c r="R33" i="3"/>
  <c r="Q34" i="3"/>
  <c r="R34" i="3"/>
  <c r="Q35" i="3"/>
  <c r="R35" i="3"/>
  <c r="Q36" i="3"/>
  <c r="R36" i="3"/>
  <c r="Q37" i="3"/>
  <c r="R37" i="3"/>
  <c r="Q38" i="3"/>
  <c r="R38" i="3"/>
  <c r="Q39" i="3"/>
  <c r="R39" i="3"/>
  <c r="Q40" i="3"/>
  <c r="R40" i="3"/>
  <c r="Q41" i="3"/>
  <c r="R41" i="3"/>
  <c r="Q42" i="3"/>
  <c r="R42" i="3"/>
  <c r="Q43" i="3"/>
  <c r="R43" i="3"/>
  <c r="Q44" i="3"/>
  <c r="R44" i="3"/>
  <c r="Q45" i="3"/>
  <c r="R45" i="3"/>
  <c r="Q46" i="3"/>
  <c r="R46" i="3"/>
  <c r="Q47" i="3"/>
  <c r="R47" i="3"/>
  <c r="Q48" i="3"/>
  <c r="R48" i="3"/>
  <c r="Q49" i="3"/>
  <c r="R49" i="3"/>
  <c r="Q50" i="3"/>
  <c r="R50" i="3"/>
  <c r="Q51" i="3"/>
  <c r="R51" i="3"/>
  <c r="Q52" i="3"/>
  <c r="R52" i="3"/>
  <c r="Q53" i="3"/>
  <c r="R53" i="3"/>
  <c r="Q54" i="3"/>
  <c r="R54" i="3"/>
  <c r="Q55" i="3"/>
  <c r="R55" i="3"/>
  <c r="Q56" i="3"/>
  <c r="R56" i="3"/>
  <c r="Q57" i="3"/>
  <c r="R57" i="3"/>
  <c r="Q58" i="3"/>
  <c r="R58" i="3"/>
  <c r="Q59" i="3"/>
  <c r="R59" i="3"/>
  <c r="Q60" i="3"/>
  <c r="R60" i="3"/>
  <c r="Q61" i="3"/>
  <c r="R61" i="3"/>
  <c r="Q62" i="3"/>
  <c r="R62" i="3"/>
  <c r="Q63" i="3"/>
  <c r="R63" i="3"/>
  <c r="Q64" i="3"/>
  <c r="R64" i="3"/>
  <c r="Q65" i="3"/>
  <c r="R65" i="3"/>
  <c r="Q66" i="3"/>
  <c r="R66" i="3"/>
  <c r="Q67" i="3"/>
  <c r="R67" i="3"/>
  <c r="Q68" i="3"/>
  <c r="R68" i="3"/>
  <c r="Q69" i="3"/>
  <c r="R69" i="3"/>
  <c r="Q70" i="3"/>
  <c r="R70" i="3"/>
  <c r="Q71" i="3"/>
  <c r="R71" i="3"/>
  <c r="Q72" i="3"/>
  <c r="R72" i="3"/>
  <c r="Q73" i="3"/>
  <c r="R73" i="3"/>
  <c r="Q74" i="3"/>
  <c r="R74" i="3"/>
  <c r="Q75" i="3"/>
  <c r="R75" i="3"/>
  <c r="Q76" i="3"/>
  <c r="R76" i="3"/>
  <c r="Q77" i="3"/>
  <c r="R77" i="3"/>
  <c r="Q78" i="3"/>
  <c r="R78" i="3"/>
  <c r="Q79" i="3"/>
  <c r="R79" i="3"/>
  <c r="Q80" i="3"/>
  <c r="R80" i="3"/>
  <c r="Q81" i="3"/>
  <c r="R81" i="3"/>
  <c r="Q82" i="3"/>
  <c r="R82" i="3"/>
  <c r="Q83" i="3"/>
  <c r="R83" i="3"/>
  <c r="Q84" i="3"/>
  <c r="R84" i="3"/>
  <c r="Q85" i="3"/>
  <c r="R85" i="3"/>
  <c r="Q86" i="3"/>
  <c r="R86" i="3"/>
  <c r="Q87" i="3"/>
  <c r="R87" i="3"/>
  <c r="Q88" i="3"/>
  <c r="R88" i="3"/>
  <c r="Q89" i="3"/>
  <c r="R89" i="3"/>
  <c r="Q90" i="3"/>
  <c r="R90" i="3"/>
  <c r="Q91" i="3"/>
  <c r="R91" i="3"/>
  <c r="Q92" i="3"/>
  <c r="R92" i="3"/>
  <c r="Q93" i="3"/>
  <c r="R93" i="3"/>
  <c r="Q94" i="3"/>
  <c r="R94" i="3"/>
  <c r="Q95" i="3"/>
  <c r="R95" i="3"/>
  <c r="Q96" i="3"/>
  <c r="R96" i="3"/>
  <c r="Q97" i="3"/>
  <c r="R97" i="3"/>
  <c r="Q98" i="3"/>
  <c r="R98" i="3"/>
  <c r="Q99" i="3"/>
  <c r="R99" i="3"/>
  <c r="Q100" i="3"/>
  <c r="R100" i="3"/>
  <c r="Q101" i="3"/>
  <c r="R101" i="3"/>
  <c r="Q102" i="3"/>
  <c r="R102" i="3"/>
  <c r="Q103" i="3"/>
  <c r="R103" i="3"/>
  <c r="Q104" i="3"/>
  <c r="R104" i="3"/>
  <c r="Q105" i="3"/>
  <c r="R105" i="3"/>
  <c r="Q106" i="3"/>
  <c r="R106" i="3"/>
  <c r="Q107" i="3"/>
  <c r="R107" i="3"/>
  <c r="Q108" i="3"/>
  <c r="R108" i="3"/>
  <c r="Q109" i="3"/>
  <c r="R109" i="3"/>
  <c r="Q110" i="3"/>
  <c r="R110" i="3"/>
  <c r="Q111" i="3"/>
  <c r="R111" i="3"/>
  <c r="Q112" i="3"/>
  <c r="R112" i="3"/>
  <c r="Q113" i="3"/>
  <c r="R113" i="3"/>
  <c r="Q114" i="3"/>
  <c r="R114" i="3"/>
  <c r="Q115" i="3"/>
  <c r="R115" i="3"/>
  <c r="Q116" i="3"/>
  <c r="R116" i="3"/>
  <c r="Q117" i="3"/>
  <c r="R117" i="3"/>
  <c r="Q118" i="3"/>
  <c r="R118" i="3"/>
  <c r="Q119" i="3"/>
  <c r="R119" i="3"/>
  <c r="Q120" i="3"/>
  <c r="R120" i="3"/>
  <c r="Q121" i="3"/>
  <c r="R121" i="3"/>
  <c r="Q122" i="3"/>
  <c r="R122" i="3"/>
  <c r="Q123" i="3"/>
  <c r="R123" i="3"/>
  <c r="Q124" i="3"/>
  <c r="R124" i="3"/>
  <c r="Q125" i="3"/>
  <c r="R125" i="3"/>
  <c r="Q126" i="3"/>
  <c r="R126" i="3"/>
  <c r="Q127" i="3"/>
  <c r="R127" i="3"/>
  <c r="Q128" i="3"/>
  <c r="R128" i="3"/>
  <c r="Q129" i="3"/>
  <c r="R129" i="3"/>
  <c r="Q130" i="3"/>
  <c r="R130" i="3"/>
  <c r="Q131" i="3"/>
  <c r="R131" i="3"/>
  <c r="Q132" i="3"/>
  <c r="R132" i="3"/>
  <c r="Q133" i="3"/>
  <c r="R133" i="3"/>
  <c r="Q134" i="3"/>
  <c r="R134" i="3"/>
  <c r="Q135" i="3"/>
  <c r="R135" i="3"/>
  <c r="Q136" i="3"/>
  <c r="R136" i="3"/>
  <c r="Q137" i="3"/>
  <c r="R137" i="3"/>
  <c r="Q138" i="3"/>
  <c r="R138" i="3"/>
  <c r="Q139" i="3"/>
  <c r="R139" i="3"/>
  <c r="Q140" i="3"/>
  <c r="R140" i="3"/>
  <c r="Q141" i="3"/>
  <c r="R141" i="3"/>
  <c r="Q142" i="3"/>
  <c r="R142" i="3"/>
  <c r="Q143" i="3"/>
  <c r="R143" i="3"/>
  <c r="Q144" i="3"/>
  <c r="R144" i="3"/>
  <c r="Q145" i="3"/>
  <c r="R145" i="3"/>
  <c r="Q146" i="3"/>
  <c r="R146" i="3"/>
  <c r="Q147" i="3"/>
  <c r="R147" i="3"/>
  <c r="Q148" i="3"/>
  <c r="R148" i="3"/>
  <c r="Q149" i="3"/>
  <c r="R149" i="3"/>
  <c r="Q150" i="3"/>
  <c r="R150" i="3"/>
  <c r="Q151" i="3"/>
  <c r="R151" i="3"/>
  <c r="Q152" i="3"/>
  <c r="R152" i="3"/>
  <c r="Q153" i="3"/>
  <c r="R153" i="3"/>
  <c r="Q154" i="3"/>
  <c r="R154" i="3"/>
  <c r="Q155" i="3"/>
  <c r="R155" i="3"/>
  <c r="J61" i="4"/>
  <c r="C68" i="4"/>
  <c r="C67" i="4"/>
  <c r="C66" i="4"/>
  <c r="D66" i="4" s="1"/>
  <c r="V66" i="4"/>
  <c r="U66" i="4"/>
  <c r="T66" i="4"/>
  <c r="O66" i="4"/>
  <c r="J66" i="4" l="1"/>
  <c r="I66" i="4"/>
  <c r="I84" i="4" l="1"/>
  <c r="J84" i="4" s="1"/>
  <c r="I83" i="4"/>
  <c r="J83" i="4" s="1"/>
  <c r="J82" i="3" l="1"/>
  <c r="N82" i="3"/>
  <c r="J16" i="3" l="1"/>
  <c r="J99" i="3" l="1"/>
  <c r="J98" i="3"/>
  <c r="J97" i="3"/>
  <c r="J96" i="3"/>
  <c r="J95" i="3"/>
  <c r="J94" i="3"/>
  <c r="J93" i="3"/>
  <c r="J92" i="3"/>
  <c r="J91" i="3"/>
  <c r="J90" i="3"/>
  <c r="J89" i="3"/>
  <c r="J88" i="3"/>
  <c r="J87" i="3"/>
  <c r="J86" i="3"/>
  <c r="N99" i="3"/>
  <c r="N98" i="3"/>
  <c r="N96" i="3"/>
  <c r="N95" i="3"/>
  <c r="N93" i="3"/>
  <c r="N92" i="3"/>
  <c r="N90" i="3"/>
  <c r="N89" i="3"/>
  <c r="N87" i="3"/>
  <c r="N86" i="3"/>
  <c r="J34" i="3"/>
  <c r="N34" i="3"/>
  <c r="I36" i="4" l="1"/>
  <c r="J36" i="4" s="1"/>
  <c r="K13" i="2" l="1"/>
  <c r="K12" i="2" l="1"/>
  <c r="N12" i="2" s="1"/>
  <c r="O12" i="2" s="1"/>
  <c r="I82" i="4"/>
  <c r="J82" i="4" s="1"/>
  <c r="I13" i="4"/>
  <c r="J13" i="4"/>
  <c r="L12" i="2" l="1"/>
  <c r="P12" i="2"/>
  <c r="Q12" i="2" s="1"/>
  <c r="B9" i="5" l="1"/>
  <c r="I154" i="4" l="1"/>
  <c r="AN36" i="5" l="1"/>
  <c r="D40" i="5" s="1"/>
  <c r="AN35" i="5"/>
  <c r="G22" i="7"/>
  <c r="C6" i="19"/>
  <c r="V126" i="4"/>
  <c r="U126" i="4"/>
  <c r="T126" i="4"/>
  <c r="O126" i="4"/>
  <c r="J126" i="4"/>
  <c r="I126" i="4"/>
  <c r="J125" i="4"/>
  <c r="I125" i="4"/>
  <c r="V124" i="4"/>
  <c r="U124" i="4"/>
  <c r="T124" i="4"/>
  <c r="O124" i="4"/>
  <c r="J124" i="4"/>
  <c r="I124" i="4"/>
  <c r="V123" i="4"/>
  <c r="U123" i="4"/>
  <c r="T123" i="4"/>
  <c r="O123" i="4"/>
  <c r="V122" i="4"/>
  <c r="U122" i="4"/>
  <c r="T122" i="4"/>
  <c r="O122" i="4"/>
  <c r="R6" i="3"/>
  <c r="Q6" i="3"/>
  <c r="R5" i="3"/>
  <c r="Q5" i="3"/>
  <c r="M29" i="5" l="1"/>
  <c r="E29" i="5"/>
  <c r="AI29" i="5"/>
  <c r="AM30" i="5"/>
  <c r="F29" i="5"/>
  <c r="I29" i="5"/>
  <c r="K29" i="5"/>
  <c r="O29" i="5"/>
  <c r="W29" i="5"/>
  <c r="AE29" i="5"/>
  <c r="AM29" i="5"/>
  <c r="G30" i="5"/>
  <c r="O30" i="5"/>
  <c r="S30" i="5"/>
  <c r="W30" i="5"/>
  <c r="AA30" i="5"/>
  <c r="AE30" i="5"/>
  <c r="AI30" i="5"/>
  <c r="D29" i="5"/>
  <c r="H29" i="5"/>
  <c r="L29" i="5"/>
  <c r="P29" i="5"/>
  <c r="T29" i="5"/>
  <c r="X29" i="5"/>
  <c r="AB29" i="5"/>
  <c r="AF29" i="5"/>
  <c r="AJ29" i="5"/>
  <c r="D30" i="5"/>
  <c r="H30" i="5"/>
  <c r="L30" i="5"/>
  <c r="P30" i="5"/>
  <c r="T30" i="5"/>
  <c r="X30" i="5"/>
  <c r="AB30" i="5"/>
  <c r="AF30" i="5"/>
  <c r="AJ30" i="5"/>
  <c r="Q29" i="5"/>
  <c r="U29" i="5"/>
  <c r="Y29" i="5"/>
  <c r="AC29" i="5"/>
  <c r="AG29" i="5"/>
  <c r="AK29" i="5"/>
  <c r="E30" i="5"/>
  <c r="I30" i="5"/>
  <c r="M30" i="5"/>
  <c r="Q30" i="5"/>
  <c r="U30" i="5"/>
  <c r="Y30" i="5"/>
  <c r="AC30" i="5"/>
  <c r="AG30" i="5"/>
  <c r="AK30" i="5"/>
  <c r="J29" i="5"/>
  <c r="N29" i="5"/>
  <c r="R29" i="5"/>
  <c r="V29" i="5"/>
  <c r="Z29" i="5"/>
  <c r="AD29" i="5"/>
  <c r="AH29" i="5"/>
  <c r="AL29" i="5"/>
  <c r="F30" i="5"/>
  <c r="J30" i="5"/>
  <c r="N30" i="5"/>
  <c r="R30" i="5"/>
  <c r="V30" i="5"/>
  <c r="Z30" i="5"/>
  <c r="AD30" i="5"/>
  <c r="AH30" i="5"/>
  <c r="AL30" i="5"/>
  <c r="G29" i="5"/>
  <c r="S29" i="5"/>
  <c r="AA29" i="5"/>
  <c r="K30" i="5"/>
  <c r="G28" i="7"/>
  <c r="J169" i="4"/>
  <c r="J168" i="4"/>
  <c r="J167" i="4"/>
  <c r="J166" i="4"/>
  <c r="J165" i="4"/>
  <c r="J164" i="4"/>
  <c r="J163" i="4"/>
  <c r="J157" i="4"/>
  <c r="J156" i="4"/>
  <c r="J152" i="4"/>
  <c r="J151" i="4"/>
  <c r="J150" i="4"/>
  <c r="J149" i="4"/>
  <c r="J147" i="4"/>
  <c r="J146" i="4"/>
  <c r="J142" i="4"/>
  <c r="J141" i="4"/>
  <c r="J140" i="4"/>
  <c r="J139" i="4"/>
  <c r="J137" i="4"/>
  <c r="J136" i="4"/>
  <c r="J135" i="4"/>
  <c r="J134" i="4"/>
  <c r="J120" i="4"/>
  <c r="J119" i="4"/>
  <c r="J118" i="4"/>
  <c r="J117" i="4"/>
  <c r="J116" i="4"/>
  <c r="J114" i="4"/>
  <c r="J113" i="4"/>
  <c r="J112" i="4"/>
  <c r="J111" i="4"/>
  <c r="J109" i="4"/>
  <c r="J108" i="4"/>
  <c r="J107" i="4"/>
  <c r="J106" i="4"/>
  <c r="J105" i="4"/>
  <c r="J104" i="4"/>
  <c r="J102" i="4"/>
  <c r="J101" i="4"/>
  <c r="J100" i="4"/>
  <c r="J99" i="4"/>
  <c r="J98" i="4"/>
  <c r="J97" i="4"/>
  <c r="J96" i="4"/>
  <c r="J95" i="4"/>
  <c r="J94" i="4"/>
  <c r="J93" i="4"/>
  <c r="J92" i="4"/>
  <c r="J91" i="4"/>
  <c r="J90" i="4"/>
  <c r="J89" i="4"/>
  <c r="J88" i="4"/>
  <c r="J87" i="4"/>
  <c r="J86" i="4"/>
  <c r="J58" i="4"/>
  <c r="J57" i="4"/>
  <c r="J56" i="4"/>
  <c r="J55" i="4"/>
  <c r="J54" i="4"/>
  <c r="J53" i="4"/>
  <c r="J52" i="4"/>
  <c r="J51" i="4"/>
  <c r="J50" i="4"/>
  <c r="J49" i="4"/>
  <c r="J48" i="4"/>
  <c r="J47" i="4"/>
  <c r="J46" i="4"/>
  <c r="J45" i="4"/>
  <c r="J44" i="4"/>
  <c r="J43" i="4"/>
  <c r="J42" i="4"/>
  <c r="J41" i="4"/>
  <c r="J40" i="4"/>
  <c r="J39" i="4"/>
  <c r="J38" i="4"/>
  <c r="J37" i="4"/>
  <c r="J19" i="4"/>
  <c r="J18" i="4"/>
  <c r="J17" i="4"/>
  <c r="J16" i="4"/>
  <c r="J15" i="4"/>
  <c r="J14" i="4"/>
  <c r="J8" i="4"/>
  <c r="J7" i="4"/>
  <c r="J5" i="4"/>
  <c r="J4" i="4"/>
  <c r="I137" i="4"/>
  <c r="I136" i="4"/>
  <c r="I135" i="4"/>
  <c r="I134" i="4"/>
  <c r="I133" i="4"/>
  <c r="J133" i="4" s="1"/>
  <c r="I132" i="4"/>
  <c r="J132" i="4" s="1"/>
  <c r="I131" i="4"/>
  <c r="J131" i="4" s="1"/>
  <c r="I129" i="4"/>
  <c r="J129" i="4" s="1"/>
  <c r="I128" i="4"/>
  <c r="J128" i="4" s="1"/>
  <c r="F21" i="21"/>
  <c r="E21" i="21"/>
  <c r="D20" i="21"/>
  <c r="I160" i="4"/>
  <c r="J160" i="4" s="1"/>
  <c r="I161" i="4"/>
  <c r="J161" i="4" s="1"/>
  <c r="I162" i="4"/>
  <c r="J162" i="4" s="1"/>
  <c r="I163" i="4"/>
  <c r="I164" i="4"/>
  <c r="I165" i="4"/>
  <c r="I166" i="4"/>
  <c r="I167" i="4"/>
  <c r="I168" i="4"/>
  <c r="I169" i="4"/>
  <c r="I159" i="4"/>
  <c r="J159" i="4" s="1"/>
  <c r="J138" i="4" l="1"/>
  <c r="J143" i="4"/>
  <c r="J110" i="4"/>
  <c r="J153" i="4"/>
  <c r="J115" i="4"/>
  <c r="J121" i="4"/>
  <c r="I157" i="4"/>
  <c r="I156" i="4"/>
  <c r="I155" i="4"/>
  <c r="J155" i="4" s="1"/>
  <c r="J154" i="4"/>
  <c r="I152" i="4"/>
  <c r="I151" i="4"/>
  <c r="I150" i="4"/>
  <c r="I149" i="4"/>
  <c r="I147" i="4"/>
  <c r="I146" i="4"/>
  <c r="I145" i="4"/>
  <c r="J145" i="4" s="1"/>
  <c r="I144" i="4"/>
  <c r="J144" i="4" s="1"/>
  <c r="I142" i="4"/>
  <c r="I141" i="4"/>
  <c r="I140" i="4"/>
  <c r="I139" i="4"/>
  <c r="I120" i="4"/>
  <c r="I119" i="4"/>
  <c r="I118" i="4"/>
  <c r="I117" i="4"/>
  <c r="I116" i="4"/>
  <c r="I114" i="4"/>
  <c r="I113" i="4"/>
  <c r="I112" i="4"/>
  <c r="I111" i="4"/>
  <c r="I109" i="4"/>
  <c r="I108" i="4"/>
  <c r="I107" i="4"/>
  <c r="I106" i="4"/>
  <c r="I105" i="4"/>
  <c r="I104" i="4"/>
  <c r="I102" i="4"/>
  <c r="I101" i="4"/>
  <c r="I100" i="4"/>
  <c r="I99" i="4"/>
  <c r="I98" i="4"/>
  <c r="I97" i="4"/>
  <c r="I96" i="4"/>
  <c r="I95" i="4"/>
  <c r="I94" i="4"/>
  <c r="I93" i="4"/>
  <c r="I92" i="4"/>
  <c r="I91" i="4"/>
  <c r="I90" i="4"/>
  <c r="I89" i="4"/>
  <c r="I88" i="4"/>
  <c r="I87" i="4"/>
  <c r="I86" i="4"/>
  <c r="I81" i="4"/>
  <c r="J81" i="4" s="1"/>
  <c r="I80" i="4"/>
  <c r="J80" i="4" s="1"/>
  <c r="I79" i="4"/>
  <c r="J79" i="4" s="1"/>
  <c r="I78" i="4"/>
  <c r="J78" i="4" s="1"/>
  <c r="I77" i="4"/>
  <c r="J77" i="4" s="1"/>
  <c r="I76" i="4"/>
  <c r="J76" i="4" s="1"/>
  <c r="I75" i="4"/>
  <c r="J75" i="4" s="1"/>
  <c r="I74" i="4"/>
  <c r="J74" i="4" s="1"/>
  <c r="I73" i="4"/>
  <c r="J73" i="4" s="1"/>
  <c r="I72" i="4"/>
  <c r="J72" i="4" s="1"/>
  <c r="I71" i="4"/>
  <c r="J71" i="4" s="1"/>
  <c r="I70" i="4"/>
  <c r="J70" i="4" s="1"/>
  <c r="I58" i="4"/>
  <c r="I57" i="4"/>
  <c r="I56" i="4"/>
  <c r="I55" i="4"/>
  <c r="I54" i="4"/>
  <c r="I53" i="4"/>
  <c r="I52" i="4"/>
  <c r="I51" i="4"/>
  <c r="I50" i="4"/>
  <c r="I49" i="4"/>
  <c r="I48" i="4"/>
  <c r="I47" i="4"/>
  <c r="I46" i="4"/>
  <c r="I45" i="4"/>
  <c r="I44" i="4"/>
  <c r="I43" i="4"/>
  <c r="I42" i="4"/>
  <c r="I41" i="4"/>
  <c r="I40" i="4"/>
  <c r="I39" i="4"/>
  <c r="I38" i="4"/>
  <c r="I37" i="4"/>
  <c r="I34" i="4"/>
  <c r="J34" i="4" s="1"/>
  <c r="I33" i="4"/>
  <c r="J33" i="4" s="1"/>
  <c r="I32" i="4"/>
  <c r="J32" i="4" s="1"/>
  <c r="I31" i="4"/>
  <c r="J31" i="4" s="1"/>
  <c r="I30" i="4"/>
  <c r="J30" i="4" s="1"/>
  <c r="I29" i="4"/>
  <c r="J29" i="4" s="1"/>
  <c r="I28" i="4"/>
  <c r="J28" i="4" s="1"/>
  <c r="I27" i="4"/>
  <c r="J27" i="4" s="1"/>
  <c r="I26" i="4"/>
  <c r="J26" i="4" s="1"/>
  <c r="I25" i="4"/>
  <c r="J25" i="4" s="1"/>
  <c r="I24" i="4"/>
  <c r="J24" i="4" s="1"/>
  <c r="I23" i="4"/>
  <c r="J23" i="4" s="1"/>
  <c r="I22" i="4"/>
  <c r="J22" i="4" s="1"/>
  <c r="I21" i="4"/>
  <c r="J21" i="4" s="1"/>
  <c r="I19" i="4"/>
  <c r="I18" i="4"/>
  <c r="I17" i="4"/>
  <c r="I16" i="4"/>
  <c r="I15" i="4"/>
  <c r="I14" i="4"/>
  <c r="I12" i="4"/>
  <c r="J12" i="4" s="1"/>
  <c r="I11" i="4"/>
  <c r="J11" i="4" s="1"/>
  <c r="I10" i="4"/>
  <c r="J10" i="4" s="1"/>
  <c r="I4" i="4"/>
  <c r="I5" i="4"/>
  <c r="I7" i="4"/>
  <c r="I8" i="4"/>
  <c r="I3" i="4"/>
  <c r="J3" i="4" s="1"/>
  <c r="J9" i="4" s="1"/>
  <c r="B23" i="5"/>
  <c r="B24" i="5"/>
  <c r="B25" i="5"/>
  <c r="B26" i="5"/>
  <c r="B27" i="5"/>
  <c r="B28" i="5"/>
  <c r="J158" i="4" l="1"/>
  <c r="J148" i="4"/>
  <c r="E32" i="7" s="1"/>
  <c r="J59" i="4"/>
  <c r="J103" i="4"/>
  <c r="J20" i="4"/>
  <c r="G27" i="7"/>
  <c r="G26" i="7"/>
  <c r="J170" i="4"/>
  <c r="E35" i="7" s="1"/>
  <c r="V157" i="4"/>
  <c r="U157" i="4"/>
  <c r="T157" i="4"/>
  <c r="O157" i="4"/>
  <c r="V155" i="4"/>
  <c r="U155" i="4"/>
  <c r="T155" i="4"/>
  <c r="O155" i="4"/>
  <c r="V154" i="4"/>
  <c r="U154" i="4"/>
  <c r="T154" i="4"/>
  <c r="O154" i="4"/>
  <c r="E34" i="7"/>
  <c r="V152" i="4"/>
  <c r="U152" i="4"/>
  <c r="T152" i="4"/>
  <c r="O152" i="4"/>
  <c r="V150" i="4"/>
  <c r="U150" i="4"/>
  <c r="T150" i="4"/>
  <c r="O150" i="4"/>
  <c r="V149" i="4"/>
  <c r="U149" i="4"/>
  <c r="T149" i="4"/>
  <c r="O149" i="4"/>
  <c r="E33" i="7"/>
  <c r="V147" i="4"/>
  <c r="U147" i="4"/>
  <c r="T147" i="4"/>
  <c r="O147" i="4"/>
  <c r="V145" i="4"/>
  <c r="U145" i="4"/>
  <c r="T145" i="4"/>
  <c r="O145" i="4"/>
  <c r="V144" i="4"/>
  <c r="U144" i="4"/>
  <c r="T144" i="4"/>
  <c r="O144" i="4"/>
  <c r="V142" i="4"/>
  <c r="U142" i="4"/>
  <c r="T142" i="4"/>
  <c r="O142" i="4"/>
  <c r="V140" i="4"/>
  <c r="U140" i="4"/>
  <c r="T140" i="4"/>
  <c r="O140" i="4"/>
  <c r="V139" i="4"/>
  <c r="U139" i="4"/>
  <c r="T139" i="4"/>
  <c r="O139" i="4"/>
  <c r="E31" i="7"/>
  <c r="V114" i="4"/>
  <c r="U114" i="4"/>
  <c r="T114" i="4"/>
  <c r="O114" i="4"/>
  <c r="V112" i="4"/>
  <c r="U112" i="4"/>
  <c r="T112" i="4"/>
  <c r="O112" i="4"/>
  <c r="V111" i="4"/>
  <c r="U111" i="4"/>
  <c r="T111" i="4"/>
  <c r="O111" i="4"/>
  <c r="G25" i="7"/>
  <c r="G24" i="7"/>
  <c r="G20" i="21"/>
  <c r="E5" i="7"/>
  <c r="B21" i="21"/>
  <c r="B22" i="5"/>
  <c r="B21" i="5"/>
  <c r="B20" i="5"/>
  <c r="B19" i="5"/>
  <c r="B18" i="5"/>
  <c r="B17" i="5"/>
  <c r="B16" i="5"/>
  <c r="B15" i="5"/>
  <c r="B14" i="5"/>
  <c r="B13" i="5"/>
  <c r="B12" i="5"/>
  <c r="B11" i="5"/>
  <c r="B10" i="5"/>
  <c r="C13" i="19" l="1"/>
  <c r="E4" i="7"/>
  <c r="E13" i="7"/>
  <c r="C11" i="19" l="1"/>
  <c r="C5" i="19"/>
  <c r="C4" i="19"/>
  <c r="E27" i="7"/>
  <c r="E26" i="7"/>
  <c r="E25" i="7"/>
  <c r="E24" i="7"/>
  <c r="D8" i="21" l="1"/>
  <c r="D9" i="21"/>
  <c r="G9" i="21" s="1"/>
  <c r="D10" i="21"/>
  <c r="G10" i="21" s="1"/>
  <c r="D11" i="21"/>
  <c r="G11" i="21" s="1"/>
  <c r="D12" i="21"/>
  <c r="G12" i="21" s="1"/>
  <c r="D13" i="21"/>
  <c r="G13" i="21" s="1"/>
  <c r="D19" i="21"/>
  <c r="G19" i="21" s="1"/>
  <c r="D18" i="21"/>
  <c r="G18" i="21" s="1"/>
  <c r="D17" i="21"/>
  <c r="G17" i="21" s="1"/>
  <c r="D16" i="21"/>
  <c r="G16" i="21" s="1"/>
  <c r="D15" i="21"/>
  <c r="G15" i="21" s="1"/>
  <c r="D14" i="21"/>
  <c r="G14" i="21" s="1"/>
  <c r="C33" i="5"/>
  <c r="D68" i="4"/>
  <c r="J68" i="4" s="1"/>
  <c r="C61" i="4"/>
  <c r="C62" i="4"/>
  <c r="C63" i="4"/>
  <c r="D63" i="4" s="1"/>
  <c r="J63" i="4" s="1"/>
  <c r="C64" i="4"/>
  <c r="D64" i="4" s="1"/>
  <c r="J64" i="4" s="1"/>
  <c r="C65" i="4"/>
  <c r="D65" i="4" s="1"/>
  <c r="J65" i="4" s="1"/>
  <c r="C60" i="4"/>
  <c r="N5" i="3"/>
  <c r="N6" i="3"/>
  <c r="N8" i="3"/>
  <c r="N10" i="3"/>
  <c r="N11" i="3"/>
  <c r="N12" i="3"/>
  <c r="N13" i="3"/>
  <c r="N14" i="3"/>
  <c r="N15" i="3"/>
  <c r="N18" i="3"/>
  <c r="N19" i="3"/>
  <c r="N20" i="3"/>
  <c r="N21" i="3"/>
  <c r="N22" i="3"/>
  <c r="N23" i="3"/>
  <c r="N24" i="3"/>
  <c r="N25" i="3"/>
  <c r="N26" i="3"/>
  <c r="N27" i="3"/>
  <c r="N28" i="3"/>
  <c r="N29" i="3"/>
  <c r="N30" i="3"/>
  <c r="N31" i="3"/>
  <c r="N32" i="3"/>
  <c r="N35" i="3"/>
  <c r="N36" i="3"/>
  <c r="N37" i="3"/>
  <c r="N38" i="3"/>
  <c r="N39" i="3"/>
  <c r="N40" i="3"/>
  <c r="N41" i="3"/>
  <c r="N42" i="3"/>
  <c r="N43" i="3"/>
  <c r="N44" i="3"/>
  <c r="N45" i="3"/>
  <c r="N46" i="3"/>
  <c r="N47" i="3"/>
  <c r="N48" i="3"/>
  <c r="N49" i="3"/>
  <c r="N50" i="3"/>
  <c r="N51" i="3"/>
  <c r="N52" i="3"/>
  <c r="N54" i="3"/>
  <c r="N55" i="3"/>
  <c r="N56" i="3"/>
  <c r="N57" i="3"/>
  <c r="N58" i="3"/>
  <c r="N59" i="3"/>
  <c r="N60" i="3"/>
  <c r="N61" i="3"/>
  <c r="N62" i="3"/>
  <c r="N63" i="3"/>
  <c r="N64" i="3"/>
  <c r="N65" i="3"/>
  <c r="N66" i="3"/>
  <c r="N67" i="3"/>
  <c r="N68" i="3"/>
  <c r="N69" i="3"/>
  <c r="N70" i="3"/>
  <c r="N72" i="3"/>
  <c r="N73" i="3"/>
  <c r="N74" i="3"/>
  <c r="N75" i="3"/>
  <c r="N76" i="3"/>
  <c r="N77" i="3"/>
  <c r="N78" i="3"/>
  <c r="N79" i="3"/>
  <c r="N80" i="3"/>
  <c r="N81" i="3"/>
  <c r="N84" i="3"/>
  <c r="N85" i="3"/>
  <c r="N88" i="3"/>
  <c r="N91" i="3"/>
  <c r="N94" i="3"/>
  <c r="N97" i="3"/>
  <c r="N100" i="3"/>
  <c r="N102" i="3"/>
  <c r="N103" i="3"/>
  <c r="N104" i="3"/>
  <c r="N105" i="3"/>
  <c r="N106" i="3"/>
  <c r="N107" i="3"/>
  <c r="N108" i="3"/>
  <c r="N109" i="3"/>
  <c r="N110" i="3"/>
  <c r="N111" i="3"/>
  <c r="N112" i="3"/>
  <c r="N113" i="3"/>
  <c r="N114" i="3"/>
  <c r="N115" i="3"/>
  <c r="N116" i="3"/>
  <c r="N117" i="3"/>
  <c r="N119" i="3"/>
  <c r="N120" i="3"/>
  <c r="N121" i="3"/>
  <c r="N122" i="3"/>
  <c r="N123" i="3"/>
  <c r="N124" i="3"/>
  <c r="N125" i="3"/>
  <c r="N126" i="3"/>
  <c r="N127" i="3"/>
  <c r="N128" i="3"/>
  <c r="N129" i="3"/>
  <c r="N130" i="3"/>
  <c r="N132" i="3"/>
  <c r="N133" i="3"/>
  <c r="N134" i="3"/>
  <c r="N135" i="3"/>
  <c r="N136" i="3"/>
  <c r="N137" i="3"/>
  <c r="N138" i="3"/>
  <c r="N139" i="3"/>
  <c r="N140" i="3"/>
  <c r="N141" i="3"/>
  <c r="N142" i="3"/>
  <c r="N143" i="3"/>
  <c r="N145" i="3"/>
  <c r="N146" i="3"/>
  <c r="N147" i="3"/>
  <c r="N148" i="3"/>
  <c r="N149" i="3"/>
  <c r="N150" i="3"/>
  <c r="N151" i="3"/>
  <c r="N152" i="3"/>
  <c r="N153" i="3"/>
  <c r="N154" i="3"/>
  <c r="N155" i="3"/>
  <c r="J5" i="3"/>
  <c r="J6" i="3"/>
  <c r="J8" i="3"/>
  <c r="J10" i="3"/>
  <c r="J11" i="3"/>
  <c r="J12" i="3"/>
  <c r="J13" i="3"/>
  <c r="J14" i="3"/>
  <c r="J15" i="3"/>
  <c r="J18" i="3"/>
  <c r="J19" i="3"/>
  <c r="J20" i="3"/>
  <c r="J21" i="3"/>
  <c r="J22" i="3"/>
  <c r="J23" i="3"/>
  <c r="J24" i="3"/>
  <c r="J25" i="3"/>
  <c r="J26" i="3"/>
  <c r="J27" i="3"/>
  <c r="J28" i="3"/>
  <c r="J29" i="3"/>
  <c r="J30" i="3"/>
  <c r="J31" i="3"/>
  <c r="J32" i="3"/>
  <c r="J35" i="3"/>
  <c r="J36" i="3"/>
  <c r="J37" i="3"/>
  <c r="J38" i="3"/>
  <c r="J39" i="3"/>
  <c r="J40" i="3"/>
  <c r="J41" i="3"/>
  <c r="J42" i="3"/>
  <c r="J43" i="3"/>
  <c r="J44" i="3"/>
  <c r="J45" i="3"/>
  <c r="J46" i="3"/>
  <c r="J47" i="3"/>
  <c r="J48" i="3"/>
  <c r="J49" i="3"/>
  <c r="J50" i="3"/>
  <c r="J51" i="3"/>
  <c r="J52" i="3"/>
  <c r="J54" i="3"/>
  <c r="J55" i="3"/>
  <c r="J56" i="3"/>
  <c r="J57" i="3"/>
  <c r="J58" i="3"/>
  <c r="J59" i="3"/>
  <c r="J60" i="3"/>
  <c r="J61" i="3"/>
  <c r="J62" i="3"/>
  <c r="J63" i="3"/>
  <c r="J64" i="3"/>
  <c r="J65" i="3"/>
  <c r="J66" i="3"/>
  <c r="J67" i="3"/>
  <c r="J68" i="3"/>
  <c r="J69" i="3"/>
  <c r="J70" i="3"/>
  <c r="J72" i="3"/>
  <c r="J73" i="3"/>
  <c r="J74" i="3"/>
  <c r="J75" i="3"/>
  <c r="J76" i="3"/>
  <c r="J77" i="3"/>
  <c r="J78" i="3"/>
  <c r="J79" i="3"/>
  <c r="J80" i="3"/>
  <c r="J81" i="3"/>
  <c r="J84" i="3"/>
  <c r="J85" i="3"/>
  <c r="J100" i="3"/>
  <c r="J102" i="3"/>
  <c r="J103" i="3"/>
  <c r="J104" i="3"/>
  <c r="J105" i="3"/>
  <c r="J106" i="3"/>
  <c r="J107" i="3"/>
  <c r="J108" i="3"/>
  <c r="J109" i="3"/>
  <c r="J110" i="3"/>
  <c r="J111" i="3"/>
  <c r="J112" i="3"/>
  <c r="J113" i="3"/>
  <c r="J114" i="3"/>
  <c r="J115" i="3"/>
  <c r="J116" i="3"/>
  <c r="J117" i="3"/>
  <c r="J119" i="3"/>
  <c r="J120" i="3"/>
  <c r="J121" i="3"/>
  <c r="J122" i="3"/>
  <c r="J123" i="3"/>
  <c r="J124" i="3"/>
  <c r="J125" i="3"/>
  <c r="J126" i="3"/>
  <c r="J127" i="3"/>
  <c r="J128" i="3"/>
  <c r="J129" i="3"/>
  <c r="J130" i="3"/>
  <c r="J132" i="3"/>
  <c r="J133" i="3"/>
  <c r="J134" i="3"/>
  <c r="J135" i="3"/>
  <c r="J136" i="3"/>
  <c r="J137" i="3"/>
  <c r="J138" i="3"/>
  <c r="J139" i="3"/>
  <c r="J140" i="3"/>
  <c r="J141" i="3"/>
  <c r="J142" i="3"/>
  <c r="J143" i="3"/>
  <c r="J145" i="3"/>
  <c r="J146" i="3"/>
  <c r="J147" i="3"/>
  <c r="J148" i="3"/>
  <c r="J149" i="3"/>
  <c r="J150" i="3"/>
  <c r="J151" i="3"/>
  <c r="J152" i="3"/>
  <c r="J153" i="3"/>
  <c r="J154" i="3"/>
  <c r="J155" i="3"/>
  <c r="E7" i="7"/>
  <c r="C16" i="19" s="1"/>
  <c r="E8" i="7"/>
  <c r="C17" i="19" s="1"/>
  <c r="AM9" i="5" l="1"/>
  <c r="F9" i="5"/>
  <c r="AE9" i="5"/>
  <c r="W9" i="5"/>
  <c r="O9" i="5"/>
  <c r="G9" i="5"/>
  <c r="AH9" i="5"/>
  <c r="Z9" i="5"/>
  <c r="R9" i="5"/>
  <c r="J9" i="5"/>
  <c r="Y9" i="5"/>
  <c r="I9" i="5"/>
  <c r="AB9" i="5"/>
  <c r="AK9" i="5"/>
  <c r="AC9" i="5"/>
  <c r="U9" i="5"/>
  <c r="M9" i="5"/>
  <c r="E9" i="5"/>
  <c r="AF9" i="5"/>
  <c r="X9" i="5"/>
  <c r="P9" i="5"/>
  <c r="H9" i="5"/>
  <c r="Q9" i="5"/>
  <c r="T9" i="5"/>
  <c r="AI9" i="5"/>
  <c r="AA9" i="5"/>
  <c r="S9" i="5"/>
  <c r="K9" i="5"/>
  <c r="AL9" i="5"/>
  <c r="AD9" i="5"/>
  <c r="V9" i="5"/>
  <c r="N9" i="5"/>
  <c r="AG9" i="5"/>
  <c r="AJ9" i="5"/>
  <c r="L9" i="5"/>
  <c r="G8" i="21"/>
  <c r="G21" i="21" s="1"/>
  <c r="D21" i="21"/>
  <c r="I65" i="4"/>
  <c r="I63" i="4"/>
  <c r="I61" i="4"/>
  <c r="I60" i="4"/>
  <c r="J60" i="4" s="1"/>
  <c r="J67" i="4" s="1"/>
  <c r="I64" i="4"/>
  <c r="I62" i="4"/>
  <c r="J62" i="4" s="1"/>
  <c r="I68" i="4"/>
  <c r="K14" i="2"/>
  <c r="L14" i="2" s="1"/>
  <c r="L13" i="2"/>
  <c r="K11" i="2"/>
  <c r="L11" i="2" s="1"/>
  <c r="K10" i="2"/>
  <c r="L10" i="2" s="1"/>
  <c r="K20" i="2"/>
  <c r="N20" i="2" s="1"/>
  <c r="K19" i="2"/>
  <c r="N19" i="2" s="1"/>
  <c r="O19" i="2" s="1"/>
  <c r="J69" i="4" l="1"/>
  <c r="C21" i="21"/>
  <c r="C12" i="19" s="1"/>
  <c r="C14" i="19" s="1"/>
  <c r="E3" i="7"/>
  <c r="E6" i="7" s="1"/>
  <c r="L19" i="2"/>
  <c r="N11" i="2"/>
  <c r="O11" i="2" s="1"/>
  <c r="N13" i="2"/>
  <c r="O13" i="2" s="1"/>
  <c r="N10" i="2"/>
  <c r="O10" i="2" s="1"/>
  <c r="N14" i="2"/>
  <c r="O14" i="2" s="1"/>
  <c r="O20" i="2"/>
  <c r="P20" i="2" s="1"/>
  <c r="Q20" i="2" s="1"/>
  <c r="L20" i="2"/>
  <c r="P19" i="2"/>
  <c r="Q19" i="2" s="1"/>
  <c r="K9" i="2"/>
  <c r="K7" i="2"/>
  <c r="P14" i="2" l="1"/>
  <c r="Q14" i="2" s="1"/>
  <c r="P10" i="2"/>
  <c r="Q10" i="2" s="1"/>
  <c r="P11" i="2"/>
  <c r="Q11" i="2" s="1"/>
  <c r="P13" i="2"/>
  <c r="Q13" i="2" s="1"/>
  <c r="A1" i="3" l="1"/>
  <c r="AN30" i="5" l="1"/>
  <c r="D123" i="4" s="1"/>
  <c r="I123" i="4" s="1"/>
  <c r="J123" i="4" s="1"/>
  <c r="E1" i="2"/>
  <c r="O120" i="4"/>
  <c r="O118" i="4"/>
  <c r="O117" i="4"/>
  <c r="O116" i="4"/>
  <c r="O109" i="4"/>
  <c r="O108" i="4"/>
  <c r="O107" i="4"/>
  <c r="O106" i="4"/>
  <c r="O105" i="4"/>
  <c r="O104" i="4"/>
  <c r="O137" i="4"/>
  <c r="O136" i="4"/>
  <c r="O135" i="4"/>
  <c r="O134" i="4"/>
  <c r="O102" i="4"/>
  <c r="O101" i="4"/>
  <c r="O100" i="4"/>
  <c r="O99" i="4"/>
  <c r="O98" i="4"/>
  <c r="O97" i="4"/>
  <c r="O96" i="4"/>
  <c r="O95" i="4"/>
  <c r="O94" i="4"/>
  <c r="O93" i="4"/>
  <c r="O92" i="4"/>
  <c r="O91" i="4"/>
  <c r="O90" i="4"/>
  <c r="O89" i="4"/>
  <c r="O88" i="4"/>
  <c r="O87" i="4"/>
  <c r="O86" i="4"/>
  <c r="O85" i="4"/>
  <c r="O83" i="4"/>
  <c r="O68" i="4"/>
  <c r="O65" i="4"/>
  <c r="O64" i="4"/>
  <c r="O58" i="4"/>
  <c r="O57" i="4"/>
  <c r="K5" i="2"/>
  <c r="N5" i="2" s="1"/>
  <c r="N9" i="2"/>
  <c r="K21" i="2"/>
  <c r="N21" i="2" s="1"/>
  <c r="O21" i="2" s="1"/>
  <c r="P21" i="2" s="1"/>
  <c r="Q21" i="2" s="1"/>
  <c r="R21" i="2" s="1"/>
  <c r="S21" i="2" s="1"/>
  <c r="K22" i="2"/>
  <c r="N22" i="2" s="1"/>
  <c r="O22" i="2" s="1"/>
  <c r="P22" i="2" s="1"/>
  <c r="Q22" i="2" s="1"/>
  <c r="R22" i="2" s="1"/>
  <c r="S22" i="2" s="1"/>
  <c r="K23" i="2"/>
  <c r="N23" i="2" s="1"/>
  <c r="K24" i="2"/>
  <c r="N24" i="2" s="1"/>
  <c r="O24" i="2" s="1"/>
  <c r="P24" i="2" s="1"/>
  <c r="Q24" i="2" s="1"/>
  <c r="R24" i="2" s="1"/>
  <c r="S24" i="2" s="1"/>
  <c r="K6" i="2"/>
  <c r="N6" i="2" s="1"/>
  <c r="O6" i="2" s="1"/>
  <c r="P6" i="2" s="1"/>
  <c r="Q6" i="2" s="1"/>
  <c r="R6" i="2" s="1"/>
  <c r="S6" i="2" s="1"/>
  <c r="Q7" i="2"/>
  <c r="R7" i="2" s="1"/>
  <c r="S7" i="2" s="1"/>
  <c r="Q15" i="2"/>
  <c r="R15" i="2" s="1"/>
  <c r="S15" i="2" s="1"/>
  <c r="Q16" i="2"/>
  <c r="R16" i="2" s="1"/>
  <c r="S16" i="2" s="1"/>
  <c r="Q17" i="2"/>
  <c r="R17" i="2" s="1"/>
  <c r="S17" i="2" s="1"/>
  <c r="Q25" i="2"/>
  <c r="R25" i="2" s="1"/>
  <c r="S25" i="2" s="1"/>
  <c r="Q28" i="2"/>
  <c r="R28" i="2" s="1"/>
  <c r="Q27" i="2"/>
  <c r="R27" i="2" s="1"/>
  <c r="K28" i="2"/>
  <c r="K27" i="2"/>
  <c r="K25" i="2"/>
  <c r="N25" i="2" s="1"/>
  <c r="K15" i="2"/>
  <c r="N15" i="2" s="1"/>
  <c r="O15" i="2" s="1"/>
  <c r="P15" i="2" s="1"/>
  <c r="K16" i="2"/>
  <c r="N16" i="2" s="1"/>
  <c r="O16" i="2" s="1"/>
  <c r="K17" i="2"/>
  <c r="N17" i="2" s="1"/>
  <c r="O17" i="2" s="1"/>
  <c r="P17" i="2" s="1"/>
  <c r="N7" i="2"/>
  <c r="H1" i="7"/>
  <c r="G30" i="7"/>
  <c r="D1" i="3"/>
  <c r="W1" i="4"/>
  <c r="T57" i="4"/>
  <c r="U57" i="4"/>
  <c r="V57" i="4"/>
  <c r="T58" i="4"/>
  <c r="U58" i="4"/>
  <c r="V58" i="4"/>
  <c r="T64" i="4"/>
  <c r="U64" i="4"/>
  <c r="V64" i="4"/>
  <c r="T65" i="4"/>
  <c r="U65" i="4"/>
  <c r="V65" i="4"/>
  <c r="T68" i="4"/>
  <c r="U68" i="4"/>
  <c r="V68" i="4"/>
  <c r="T83" i="4"/>
  <c r="U83" i="4"/>
  <c r="V83" i="4"/>
  <c r="T85" i="4"/>
  <c r="U85" i="4"/>
  <c r="V85" i="4"/>
  <c r="T86" i="4"/>
  <c r="U86" i="4"/>
  <c r="V86" i="4"/>
  <c r="T87" i="4"/>
  <c r="U87" i="4"/>
  <c r="V87" i="4"/>
  <c r="T88" i="4"/>
  <c r="U88" i="4"/>
  <c r="V88" i="4"/>
  <c r="T89" i="4"/>
  <c r="U89" i="4"/>
  <c r="V89" i="4"/>
  <c r="T90" i="4"/>
  <c r="U90" i="4"/>
  <c r="V90" i="4"/>
  <c r="T91" i="4"/>
  <c r="U91" i="4"/>
  <c r="V91" i="4"/>
  <c r="T92" i="4"/>
  <c r="U92" i="4"/>
  <c r="V92" i="4"/>
  <c r="T93" i="4"/>
  <c r="U93" i="4"/>
  <c r="V93" i="4"/>
  <c r="T94" i="4"/>
  <c r="U94" i="4"/>
  <c r="V94" i="4"/>
  <c r="T95" i="4"/>
  <c r="U95" i="4"/>
  <c r="V95" i="4"/>
  <c r="T96" i="4"/>
  <c r="U96" i="4"/>
  <c r="V96" i="4"/>
  <c r="T97" i="4"/>
  <c r="U97" i="4"/>
  <c r="V97" i="4"/>
  <c r="T98" i="4"/>
  <c r="U98" i="4"/>
  <c r="V98" i="4"/>
  <c r="T99" i="4"/>
  <c r="U99" i="4"/>
  <c r="V99" i="4"/>
  <c r="T100" i="4"/>
  <c r="U100" i="4"/>
  <c r="V100" i="4"/>
  <c r="T101" i="4"/>
  <c r="U101" i="4"/>
  <c r="V101" i="4"/>
  <c r="T102" i="4"/>
  <c r="U102" i="4"/>
  <c r="V102" i="4"/>
  <c r="T134" i="4"/>
  <c r="U134" i="4"/>
  <c r="V134" i="4"/>
  <c r="T135" i="4"/>
  <c r="U135" i="4"/>
  <c r="V135" i="4"/>
  <c r="T136" i="4"/>
  <c r="U136" i="4"/>
  <c r="V136" i="4"/>
  <c r="T137" i="4"/>
  <c r="U137" i="4"/>
  <c r="V137" i="4"/>
  <c r="T104" i="4"/>
  <c r="U104" i="4"/>
  <c r="V104" i="4"/>
  <c r="T105" i="4"/>
  <c r="U105" i="4"/>
  <c r="V105" i="4"/>
  <c r="T106" i="4"/>
  <c r="U106" i="4"/>
  <c r="V106" i="4"/>
  <c r="T107" i="4"/>
  <c r="U107" i="4"/>
  <c r="V107" i="4"/>
  <c r="T108" i="4"/>
  <c r="U108" i="4"/>
  <c r="V108" i="4"/>
  <c r="T109" i="4"/>
  <c r="U109" i="4"/>
  <c r="V109" i="4"/>
  <c r="T116" i="4"/>
  <c r="U116" i="4"/>
  <c r="V116" i="4"/>
  <c r="T117" i="4"/>
  <c r="U117" i="4"/>
  <c r="V117" i="4"/>
  <c r="T118" i="4"/>
  <c r="U118" i="4"/>
  <c r="V118" i="4"/>
  <c r="T120" i="4"/>
  <c r="U120" i="4"/>
  <c r="V120" i="4"/>
  <c r="Q1" i="2"/>
  <c r="L7" i="2"/>
  <c r="L9" i="2"/>
  <c r="L16" i="2"/>
  <c r="N35" i="2"/>
  <c r="O35" i="2" s="1"/>
  <c r="N38" i="2"/>
  <c r="O38" i="2" s="1"/>
  <c r="L6" i="2" l="1"/>
  <c r="L24" i="2"/>
  <c r="N27" i="2"/>
  <c r="O27" i="2" s="1"/>
  <c r="P27" i="2" s="1"/>
  <c r="N28" i="2"/>
  <c r="O28" i="2" s="1"/>
  <c r="E12" i="7"/>
  <c r="C24" i="19" s="1"/>
  <c r="E14" i="7"/>
  <c r="C22" i="19" s="1"/>
  <c r="E28" i="7"/>
  <c r="E11" i="7"/>
  <c r="C20" i="19" s="1"/>
  <c r="E10" i="7"/>
  <c r="C19" i="19" s="1"/>
  <c r="E9" i="7"/>
  <c r="C18" i="19" s="1"/>
  <c r="L17" i="2"/>
  <c r="L23" i="2"/>
  <c r="L5" i="2"/>
  <c r="L8" i="2" s="1"/>
  <c r="L21" i="2"/>
  <c r="L22" i="2"/>
  <c r="L15" i="2"/>
  <c r="L27" i="2"/>
  <c r="R14" i="2"/>
  <c r="S14" i="2" s="1"/>
  <c r="R10" i="2"/>
  <c r="S10" i="2" s="1"/>
  <c r="R12" i="2"/>
  <c r="S12" i="2" s="1"/>
  <c r="R13" i="2"/>
  <c r="S13" i="2" s="1"/>
  <c r="R11" i="2"/>
  <c r="S11" i="2" s="1"/>
  <c r="K18" i="2"/>
  <c r="N8" i="2"/>
  <c r="R20" i="2"/>
  <c r="S20" i="2" s="1"/>
  <c r="R19" i="2"/>
  <c r="S19" i="2" s="1"/>
  <c r="Q29" i="2"/>
  <c r="O5" i="2"/>
  <c r="P5" i="2" s="1"/>
  <c r="Q5" i="2" s="1"/>
  <c r="R5" i="2" s="1"/>
  <c r="S5" i="2" s="1"/>
  <c r="S8" i="2" s="1"/>
  <c r="K8" i="2"/>
  <c r="N26" i="2"/>
  <c r="N18" i="2"/>
  <c r="R29" i="2"/>
  <c r="O9" i="2"/>
  <c r="P9" i="2" s="1"/>
  <c r="Q9" i="2" s="1"/>
  <c r="R9" i="2" s="1"/>
  <c r="S9" i="2" s="1"/>
  <c r="O7" i="2"/>
  <c r="P7" i="2" s="1"/>
  <c r="O25" i="2"/>
  <c r="P25" i="2" s="1"/>
  <c r="L28" i="2"/>
  <c r="K26" i="2"/>
  <c r="L25" i="2"/>
  <c r="P16" i="2"/>
  <c r="O23" i="2"/>
  <c r="P23" i="2" s="1"/>
  <c r="Q23" i="2" s="1"/>
  <c r="R23" i="2" s="1"/>
  <c r="S23" i="2" s="1"/>
  <c r="F2" i="7"/>
  <c r="L18" i="2" l="1"/>
  <c r="N29" i="2"/>
  <c r="O29" i="2"/>
  <c r="P28" i="2"/>
  <c r="P29" i="2" s="1"/>
  <c r="H29" i="2" s="1"/>
  <c r="F34" i="7"/>
  <c r="F5" i="7"/>
  <c r="E21" i="7"/>
  <c r="F21" i="7" s="1"/>
  <c r="E15" i="7"/>
  <c r="C21" i="19"/>
  <c r="F35" i="7"/>
  <c r="L29" i="2"/>
  <c r="R37" i="2"/>
  <c r="N30" i="2"/>
  <c r="P8" i="2"/>
  <c r="Q8" i="2"/>
  <c r="K30" i="2"/>
  <c r="L26" i="2"/>
  <c r="F3" i="7"/>
  <c r="F32" i="7"/>
  <c r="R8" i="2"/>
  <c r="O8" i="2"/>
  <c r="F33" i="7"/>
  <c r="F31" i="7"/>
  <c r="O18" i="2"/>
  <c r="O34" i="2" s="1"/>
  <c r="O36" i="2" s="1"/>
  <c r="O37" i="2" s="1"/>
  <c r="O39" i="2" s="1"/>
  <c r="O26" i="2"/>
  <c r="E29" i="7"/>
  <c r="C23" i="19" s="1"/>
  <c r="F25" i="7"/>
  <c r="F28" i="7"/>
  <c r="F7" i="7"/>
  <c r="F12" i="7"/>
  <c r="F14" i="7"/>
  <c r="F8" i="7"/>
  <c r="F24" i="7"/>
  <c r="F27" i="7"/>
  <c r="F13" i="7"/>
  <c r="F9" i="7"/>
  <c r="F11" i="7"/>
  <c r="L30" i="2" l="1"/>
  <c r="L31" i="2" s="1"/>
  <c r="E18" i="7"/>
  <c r="F18" i="7" s="1"/>
  <c r="R34" i="2"/>
  <c r="F4" i="7"/>
  <c r="F6" i="7" s="1"/>
  <c r="F26" i="7"/>
  <c r="F29" i="7" s="1"/>
  <c r="P26" i="2"/>
  <c r="O30" i="2"/>
  <c r="L34" i="2" s="1"/>
  <c r="L36" i="2" s="1"/>
  <c r="L37" i="2" s="1"/>
  <c r="L39" i="2" s="1"/>
  <c r="E30" i="7" s="1"/>
  <c r="E36" i="7" s="1"/>
  <c r="N34" i="2"/>
  <c r="N36" i="2" s="1"/>
  <c r="N37" i="2" s="1"/>
  <c r="N39" i="2" s="1"/>
  <c r="P18" i="2"/>
  <c r="AN29" i="5" l="1"/>
  <c r="D122" i="4" s="1"/>
  <c r="I122" i="4" s="1"/>
  <c r="J122" i="4" s="1"/>
  <c r="J127" i="4" s="1"/>
  <c r="E22" i="7" s="1"/>
  <c r="AE10" i="5"/>
  <c r="AI10" i="5"/>
  <c r="AM10" i="5"/>
  <c r="AH11" i="5"/>
  <c r="AL11" i="5"/>
  <c r="AG12" i="5"/>
  <c r="AK12" i="5"/>
  <c r="AF13" i="5"/>
  <c r="AJ13" i="5"/>
  <c r="AE14" i="5"/>
  <c r="AI14" i="5"/>
  <c r="AM14" i="5"/>
  <c r="AH15" i="5"/>
  <c r="AL15" i="5"/>
  <c r="AG16" i="5"/>
  <c r="AK16" i="5"/>
  <c r="AF17" i="5"/>
  <c r="AJ17" i="5"/>
  <c r="AE18" i="5"/>
  <c r="AI18" i="5"/>
  <c r="AM18" i="5"/>
  <c r="AH19" i="5"/>
  <c r="AL19" i="5"/>
  <c r="AG20" i="5"/>
  <c r="AK20" i="5"/>
  <c r="AF21" i="5"/>
  <c r="AJ21" i="5"/>
  <c r="AE22" i="5"/>
  <c r="AI22" i="5"/>
  <c r="AM22" i="5"/>
  <c r="AH23" i="5"/>
  <c r="AL23" i="5"/>
  <c r="AG24" i="5"/>
  <c r="AK24" i="5"/>
  <c r="AF25" i="5"/>
  <c r="AJ25" i="5"/>
  <c r="AE26" i="5"/>
  <c r="AI26" i="5"/>
  <c r="AM26" i="5"/>
  <c r="AH27" i="5"/>
  <c r="AL27" i="5"/>
  <c r="AG28" i="5"/>
  <c r="AK28" i="5"/>
  <c r="AG10" i="5"/>
  <c r="AK10" i="5"/>
  <c r="AF11" i="5"/>
  <c r="AJ11" i="5"/>
  <c r="AE12" i="5"/>
  <c r="AI12" i="5"/>
  <c r="AM12" i="5"/>
  <c r="AH13" i="5"/>
  <c r="AL13" i="5"/>
  <c r="AG14" i="5"/>
  <c r="AK14" i="5"/>
  <c r="AF15" i="5"/>
  <c r="AJ15" i="5"/>
  <c r="AE16" i="5"/>
  <c r="AI16" i="5"/>
  <c r="AM16" i="5"/>
  <c r="AH17" i="5"/>
  <c r="AL17" i="5"/>
  <c r="AG18" i="5"/>
  <c r="AK18" i="5"/>
  <c r="AF19" i="5"/>
  <c r="AJ19" i="5"/>
  <c r="AE20" i="5"/>
  <c r="AI20" i="5"/>
  <c r="AM20" i="5"/>
  <c r="AH21" i="5"/>
  <c r="AL21" i="5"/>
  <c r="AG22" i="5"/>
  <c r="AK22" i="5"/>
  <c r="AF23" i="5"/>
  <c r="AJ23" i="5"/>
  <c r="AE24" i="5"/>
  <c r="AI24" i="5"/>
  <c r="AM24" i="5"/>
  <c r="AH25" i="5"/>
  <c r="AL25" i="5"/>
  <c r="AG26" i="5"/>
  <c r="AK26" i="5"/>
  <c r="AF27" i="5"/>
  <c r="AJ27" i="5"/>
  <c r="AE28" i="5"/>
  <c r="AI28" i="5"/>
  <c r="AM28" i="5"/>
  <c r="S10" i="5"/>
  <c r="W10" i="5"/>
  <c r="AA10" i="5"/>
  <c r="S11" i="5"/>
  <c r="W11" i="5"/>
  <c r="AA11" i="5"/>
  <c r="S12" i="5"/>
  <c r="W12" i="5"/>
  <c r="AA12" i="5"/>
  <c r="S13" i="5"/>
  <c r="W13" i="5"/>
  <c r="AA13" i="5"/>
  <c r="S14" i="5"/>
  <c r="W14" i="5"/>
  <c r="AA14" i="5"/>
  <c r="S15" i="5"/>
  <c r="W15" i="5"/>
  <c r="AA15" i="5"/>
  <c r="S16" i="5"/>
  <c r="W16" i="5"/>
  <c r="AA16" i="5"/>
  <c r="S17" i="5"/>
  <c r="W17" i="5"/>
  <c r="AA17" i="5"/>
  <c r="S18" i="5"/>
  <c r="W18" i="5"/>
  <c r="AA18" i="5"/>
  <c r="S19" i="5"/>
  <c r="W19" i="5"/>
  <c r="AA19" i="5"/>
  <c r="S20" i="5"/>
  <c r="W20" i="5"/>
  <c r="AA20" i="5"/>
  <c r="S21" i="5"/>
  <c r="W21" i="5"/>
  <c r="AA21" i="5"/>
  <c r="S22" i="5"/>
  <c r="W22" i="5"/>
  <c r="AA22" i="5"/>
  <c r="S23" i="5"/>
  <c r="W23" i="5"/>
  <c r="AA23" i="5"/>
  <c r="S24" i="5"/>
  <c r="W24" i="5"/>
  <c r="AA24" i="5"/>
  <c r="S25" i="5"/>
  <c r="W25" i="5"/>
  <c r="AA25" i="5"/>
  <c r="S26" i="5"/>
  <c r="D9" i="5"/>
  <c r="AH10" i="5"/>
  <c r="AL10" i="5"/>
  <c r="AG11" i="5"/>
  <c r="AK11" i="5"/>
  <c r="AF12" i="5"/>
  <c r="AJ12" i="5"/>
  <c r="AE13" i="5"/>
  <c r="AI13" i="5"/>
  <c r="AM13" i="5"/>
  <c r="AH14" i="5"/>
  <c r="AL14" i="5"/>
  <c r="AG15" i="5"/>
  <c r="AK15" i="5"/>
  <c r="AF16" i="5"/>
  <c r="AJ16" i="5"/>
  <c r="AE17" i="5"/>
  <c r="AI17" i="5"/>
  <c r="AM17" i="5"/>
  <c r="AH18" i="5"/>
  <c r="AL18" i="5"/>
  <c r="AG19" i="5"/>
  <c r="AK19" i="5"/>
  <c r="AF20" i="5"/>
  <c r="AJ20" i="5"/>
  <c r="AE21" i="5"/>
  <c r="AI21" i="5"/>
  <c r="AM21" i="5"/>
  <c r="AH22" i="5"/>
  <c r="AL22" i="5"/>
  <c r="AG23" i="5"/>
  <c r="AK23" i="5"/>
  <c r="AF24" i="5"/>
  <c r="AJ24" i="5"/>
  <c r="AE25" i="5"/>
  <c r="AI25" i="5"/>
  <c r="AM25" i="5"/>
  <c r="AH26" i="5"/>
  <c r="AL26" i="5"/>
  <c r="AG27" i="5"/>
  <c r="AK27" i="5"/>
  <c r="AF28" i="5"/>
  <c r="AJ28" i="5"/>
  <c r="U10" i="5"/>
  <c r="Y10" i="5"/>
  <c r="AC10" i="5"/>
  <c r="U11" i="5"/>
  <c r="Y11" i="5"/>
  <c r="AC11" i="5"/>
  <c r="U12" i="5"/>
  <c r="Y12" i="5"/>
  <c r="AC12" i="5"/>
  <c r="U13" i="5"/>
  <c r="Y13" i="5"/>
  <c r="AC13" i="5"/>
  <c r="U14" i="5"/>
  <c r="Y14" i="5"/>
  <c r="AC14" i="5"/>
  <c r="U15" i="5"/>
  <c r="Y15" i="5"/>
  <c r="AC15" i="5"/>
  <c r="U16" i="5"/>
  <c r="Y16" i="5"/>
  <c r="AC16" i="5"/>
  <c r="U17" i="5"/>
  <c r="Y17" i="5"/>
  <c r="AC17" i="5"/>
  <c r="U18" i="5"/>
  <c r="Y18" i="5"/>
  <c r="AC18" i="5"/>
  <c r="U19" i="5"/>
  <c r="Y19" i="5"/>
  <c r="AC19" i="5"/>
  <c r="U20" i="5"/>
  <c r="Y20" i="5"/>
  <c r="AC20" i="5"/>
  <c r="U21" i="5"/>
  <c r="Y21" i="5"/>
  <c r="AC21" i="5"/>
  <c r="U22" i="5"/>
  <c r="Y22" i="5"/>
  <c r="AC22" i="5"/>
  <c r="U23" i="5"/>
  <c r="Y23" i="5"/>
  <c r="AC23" i="5"/>
  <c r="U24" i="5"/>
  <c r="Y24" i="5"/>
  <c r="AC24" i="5"/>
  <c r="U25" i="5"/>
  <c r="Y25" i="5"/>
  <c r="AC25" i="5"/>
  <c r="U26" i="5"/>
  <c r="AF10" i="5"/>
  <c r="AJ10" i="5"/>
  <c r="AE11" i="5"/>
  <c r="AI11" i="5"/>
  <c r="AM11" i="5"/>
  <c r="AH12" i="5"/>
  <c r="AL12" i="5"/>
  <c r="AG13" i="5"/>
  <c r="AK13" i="5"/>
  <c r="AF14" i="5"/>
  <c r="AJ14" i="5"/>
  <c r="AE15" i="5"/>
  <c r="AI15" i="5"/>
  <c r="AM15" i="5"/>
  <c r="AH16" i="5"/>
  <c r="AL16" i="5"/>
  <c r="AG17" i="5"/>
  <c r="AK17" i="5"/>
  <c r="AF18" i="5"/>
  <c r="AJ18" i="5"/>
  <c r="AE19" i="5"/>
  <c r="AI19" i="5"/>
  <c r="AM19" i="5"/>
  <c r="AH20" i="5"/>
  <c r="AL20" i="5"/>
  <c r="AG21" i="5"/>
  <c r="AK21" i="5"/>
  <c r="AF22" i="5"/>
  <c r="AJ22" i="5"/>
  <c r="AE23" i="5"/>
  <c r="AI23" i="5"/>
  <c r="AM23" i="5"/>
  <c r="AH24" i="5"/>
  <c r="AL24" i="5"/>
  <c r="AG25" i="5"/>
  <c r="AK25" i="5"/>
  <c r="AF26" i="5"/>
  <c r="AJ26" i="5"/>
  <c r="AE27" i="5"/>
  <c r="AI27" i="5"/>
  <c r="AM27" i="5"/>
  <c r="AH28" i="5"/>
  <c r="AL28" i="5"/>
  <c r="T10" i="5"/>
  <c r="X10" i="5"/>
  <c r="AB10" i="5"/>
  <c r="T11" i="5"/>
  <c r="X11" i="5"/>
  <c r="AB11" i="5"/>
  <c r="T12" i="5"/>
  <c r="X12" i="5"/>
  <c r="AB12" i="5"/>
  <c r="T13" i="5"/>
  <c r="X13" i="5"/>
  <c r="AB13" i="5"/>
  <c r="T14" i="5"/>
  <c r="X14" i="5"/>
  <c r="AB14" i="5"/>
  <c r="T15" i="5"/>
  <c r="X15" i="5"/>
  <c r="AB15" i="5"/>
  <c r="T16" i="5"/>
  <c r="X16" i="5"/>
  <c r="AB16" i="5"/>
  <c r="T17" i="5"/>
  <c r="X17" i="5"/>
  <c r="AB17" i="5"/>
  <c r="T18" i="5"/>
  <c r="X18" i="5"/>
  <c r="AB18" i="5"/>
  <c r="T19" i="5"/>
  <c r="X19" i="5"/>
  <c r="AB19" i="5"/>
  <c r="T20" i="5"/>
  <c r="X20" i="5"/>
  <c r="AB20" i="5"/>
  <c r="T21" i="5"/>
  <c r="X21" i="5"/>
  <c r="AB21" i="5"/>
  <c r="T22" i="5"/>
  <c r="X22" i="5"/>
  <c r="AB22" i="5"/>
  <c r="T23" i="5"/>
  <c r="X23" i="5"/>
  <c r="AB23" i="5"/>
  <c r="T24" i="5"/>
  <c r="X24" i="5"/>
  <c r="AB24" i="5"/>
  <c r="T25" i="5"/>
  <c r="X25" i="5"/>
  <c r="AB25" i="5"/>
  <c r="W26" i="5"/>
  <c r="AA26" i="5"/>
  <c r="S27" i="5"/>
  <c r="W27" i="5"/>
  <c r="AA27" i="5"/>
  <c r="S28" i="5"/>
  <c r="W28" i="5"/>
  <c r="AA28" i="5"/>
  <c r="V10" i="5"/>
  <c r="Z10" i="5"/>
  <c r="AD10" i="5"/>
  <c r="V11" i="5"/>
  <c r="Z11" i="5"/>
  <c r="AD11" i="5"/>
  <c r="V12" i="5"/>
  <c r="Z12" i="5"/>
  <c r="AD12" i="5"/>
  <c r="V13" i="5"/>
  <c r="Z13" i="5"/>
  <c r="AD13" i="5"/>
  <c r="V14" i="5"/>
  <c r="Z14" i="5"/>
  <c r="AD14" i="5"/>
  <c r="V15" i="5"/>
  <c r="Z15" i="5"/>
  <c r="AD15" i="5"/>
  <c r="V16" i="5"/>
  <c r="Z16" i="5"/>
  <c r="AD16" i="5"/>
  <c r="V17" i="5"/>
  <c r="Z17" i="5"/>
  <c r="AD17" i="5"/>
  <c r="V18" i="5"/>
  <c r="Z18" i="5"/>
  <c r="AD18" i="5"/>
  <c r="V19" i="5"/>
  <c r="Z19" i="5"/>
  <c r="AD19" i="5"/>
  <c r="V20" i="5"/>
  <c r="Z20" i="5"/>
  <c r="AD20" i="5"/>
  <c r="V21" i="5"/>
  <c r="Z21" i="5"/>
  <c r="AD21" i="5"/>
  <c r="V22" i="5"/>
  <c r="Z22" i="5"/>
  <c r="AD22" i="5"/>
  <c r="V23" i="5"/>
  <c r="Z23" i="5"/>
  <c r="AD23" i="5"/>
  <c r="V24" i="5"/>
  <c r="Z24" i="5"/>
  <c r="AD24" i="5"/>
  <c r="V25" i="5"/>
  <c r="Z25" i="5"/>
  <c r="T26" i="5"/>
  <c r="Y26" i="5"/>
  <c r="AC26" i="5"/>
  <c r="U27" i="5"/>
  <c r="Y27" i="5"/>
  <c r="AC27" i="5"/>
  <c r="U28" i="5"/>
  <c r="Y28" i="5"/>
  <c r="AC28" i="5"/>
  <c r="N10" i="5"/>
  <c r="R10" i="5"/>
  <c r="P11" i="5"/>
  <c r="N12" i="5"/>
  <c r="R12" i="5"/>
  <c r="P13" i="5"/>
  <c r="N14" i="5"/>
  <c r="R14" i="5"/>
  <c r="P15" i="5"/>
  <c r="N16" i="5"/>
  <c r="R16" i="5"/>
  <c r="P17" i="5"/>
  <c r="N18" i="5"/>
  <c r="R18" i="5"/>
  <c r="P19" i="5"/>
  <c r="N20" i="5"/>
  <c r="R20" i="5"/>
  <c r="P21" i="5"/>
  <c r="N22" i="5"/>
  <c r="R22" i="5"/>
  <c r="P23" i="5"/>
  <c r="N24" i="5"/>
  <c r="R24" i="5"/>
  <c r="P25" i="5"/>
  <c r="N26" i="5"/>
  <c r="R26" i="5"/>
  <c r="P27" i="5"/>
  <c r="N28" i="5"/>
  <c r="R28" i="5"/>
  <c r="G10" i="5"/>
  <c r="K10" i="5"/>
  <c r="G11" i="5"/>
  <c r="K11" i="5"/>
  <c r="G12" i="5"/>
  <c r="K12" i="5"/>
  <c r="G13" i="5"/>
  <c r="K13" i="5"/>
  <c r="G14" i="5"/>
  <c r="K14" i="5"/>
  <c r="G15" i="5"/>
  <c r="K15" i="5"/>
  <c r="G16" i="5"/>
  <c r="K16" i="5"/>
  <c r="G17" i="5"/>
  <c r="K17" i="5"/>
  <c r="G18" i="5"/>
  <c r="K18" i="5"/>
  <c r="G19" i="5"/>
  <c r="K19" i="5"/>
  <c r="G20" i="5"/>
  <c r="K20" i="5"/>
  <c r="G21" i="5"/>
  <c r="K21" i="5"/>
  <c r="G22" i="5"/>
  <c r="K22" i="5"/>
  <c r="G23" i="5"/>
  <c r="K23" i="5"/>
  <c r="G24" i="5"/>
  <c r="K24" i="5"/>
  <c r="G25" i="5"/>
  <c r="K25" i="5"/>
  <c r="G26" i="5"/>
  <c r="K26" i="5"/>
  <c r="G27" i="5"/>
  <c r="K27" i="5"/>
  <c r="G28" i="5"/>
  <c r="K28" i="5"/>
  <c r="AD25" i="5"/>
  <c r="X26" i="5"/>
  <c r="AB26" i="5"/>
  <c r="T27" i="5"/>
  <c r="X27" i="5"/>
  <c r="AB27" i="5"/>
  <c r="T28" i="5"/>
  <c r="X28" i="5"/>
  <c r="AB28" i="5"/>
  <c r="M10" i="5"/>
  <c r="Q10" i="5"/>
  <c r="O11" i="5"/>
  <c r="M12" i="5"/>
  <c r="Q12" i="5"/>
  <c r="O13" i="5"/>
  <c r="M14" i="5"/>
  <c r="Q14" i="5"/>
  <c r="O15" i="5"/>
  <c r="M16" i="5"/>
  <c r="Q16" i="5"/>
  <c r="O17" i="5"/>
  <c r="M18" i="5"/>
  <c r="Q18" i="5"/>
  <c r="O19" i="5"/>
  <c r="M20" i="5"/>
  <c r="Q20" i="5"/>
  <c r="O21" i="5"/>
  <c r="M22" i="5"/>
  <c r="Q22" i="5"/>
  <c r="O23" i="5"/>
  <c r="M24" i="5"/>
  <c r="Q24" i="5"/>
  <c r="O25" i="5"/>
  <c r="M26" i="5"/>
  <c r="Q26" i="5"/>
  <c r="O27" i="5"/>
  <c r="M28" i="5"/>
  <c r="Q28" i="5"/>
  <c r="P10" i="5"/>
  <c r="N11" i="5"/>
  <c r="R11" i="5"/>
  <c r="P12" i="5"/>
  <c r="N13" i="5"/>
  <c r="R13" i="5"/>
  <c r="P14" i="5"/>
  <c r="N15" i="5"/>
  <c r="R15" i="5"/>
  <c r="P16" i="5"/>
  <c r="N17" i="5"/>
  <c r="R17" i="5"/>
  <c r="P18" i="5"/>
  <c r="N19" i="5"/>
  <c r="R19" i="5"/>
  <c r="P20" i="5"/>
  <c r="N21" i="5"/>
  <c r="R21" i="5"/>
  <c r="P22" i="5"/>
  <c r="N23" i="5"/>
  <c r="R23" i="5"/>
  <c r="P24" i="5"/>
  <c r="N25" i="5"/>
  <c r="R25" i="5"/>
  <c r="P26" i="5"/>
  <c r="N27" i="5"/>
  <c r="R27" i="5"/>
  <c r="P28" i="5"/>
  <c r="E10" i="5"/>
  <c r="I10" i="5"/>
  <c r="E11" i="5"/>
  <c r="I11" i="5"/>
  <c r="E12" i="5"/>
  <c r="I12" i="5"/>
  <c r="E13" i="5"/>
  <c r="I13" i="5"/>
  <c r="E14" i="5"/>
  <c r="I14" i="5"/>
  <c r="E15" i="5"/>
  <c r="I15" i="5"/>
  <c r="E16" i="5"/>
  <c r="I16" i="5"/>
  <c r="E17" i="5"/>
  <c r="I17" i="5"/>
  <c r="E18" i="5"/>
  <c r="I18" i="5"/>
  <c r="E19" i="5"/>
  <c r="I19" i="5"/>
  <c r="E20" i="5"/>
  <c r="I20" i="5"/>
  <c r="E21" i="5"/>
  <c r="I21" i="5"/>
  <c r="E22" i="5"/>
  <c r="I22" i="5"/>
  <c r="E23" i="5"/>
  <c r="I23" i="5"/>
  <c r="E24" i="5"/>
  <c r="I24" i="5"/>
  <c r="E25" i="5"/>
  <c r="I25" i="5"/>
  <c r="E26" i="5"/>
  <c r="I26" i="5"/>
  <c r="E27" i="5"/>
  <c r="I27" i="5"/>
  <c r="E28" i="5"/>
  <c r="I28" i="5"/>
  <c r="V26" i="5"/>
  <c r="Z26" i="5"/>
  <c r="AD26" i="5"/>
  <c r="V27" i="5"/>
  <c r="Z27" i="5"/>
  <c r="AD27" i="5"/>
  <c r="V28" i="5"/>
  <c r="Z28" i="5"/>
  <c r="AD28" i="5"/>
  <c r="O10" i="5"/>
  <c r="M11" i="5"/>
  <c r="Q11" i="5"/>
  <c r="O12" i="5"/>
  <c r="M13" i="5"/>
  <c r="Q13" i="5"/>
  <c r="O14" i="5"/>
  <c r="M15" i="5"/>
  <c r="Q15" i="5"/>
  <c r="O16" i="5"/>
  <c r="M17" i="5"/>
  <c r="Q17" i="5"/>
  <c r="O18" i="5"/>
  <c r="M19" i="5"/>
  <c r="Q19" i="5"/>
  <c r="O20" i="5"/>
  <c r="M21" i="5"/>
  <c r="Q21" i="5"/>
  <c r="O22" i="5"/>
  <c r="M23" i="5"/>
  <c r="Q23" i="5"/>
  <c r="O24" i="5"/>
  <c r="M25" i="5"/>
  <c r="Q25" i="5"/>
  <c r="O26" i="5"/>
  <c r="M27" i="5"/>
  <c r="Q27" i="5"/>
  <c r="O28" i="5"/>
  <c r="H10" i="5"/>
  <c r="L10" i="5"/>
  <c r="H11" i="5"/>
  <c r="L11" i="5"/>
  <c r="H12" i="5"/>
  <c r="L12" i="5"/>
  <c r="H13" i="5"/>
  <c r="L13" i="5"/>
  <c r="H14" i="5"/>
  <c r="L14" i="5"/>
  <c r="H15" i="5"/>
  <c r="L15" i="5"/>
  <c r="H16" i="5"/>
  <c r="L16" i="5"/>
  <c r="H17" i="5"/>
  <c r="L17" i="5"/>
  <c r="H18" i="5"/>
  <c r="L18" i="5"/>
  <c r="H19" i="5"/>
  <c r="L19" i="5"/>
  <c r="H20" i="5"/>
  <c r="L20" i="5"/>
  <c r="H21" i="5"/>
  <c r="L21" i="5"/>
  <c r="H22" i="5"/>
  <c r="L22" i="5"/>
  <c r="H23" i="5"/>
  <c r="L23" i="5"/>
  <c r="H24" i="5"/>
  <c r="L24" i="5"/>
  <c r="H25" i="5"/>
  <c r="L25" i="5"/>
  <c r="H26" i="5"/>
  <c r="L26" i="5"/>
  <c r="H27" i="5"/>
  <c r="L27" i="5"/>
  <c r="H28" i="5"/>
  <c r="L28" i="5"/>
  <c r="D24" i="5"/>
  <c r="D28" i="5"/>
  <c r="D10" i="5"/>
  <c r="D14" i="5"/>
  <c r="D18" i="5"/>
  <c r="D22" i="5"/>
  <c r="D25" i="5"/>
  <c r="D11" i="5"/>
  <c r="D15" i="5"/>
  <c r="D21" i="5"/>
  <c r="D13" i="5"/>
  <c r="F10" i="5"/>
  <c r="J10" i="5"/>
  <c r="F11" i="5"/>
  <c r="J11" i="5"/>
  <c r="F12" i="5"/>
  <c r="J12" i="5"/>
  <c r="F13" i="5"/>
  <c r="J13" i="5"/>
  <c r="F14" i="5"/>
  <c r="J14" i="5"/>
  <c r="F15" i="5"/>
  <c r="J15" i="5"/>
  <c r="F16" i="5"/>
  <c r="J16" i="5"/>
  <c r="F17" i="5"/>
  <c r="J17" i="5"/>
  <c r="F18" i="5"/>
  <c r="J18" i="5"/>
  <c r="F19" i="5"/>
  <c r="J19" i="5"/>
  <c r="F20" i="5"/>
  <c r="J20" i="5"/>
  <c r="F21" i="5"/>
  <c r="J21" i="5"/>
  <c r="F22" i="5"/>
  <c r="J22" i="5"/>
  <c r="F23" i="5"/>
  <c r="J23" i="5"/>
  <c r="F24" i="5"/>
  <c r="J24" i="5"/>
  <c r="F25" i="5"/>
  <c r="J25" i="5"/>
  <c r="F26" i="5"/>
  <c r="J26" i="5"/>
  <c r="F27" i="5"/>
  <c r="J27" i="5"/>
  <c r="F28" i="5"/>
  <c r="J28" i="5"/>
  <c r="D26" i="5"/>
  <c r="D12" i="5"/>
  <c r="D16" i="5"/>
  <c r="D20" i="5"/>
  <c r="D19" i="5"/>
  <c r="D23" i="5"/>
  <c r="D27" i="5"/>
  <c r="D17" i="5"/>
  <c r="P31" i="2"/>
  <c r="P30" i="2"/>
  <c r="Q18" i="2"/>
  <c r="R35" i="2" s="1"/>
  <c r="Q26" i="2"/>
  <c r="S31" i="5" l="1"/>
  <c r="S34" i="5" s="1"/>
  <c r="S37" i="5" s="1"/>
  <c r="L31" i="5"/>
  <c r="L34" i="5" s="1"/>
  <c r="L37" i="5" s="1"/>
  <c r="I31" i="5"/>
  <c r="I34" i="5" s="1"/>
  <c r="I37" i="5" s="1"/>
  <c r="G31" i="5"/>
  <c r="G34" i="5" s="1"/>
  <c r="G37" i="5" s="1"/>
  <c r="K31" i="5"/>
  <c r="K34" i="5" s="1"/>
  <c r="K37" i="5" s="1"/>
  <c r="P31" i="5"/>
  <c r="P34" i="5" s="1"/>
  <c r="P37" i="5" s="1"/>
  <c r="H31" i="5"/>
  <c r="H34" i="5" s="1"/>
  <c r="H37" i="5" s="1"/>
  <c r="E31" i="5"/>
  <c r="E34" i="5" s="1"/>
  <c r="E37" i="5" s="1"/>
  <c r="AN17" i="5"/>
  <c r="AN23" i="5"/>
  <c r="AN19" i="5"/>
  <c r="AN16" i="5"/>
  <c r="N31" i="5"/>
  <c r="N34" i="5" s="1"/>
  <c r="N37" i="5" s="1"/>
  <c r="AA31" i="5"/>
  <c r="AA34" i="5" s="1"/>
  <c r="AA37" i="5" s="1"/>
  <c r="Y31" i="5"/>
  <c r="Y34" i="5" s="1"/>
  <c r="Y37" i="5" s="1"/>
  <c r="AN12" i="5"/>
  <c r="R31" i="5"/>
  <c r="R34" i="5" s="1"/>
  <c r="R37" i="5" s="1"/>
  <c r="W31" i="5"/>
  <c r="W34" i="5" s="1"/>
  <c r="W37" i="5" s="1"/>
  <c r="U31" i="5"/>
  <c r="U34" i="5" s="1"/>
  <c r="U37" i="5" s="1"/>
  <c r="AC31" i="5"/>
  <c r="AC34" i="5" s="1"/>
  <c r="AC37" i="5" s="1"/>
  <c r="AI31" i="5"/>
  <c r="AI34" i="5" s="1"/>
  <c r="AI37" i="5" s="1"/>
  <c r="AN27" i="5"/>
  <c r="AN26" i="5"/>
  <c r="F30" i="7"/>
  <c r="F36" i="7" s="1"/>
  <c r="AN20" i="5"/>
  <c r="AN15" i="5"/>
  <c r="AN22" i="5"/>
  <c r="AN14" i="5"/>
  <c r="AN28" i="5"/>
  <c r="F31" i="5"/>
  <c r="F34" i="5" s="1"/>
  <c r="F37" i="5" s="1"/>
  <c r="M31" i="5"/>
  <c r="M34" i="5" s="1"/>
  <c r="M37" i="5" s="1"/>
  <c r="Z31" i="5"/>
  <c r="Z34" i="5" s="1"/>
  <c r="Z37" i="5" s="1"/>
  <c r="X31" i="5"/>
  <c r="X34" i="5" s="1"/>
  <c r="X37" i="5" s="1"/>
  <c r="AG31" i="5"/>
  <c r="AG34" i="5" s="1"/>
  <c r="AG37" i="5" s="1"/>
  <c r="AJ31" i="5"/>
  <c r="AJ34" i="5" s="1"/>
  <c r="AJ37" i="5" s="1"/>
  <c r="AL31" i="5"/>
  <c r="AL34" i="5" s="1"/>
  <c r="AL37" i="5" s="1"/>
  <c r="F10" i="7"/>
  <c r="AN13" i="5"/>
  <c r="AN21" i="5"/>
  <c r="AN11" i="5"/>
  <c r="AN25" i="5"/>
  <c r="AN18" i="5"/>
  <c r="AN10" i="5"/>
  <c r="AN24" i="5"/>
  <c r="J31" i="5"/>
  <c r="J34" i="5" s="1"/>
  <c r="J37" i="5" s="1"/>
  <c r="Q31" i="5"/>
  <c r="Q34" i="5" s="1"/>
  <c r="Q37" i="5" s="1"/>
  <c r="V31" i="5"/>
  <c r="V34" i="5" s="1"/>
  <c r="V37" i="5" s="1"/>
  <c r="AD31" i="5"/>
  <c r="AD34" i="5" s="1"/>
  <c r="AD37" i="5" s="1"/>
  <c r="O31" i="5"/>
  <c r="O34" i="5" s="1"/>
  <c r="O37" i="5" s="1"/>
  <c r="T31" i="5"/>
  <c r="T34" i="5" s="1"/>
  <c r="T37" i="5" s="1"/>
  <c r="AB31" i="5"/>
  <c r="AB34" i="5" s="1"/>
  <c r="AB37" i="5" s="1"/>
  <c r="AE31" i="5"/>
  <c r="AE34" i="5" s="1"/>
  <c r="AE37" i="5" s="1"/>
  <c r="AM31" i="5"/>
  <c r="AM34" i="5" s="1"/>
  <c r="AM37" i="5" s="1"/>
  <c r="AK31" i="5"/>
  <c r="AK34" i="5" s="1"/>
  <c r="AK37" i="5" s="1"/>
  <c r="AF31" i="5"/>
  <c r="AF34" i="5" s="1"/>
  <c r="AF37" i="5" s="1"/>
  <c r="D31" i="5"/>
  <c r="D34" i="5" s="1"/>
  <c r="AN9" i="5"/>
  <c r="AH31" i="5"/>
  <c r="AH34" i="5" s="1"/>
  <c r="AH37" i="5" s="1"/>
  <c r="Q31" i="2"/>
  <c r="Q30" i="2"/>
  <c r="H26" i="2"/>
  <c r="R36" i="2"/>
  <c r="S26" i="2"/>
  <c r="E17" i="7" s="1"/>
  <c r="R26" i="2"/>
  <c r="E20" i="7" s="1"/>
  <c r="F20" i="7" s="1"/>
  <c r="S18" i="2"/>
  <c r="E16" i="7" s="1"/>
  <c r="R18" i="2"/>
  <c r="AN34" i="5" l="1"/>
  <c r="F22" i="7" s="1"/>
  <c r="D37" i="5"/>
  <c r="AN37" i="5" s="1"/>
  <c r="E19" i="7"/>
  <c r="F19" i="7" s="1"/>
  <c r="F16" i="7"/>
  <c r="I21" i="19"/>
  <c r="I28" i="19"/>
  <c r="I11" i="19"/>
  <c r="F17" i="19"/>
  <c r="I23" i="19"/>
  <c r="F11" i="19"/>
  <c r="I26" i="19"/>
  <c r="I20" i="19"/>
  <c r="F27" i="19"/>
  <c r="I19" i="19"/>
  <c r="F24" i="19"/>
  <c r="I27" i="19"/>
  <c r="I22" i="19"/>
  <c r="I15" i="19"/>
  <c r="F13" i="19"/>
  <c r="I24" i="19"/>
  <c r="F28" i="19"/>
  <c r="F25" i="19"/>
  <c r="I16" i="19"/>
  <c r="F15" i="19"/>
  <c r="F18" i="19"/>
  <c r="F16" i="19"/>
  <c r="F26" i="19"/>
  <c r="I17" i="19"/>
  <c r="F22" i="19"/>
  <c r="I25" i="19"/>
  <c r="I13" i="19"/>
  <c r="F20" i="19"/>
  <c r="I18" i="19"/>
  <c r="I12" i="19"/>
  <c r="I14" i="19"/>
  <c r="F21" i="19"/>
  <c r="F12" i="19"/>
  <c r="F23" i="19"/>
  <c r="F14" i="19"/>
  <c r="F19" i="19"/>
  <c r="AN31" i="5"/>
  <c r="R30" i="2"/>
  <c r="F17" i="7"/>
  <c r="S30" i="2"/>
  <c r="E23" i="7" l="1"/>
  <c r="E37" i="7" s="1"/>
  <c r="F15" i="7"/>
  <c r="E38" i="7" l="1"/>
  <c r="G38" i="7" s="1"/>
  <c r="C25" i="19"/>
  <c r="C27" i="19" s="1"/>
  <c r="F23" i="7"/>
  <c r="F37" i="7" s="1"/>
  <c r="F38" i="7" s="1"/>
  <c r="F39" i="7" s="1"/>
  <c r="E39" i="7" l="1"/>
</calcChain>
</file>

<file path=xl/comments1.xml><?xml version="1.0" encoding="utf-8"?>
<comments xmlns="http://schemas.openxmlformats.org/spreadsheetml/2006/main">
  <authors>
    <author>山口県</author>
  </authors>
  <commentList>
    <comment ref="A1" authorId="0">
      <text>
        <r>
          <rPr>
            <b/>
            <sz val="11"/>
            <color indexed="81"/>
            <rFont val="ＭＳ Ｐゴシック"/>
            <family val="3"/>
            <charset val="128"/>
          </rPr>
          <t>本シートはシート「科目集計用」より自動的に作成されます。</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33" authorId="2">
      <text>
        <r>
          <rPr>
            <sz val="9"/>
            <color indexed="8"/>
            <rFont val="ＭＳ Ｐゴシック"/>
            <family val="3"/>
            <charset val="128"/>
          </rPr>
          <t xml:space="preserve">総償却額÷年償却額
</t>
        </r>
      </text>
    </comment>
    <comment ref="J34" authorId="2">
      <text>
        <r>
          <rPr>
            <sz val="9"/>
            <color indexed="8"/>
            <rFont val="ＭＳ Ｐゴシック"/>
            <family val="3"/>
            <charset val="128"/>
          </rPr>
          <t xml:space="preserve">平均負担価格
＝（負担価格－残存価格）÷２＋残存価格
耐用年数の中間年の評価額
</t>
        </r>
      </text>
    </comment>
    <comment ref="Q37"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<sst xmlns="http://schemas.openxmlformats.org/spreadsheetml/2006/main" count="1424" uniqueCount="607">
  <si>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</si>
  <si>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</si>
  <si>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</si>
  <si>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</si>
  <si>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</si>
  <si>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</si>
  <si>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</si>
  <si>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</si>
  <si>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</si>
  <si>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</si>
  <si>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</si>
  <si>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</si>
  <si>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</si>
  <si>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</si>
  <si>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</si>
  <si>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</si>
  <si>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</si>
  <si>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</si>
  <si>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</si>
  <si>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</si>
  <si>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</si>
  <si>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</si>
  <si>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</si>
  <si>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</si>
  <si>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</si>
  <si>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</si>
  <si>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</si>
  <si>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</si>
  <si>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</si>
  <si>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</si>
  <si>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</si>
  <si>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</si>
  <si>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</si>
  <si>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</si>
  <si>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</si>
  <si>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</si>
  <si>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</si>
  <si>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</si>
  <si>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小 計(3)</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</si>
  <si>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</si>
  <si>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</si>
  <si>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</si>
  <si>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</si>
  <si>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</si>
  <si>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</si>
  <si>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</si>
  <si>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</si>
  <si>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</si>
  <si>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</si>
  <si>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</si>
  <si>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</si>
  <si>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</si>
  <si>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</si>
  <si>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</si>
  <si>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</si>
  <si>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</si>
  <si>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</si>
  <si>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</si>
  <si>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</si>
  <si>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</si>
  <si>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</si>
  <si>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</si>
  <si>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</si>
  <si>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</si>
  <si>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</si>
  <si>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</si>
  <si>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</si>
  <si>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</si>
  <si>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</si>
  <si>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</si>
  <si>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</si>
  <si>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</si>
  <si>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</si>
  <si>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</si>
  <si>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</si>
  <si>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</si>
  <si>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</si>
  <si>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</si>
  <si>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</si>
  <si>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</si>
  <si>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</si>
  <si>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</si>
  <si>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</si>
  <si>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</si>
  <si>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</si>
  <si>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</si>
  <si>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</si>
  <si>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</si>
  <si>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</si>
  <si>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</si>
  <si>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</si>
  <si>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</si>
  <si>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</si>
  <si>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</si>
  <si>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</si>
  <si>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</si>
  <si>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</si>
  <si>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</si>
  <si>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</si>
  <si>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</si>
  <si>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</si>
  <si>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</si>
  <si>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</si>
  <si>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</si>
  <si>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</si>
  <si>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</si>
  <si>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</si>
  <si>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</si>
  <si>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</si>
  <si>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</si>
  <si>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</si>
  <si>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</si>
  <si>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</si>
  <si>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</si>
  <si>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</si>
  <si>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</si>
  <si>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</si>
  <si>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</si>
  <si>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</si>
  <si>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</si>
  <si>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</si>
  <si>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</si>
  <si>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</si>
  <si>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</si>
  <si>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</si>
  <si>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</si>
  <si>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</si>
  <si>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</si>
  <si>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</si>
  <si>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</si>
  <si>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</si>
  <si>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</si>
  <si>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</si>
  <si>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</si>
  <si>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</si>
  <si>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</si>
  <si>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t>
  </si>
  <si>
    <t>■■■</t>
  </si>
  <si>
    <t>―□―</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</si>
  <si>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</si>
  <si>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</si>
  <si>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</si>
  <si>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</si>
  <si>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</si>
  <si>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</si>
  <si>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</si>
  <si>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</si>
  <si>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</si>
  <si>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</si>
  <si>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</si>
  <si>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</si>
  <si>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</si>
  <si>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</si>
  <si>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</si>
  <si>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</si>
  <si>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</si>
  <si>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</si>
  <si>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</si>
  <si>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</si>
  <si>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</si>
  <si>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</si>
  <si>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</si>
  <si>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</si>
  <si>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</si>
  <si>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</si>
  <si>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</si>
  <si>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</si>
  <si>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</si>
  <si>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</si>
  <si>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</si>
  <si>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</si>
  <si>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</si>
  <si>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</si>
  <si>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</si>
  <si>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</si>
  <si>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</si>
  <si>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</si>
  <si>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</si>
  <si>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</si>
  <si>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</si>
  <si>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</si>
  <si>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</si>
  <si>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</si>
  <si>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</si>
  <si>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</si>
  <si>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</si>
  <si>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</si>
  <si>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</si>
  <si>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</si>
  <si>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</si>
  <si>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</si>
  <si>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</si>
  <si>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</si>
  <si>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</si>
  <si>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</si>
  <si>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</si>
  <si>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</si>
  <si>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</si>
  <si>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</si>
  <si>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</si>
  <si>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</si>
  <si>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</si>
  <si>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</si>
  <si>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</si>
  <si>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</si>
  <si>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</si>
  <si>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</si>
  <si>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</si>
  <si>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</si>
  <si>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</si>
  <si>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</si>
  <si>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</si>
  <si>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</si>
  <si>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</si>
  <si>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</si>
  <si>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</si>
  <si>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</si>
  <si>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</si>
  <si>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</si>
  <si>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</si>
  <si>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</si>
  <si>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</si>
  <si>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</si>
  <si>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</si>
  <si>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</si>
  <si>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</si>
  <si>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</si>
  <si>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</si>
  <si>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</si>
  <si>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</si>
  <si>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</si>
  <si>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</si>
  <si>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</si>
  <si>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</si>
  <si>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</si>
  <si>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</si>
  <si>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</si>
  <si>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</si>
  <si>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</si>
  <si>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</si>
  <si>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</si>
  <si>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</si>
  <si>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</si>
  <si>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</si>
  <si>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</si>
  <si>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</si>
  <si>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</si>
  <si>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</si>
  <si>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</si>
  <si>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</si>
  <si>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</si>
  <si>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</si>
  <si>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</si>
  <si>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</si>
  <si>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</si>
  <si>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</si>
  <si>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</si>
  <si>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</si>
  <si>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</si>
  <si>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</si>
  <si>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</si>
  <si>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</si>
  <si>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</si>
  <si>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</si>
  <si>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</si>
  <si>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</si>
  <si>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</si>
  <si>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</si>
  <si>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</si>
  <si>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</si>
  <si>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</si>
  <si>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</si>
  <si>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</si>
  <si>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</si>
  <si>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</si>
  <si>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</si>
  <si>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</si>
  <si>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</si>
  <si>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</si>
  <si>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</si>
  <si>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</si>
  <si>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</si>
  <si>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</si>
  <si>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</si>
  <si>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</si>
  <si>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ハウス管理</t>
  </si>
  <si>
    <t>肥培管理</t>
  </si>
  <si>
    <t>定植</t>
  </si>
  <si>
    <t>芽かぎ、葉かぎ</t>
  </si>
  <si>
    <t>誘引</t>
  </si>
  <si>
    <t>収穫</t>
  </si>
  <si>
    <t>トマト</t>
    <phoneticPr fontId="14"/>
  </si>
  <si>
    <t>ハウス一式</t>
  </si>
  <si>
    <t>動力噴霧器</t>
  </si>
  <si>
    <t>軽トラック</t>
  </si>
  <si>
    <t>棟</t>
    <rPh sb="0" eb="1">
      <t>トウ</t>
    </rPh>
    <phoneticPr fontId="14"/>
  </si>
  <si>
    <t>式</t>
    <rPh sb="0" eb="1">
      <t>シキ</t>
    </rPh>
    <phoneticPr fontId="14"/>
  </si>
  <si>
    <t>台</t>
    <rPh sb="0" eb="1">
      <t>ダイ</t>
    </rPh>
    <phoneticPr fontId="14"/>
  </si>
  <si>
    <t>資材・農機具庫</t>
    <rPh sb="0" eb="2">
      <t>シザイ</t>
    </rPh>
    <rPh sb="3" eb="6">
      <t>ノウキグ</t>
    </rPh>
    <rPh sb="6" eb="7">
      <t>コ</t>
    </rPh>
    <phoneticPr fontId="14"/>
  </si>
  <si>
    <t>つりっ子</t>
  </si>
  <si>
    <t>採果バサミ</t>
  </si>
  <si>
    <t>剪定バサミ</t>
  </si>
  <si>
    <t>アルミ製台車</t>
  </si>
  <si>
    <t>出荷資材（ﾀﾞﾝﾎﾞｰﾙ）</t>
  </si>
  <si>
    <t>出荷運賃</t>
  </si>
  <si>
    <t>ＪＡ手数料</t>
  </si>
  <si>
    <t>全農手数料</t>
  </si>
  <si>
    <t>市場手数料</t>
  </si>
  <si>
    <t>温風暖房機</t>
    <rPh sb="0" eb="2">
      <t>オンプウ</t>
    </rPh>
    <rPh sb="2" eb="5">
      <t>ダンボウキ</t>
    </rPh>
    <phoneticPr fontId="14"/>
  </si>
  <si>
    <t>循環扇</t>
    <rPh sb="0" eb="2">
      <t>ジュンカン</t>
    </rPh>
    <rPh sb="2" eb="3">
      <t>セン</t>
    </rPh>
    <phoneticPr fontId="14"/>
  </si>
  <si>
    <t>定植3100本/10a</t>
    <rPh sb="0" eb="2">
      <t>テイショク</t>
    </rPh>
    <rPh sb="6" eb="7">
      <t>ホン</t>
    </rPh>
    <phoneticPr fontId="14"/>
  </si>
  <si>
    <t>外張りビニール</t>
    <rPh sb="0" eb="1">
      <t>ソト</t>
    </rPh>
    <rPh sb="1" eb="2">
      <t>バ</t>
    </rPh>
    <phoneticPr fontId="14"/>
  </si>
  <si>
    <t>内張りビニール</t>
    <rPh sb="0" eb="2">
      <t>ウチバ</t>
    </rPh>
    <phoneticPr fontId="14"/>
  </si>
  <si>
    <t>誘引ひも（3100本：1.5ｍ）</t>
    <rPh sb="9" eb="10">
      <t>ホン</t>
    </rPh>
    <phoneticPr fontId="14"/>
  </si>
  <si>
    <t>選果、出荷</t>
  </si>
  <si>
    <t>後片付け</t>
  </si>
  <si>
    <t>肥培管理</t>
    <rPh sb="0" eb="2">
      <t>ヒバイ</t>
    </rPh>
    <rPh sb="2" eb="4">
      <t>カンリ</t>
    </rPh>
    <phoneticPr fontId="14"/>
  </si>
  <si>
    <t>広島県経営指標</t>
    <rPh sb="0" eb="3">
      <t>ヒロシマケン</t>
    </rPh>
    <rPh sb="3" eb="5">
      <t>ケイエイ</t>
    </rPh>
    <rPh sb="5" eb="7">
      <t>シヒョウ</t>
    </rPh>
    <phoneticPr fontId="14"/>
  </si>
  <si>
    <t>660ｃｃ、4WD</t>
    <phoneticPr fontId="14"/>
  </si>
  <si>
    <t>セット動噴5MPa</t>
    <rPh sb="3" eb="5">
      <t>ドウフン</t>
    </rPh>
    <phoneticPr fontId="14"/>
  </si>
  <si>
    <t>機　械</t>
    <rPh sb="0" eb="1">
      <t>キ</t>
    </rPh>
    <rPh sb="2" eb="3">
      <t>カイ</t>
    </rPh>
    <phoneticPr fontId="14"/>
  </si>
  <si>
    <t>摘果</t>
  </si>
  <si>
    <t>隔離栽培「ゆめ果菜恵」一式</t>
    <rPh sb="0" eb="2">
      <t>カクリ</t>
    </rPh>
    <rPh sb="2" eb="4">
      <t>サイバイ</t>
    </rPh>
    <rPh sb="7" eb="8">
      <t>カ</t>
    </rPh>
    <rPh sb="8" eb="9">
      <t>ナ</t>
    </rPh>
    <rPh sb="9" eb="10">
      <t>エ</t>
    </rPh>
    <rPh sb="11" eb="13">
      <t>イッシキ</t>
    </rPh>
    <phoneticPr fontId="14"/>
  </si>
  <si>
    <t>ﾗｯｸ1722本、土台、樋関係、不織布、培地　　</t>
    <rPh sb="7" eb="8">
      <t>ホン</t>
    </rPh>
    <rPh sb="9" eb="11">
      <t>ドダイ</t>
    </rPh>
    <rPh sb="12" eb="13">
      <t>トイ</t>
    </rPh>
    <rPh sb="13" eb="15">
      <t>カンケイ</t>
    </rPh>
    <rPh sb="16" eb="19">
      <t>フショクフ</t>
    </rPh>
    <rPh sb="20" eb="22">
      <t>バイチ</t>
    </rPh>
    <phoneticPr fontId="14"/>
  </si>
  <si>
    <t/>
  </si>
  <si>
    <t>カルハード</t>
  </si>
  <si>
    <t>グリーンマルチ</t>
  </si>
  <si>
    <t>計</t>
    <rPh sb="0" eb="1">
      <t>ケイ</t>
    </rPh>
    <phoneticPr fontId="14"/>
  </si>
  <si>
    <t>沿岸部～中間</t>
  </si>
  <si>
    <t>ハウス開閉</t>
  </si>
  <si>
    <t>12/上～5/上</t>
  </si>
  <si>
    <t>ハウス</t>
  </si>
  <si>
    <t>12/上～6/下</t>
  </si>
  <si>
    <t>液肥混入器、液肥</t>
  </si>
  <si>
    <t>12/上</t>
  </si>
  <si>
    <t>12/中～6/中</t>
  </si>
  <si>
    <t>誘引紐、つりっこ</t>
  </si>
  <si>
    <t>ホルモン処理</t>
  </si>
  <si>
    <t>12/中～5/上</t>
  </si>
  <si>
    <t>ホルモン剤</t>
  </si>
  <si>
    <t>尻腐果などの除去</t>
  </si>
  <si>
    <t>12/中～7/中</t>
  </si>
  <si>
    <t>3/上～6/下</t>
  </si>
  <si>
    <t>収穫かご、コンテナ、採果鋏</t>
  </si>
  <si>
    <t>残渣処理</t>
  </si>
  <si>
    <t>7/上</t>
  </si>
  <si>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</si>
  <si>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</si>
  <si>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</si>
  <si>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</si>
  <si>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</si>
  <si>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</si>
  <si>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</si>
  <si>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</si>
  <si>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</si>
  <si>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</si>
  <si>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</si>
  <si>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</si>
  <si>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</si>
  <si>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</si>
  <si>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</si>
  <si>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</si>
  <si>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</si>
  <si>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</si>
  <si>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</si>
  <si>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</si>
  <si>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</si>
  <si>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</si>
  <si>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</si>
  <si>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</si>
  <si>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</si>
  <si>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</si>
  <si>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</si>
  <si>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</si>
  <si>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</si>
  <si>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</si>
  <si>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</si>
  <si>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</si>
  <si>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</si>
  <si>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</si>
  <si>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</si>
  <si>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</si>
  <si>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</si>
  <si>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</si>
  <si>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</si>
  <si>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</si>
  <si>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</si>
  <si>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</si>
  <si>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</si>
  <si>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</si>
  <si>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</si>
  <si>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</si>
  <si>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</si>
  <si>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</si>
  <si>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</si>
  <si>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</si>
  <si>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</si>
  <si>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</si>
  <si>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</si>
  <si>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</si>
  <si>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</si>
  <si>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</si>
  <si>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</si>
  <si>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</si>
  <si>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</si>
  <si>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</si>
  <si>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</si>
  <si>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</si>
  <si>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</si>
  <si>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</si>
  <si>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</si>
  <si>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</si>
  <si>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</si>
  <si>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</si>
  <si>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</si>
  <si>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</si>
  <si>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</si>
  <si>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</si>
  <si>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</si>
  <si>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</si>
  <si>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</si>
  <si>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</si>
  <si>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</si>
  <si>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</si>
  <si>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</si>
  <si>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</si>
  <si>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</si>
  <si>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</si>
  <si>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</si>
  <si>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</si>
  <si>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</si>
  <si>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</si>
  <si>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</si>
  <si>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</si>
  <si>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</si>
  <si>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</si>
  <si>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</si>
  <si>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</si>
  <si>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</si>
  <si>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</si>
  <si>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</si>
  <si>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</si>
  <si>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</si>
  <si>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</si>
  <si>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</si>
  <si>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</si>
  <si>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</si>
  <si>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</si>
  <si>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</si>
  <si>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</si>
  <si>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</si>
  <si>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</si>
  <si>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</si>
  <si>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</si>
  <si>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</si>
  <si>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</si>
  <si>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</si>
  <si>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</si>
  <si>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</si>
  <si>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</si>
  <si>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</si>
  <si>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</si>
  <si>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</si>
  <si>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</si>
  <si>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</si>
  <si>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</si>
  <si>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</si>
  <si>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</si>
  <si>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</si>
  <si>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</si>
  <si>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</si>
  <si>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</si>
  <si>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</si>
  <si>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</si>
  <si>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</si>
  <si>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</si>
  <si>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</si>
  <si>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</si>
  <si>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</si>
  <si>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</si>
  <si>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</si>
  <si>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</si>
  <si>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</si>
  <si>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</si>
  <si>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</si>
  <si>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</si>
  <si>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</si>
  <si>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</si>
  <si>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</si>
  <si>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</si>
  <si>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</si>
  <si>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</si>
  <si>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</si>
  <si>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灌水ﾁｭｰﾌﾞ設置、暖房機設置</t>
  </si>
  <si>
    <t>誘引紐、ｸﾘｯﾌﾟ設置</t>
  </si>
  <si>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</si>
  <si>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</si>
  <si>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7">
      <t>ダイ</t>
    </rPh>
    <rPh sb="7" eb="9">
      <t>ショクブツ</t>
    </rPh>
    <rPh sb="10" eb="11">
      <t>ネン</t>
    </rPh>
    <rPh sb="11" eb="13">
      <t>ショウキャク</t>
    </rPh>
    <rPh sb="13" eb="14">
      <t>ヒ</t>
    </rPh>
    <rPh sb="18" eb="19">
      <t>ア</t>
    </rPh>
    <phoneticPr fontId="14"/>
  </si>
  <si>
    <t>合計
(円/10a)</t>
    <rPh sb="0" eb="2">
      <t>ゴウケイ</t>
    </rPh>
    <phoneticPr fontId="14"/>
  </si>
  <si>
    <t>販売量(kg)</t>
    <phoneticPr fontId="14"/>
  </si>
  <si>
    <t>単価(円)</t>
    <rPh sb="0" eb="2">
      <t>タンカ</t>
    </rPh>
    <rPh sb="3" eb="4">
      <t>エン</t>
    </rPh>
    <phoneticPr fontId="14"/>
  </si>
  <si>
    <t>式</t>
    <rPh sb="0" eb="1">
      <t>シキ</t>
    </rPh>
    <phoneticPr fontId="14"/>
  </si>
  <si>
    <t>マイロック等</t>
    <rPh sb="5" eb="6">
      <t>ナド</t>
    </rPh>
    <phoneticPr fontId="14"/>
  </si>
  <si>
    <t>機械利用
時間</t>
    <phoneticPr fontId="14"/>
  </si>
  <si>
    <t>労働費</t>
    <rPh sb="0" eb="3">
      <t>ロウドウヒ</t>
    </rPh>
    <phoneticPr fontId="14"/>
  </si>
  <si>
    <t>基幹労働</t>
    <rPh sb="0" eb="2">
      <t>キカン</t>
    </rPh>
    <rPh sb="2" eb="4">
      <t>ロウドウ</t>
    </rPh>
    <phoneticPr fontId="31"/>
  </si>
  <si>
    <t>自家労賃を含む</t>
    <rPh sb="0" eb="2">
      <t>ジカ</t>
    </rPh>
    <rPh sb="2" eb="4">
      <t>ロウチン</t>
    </rPh>
    <rPh sb="5" eb="6">
      <t>フク</t>
    </rPh>
    <phoneticPr fontId="14"/>
  </si>
  <si>
    <t>補助労働</t>
    <rPh sb="0" eb="2">
      <t>ホジョ</t>
    </rPh>
    <rPh sb="2" eb="4">
      <t>ロウドウ</t>
    </rPh>
    <phoneticPr fontId="31"/>
  </si>
  <si>
    <t>10a当たり</t>
    <rPh sb="3" eb="4">
      <t>ア</t>
    </rPh>
    <phoneticPr fontId="14"/>
  </si>
  <si>
    <t>商品化率</t>
    <rPh sb="0" eb="3">
      <t>ショウヒンカ</t>
    </rPh>
    <rPh sb="3" eb="4">
      <t>リツ</t>
    </rPh>
    <phoneticPr fontId="14"/>
  </si>
  <si>
    <t>植付本数</t>
    <rPh sb="0" eb="2">
      <t>ウエツケ</t>
    </rPh>
    <rPh sb="2" eb="4">
      <t>ホンスウ</t>
    </rPh>
    <phoneticPr fontId="14"/>
  </si>
  <si>
    <t>本</t>
    <rPh sb="0" eb="1">
      <t>ホン</t>
    </rPh>
    <phoneticPr fontId="14"/>
  </si>
  <si>
    <t>種類</t>
    <rPh sb="0" eb="2">
      <t>シュルイ</t>
    </rPh>
    <phoneticPr fontId="14"/>
  </si>
  <si>
    <t>単位</t>
    <rPh sb="0" eb="2">
      <t>タンイ</t>
    </rPh>
    <phoneticPr fontId="14"/>
  </si>
  <si>
    <t>播種量</t>
    <rPh sb="0" eb="2">
      <t>ハシュ</t>
    </rPh>
    <rPh sb="2" eb="3">
      <t>リョウ</t>
    </rPh>
    <phoneticPr fontId="14"/>
  </si>
  <si>
    <t>kg</t>
    <phoneticPr fontId="14"/>
  </si>
  <si>
    <t>飼養頭数</t>
    <rPh sb="0" eb="2">
      <t>シヨウ</t>
    </rPh>
    <rPh sb="2" eb="4">
      <t>トウスウ</t>
    </rPh>
    <phoneticPr fontId="14"/>
  </si>
  <si>
    <t>頭</t>
    <rPh sb="0" eb="1">
      <t>トウ</t>
    </rPh>
    <phoneticPr fontId="14"/>
  </si>
  <si>
    <t>補助労働(ア)</t>
    <rPh sb="0" eb="2">
      <t>ホジョ</t>
    </rPh>
    <rPh sb="2" eb="4">
      <t>ロウドウ</t>
    </rPh>
    <phoneticPr fontId="14"/>
  </si>
  <si>
    <t>備考</t>
    <rPh sb="0" eb="2">
      <t>ビコウ</t>
    </rPh>
    <phoneticPr fontId="14"/>
  </si>
  <si>
    <t>12月下旬</t>
    <phoneticPr fontId="14"/>
  </si>
  <si>
    <t>マイロック苗</t>
    <rPh sb="5" eb="6">
      <t>ナエ</t>
    </rPh>
    <phoneticPr fontId="14"/>
  </si>
  <si>
    <t>定植3100本/10a、自根苗</t>
    <rPh sb="0" eb="2">
      <t>テイショク</t>
    </rPh>
    <rPh sb="6" eb="7">
      <t>ホン</t>
    </rPh>
    <rPh sb="12" eb="13">
      <t>ジ</t>
    </rPh>
    <rPh sb="13" eb="14">
      <t>コン</t>
    </rPh>
    <rPh sb="14" eb="15">
      <t>ナエ</t>
    </rPh>
    <phoneticPr fontId="14"/>
  </si>
  <si>
    <t>共済掛金</t>
    <rPh sb="0" eb="2">
      <t>キョウサイ</t>
    </rPh>
    <rPh sb="2" eb="3">
      <t>カ</t>
    </rPh>
    <rPh sb="3" eb="4">
      <t>キン</t>
    </rPh>
    <phoneticPr fontId="14"/>
  </si>
  <si>
    <t>保険料</t>
    <rPh sb="0" eb="3">
      <t>ホケンリョウ</t>
    </rPh>
    <phoneticPr fontId="14"/>
  </si>
  <si>
    <t>軽トラック</t>
    <rPh sb="0" eb="1">
      <t>ケイ</t>
    </rPh>
    <phoneticPr fontId="14"/>
  </si>
  <si>
    <t>固定資産税</t>
    <rPh sb="0" eb="2">
      <t>コテイ</t>
    </rPh>
    <rPh sb="2" eb="5">
      <t>シサンゼイ</t>
    </rPh>
    <phoneticPr fontId="14"/>
  </si>
  <si>
    <t>軽自動車税</t>
    <rPh sb="0" eb="4">
      <t>ケイジドウシャ</t>
    </rPh>
    <rPh sb="4" eb="5">
      <t>ゼイ</t>
    </rPh>
    <phoneticPr fontId="14"/>
  </si>
  <si>
    <t>ハウス30a→10a</t>
    <phoneticPr fontId="14"/>
  </si>
  <si>
    <t>資材・農機具庫　30a用→10a</t>
    <rPh sb="0" eb="2">
      <t>シザイ</t>
    </rPh>
    <rPh sb="3" eb="6">
      <t>ノウキグ</t>
    </rPh>
    <rPh sb="6" eb="7">
      <t>コ</t>
    </rPh>
    <rPh sb="11" eb="12">
      <t>ヨウ</t>
    </rPh>
    <phoneticPr fontId="14"/>
  </si>
  <si>
    <t>灌水ﾁｭｰﾌﾞ設置、培地灌水、暖房機試運転、マルチ、誘引紐・クリップ設置</t>
    <rPh sb="0" eb="2">
      <t>カンスイ</t>
    </rPh>
    <rPh sb="7" eb="9">
      <t>セッチ</t>
    </rPh>
    <rPh sb="15" eb="18">
      <t>ダンボウキ</t>
    </rPh>
    <rPh sb="18" eb="21">
      <t>シウンテン</t>
    </rPh>
    <rPh sb="26" eb="28">
      <t>ユウイン</t>
    </rPh>
    <rPh sb="28" eb="29">
      <t>ヒモ</t>
    </rPh>
    <rPh sb="34" eb="36">
      <t>セッチ</t>
    </rPh>
    <phoneticPr fontId="14"/>
  </si>
  <si>
    <t>11/中～下</t>
    <rPh sb="3" eb="4">
      <t>チュウ</t>
    </rPh>
    <phoneticPr fontId="14"/>
  </si>
  <si>
    <t>灌水装置、灌水ﾁｭｰﾌﾞ、暖房機、マルチ、誘引紐、クリップ</t>
    <rPh sb="0" eb="2">
      <t>カンスイ</t>
    </rPh>
    <rPh sb="2" eb="4">
      <t>ソウチ</t>
    </rPh>
    <rPh sb="5" eb="7">
      <t>カンスイ</t>
    </rPh>
    <rPh sb="13" eb="16">
      <t>ダンボウキ</t>
    </rPh>
    <rPh sb="21" eb="23">
      <t>ユウイン</t>
    </rPh>
    <rPh sb="23" eb="24">
      <t>ヒモ</t>
    </rPh>
    <phoneticPr fontId="14"/>
  </si>
  <si>
    <t>交配</t>
  </si>
  <si>
    <t>交配</t>
    <phoneticPr fontId="14"/>
  </si>
  <si>
    <t>購入苗　3100本/10a</t>
    <rPh sb="0" eb="2">
      <t>コウニュウ</t>
    </rPh>
    <rPh sb="2" eb="3">
      <t>ナエ</t>
    </rPh>
    <phoneticPr fontId="14"/>
  </si>
  <si>
    <t>コンテナ</t>
  </si>
  <si>
    <t>単価：産地の月別平均単価（H24～27）</t>
    <rPh sb="0" eb="2">
      <t>タンカ</t>
    </rPh>
    <rPh sb="3" eb="5">
      <t>サンチ</t>
    </rPh>
    <rPh sb="6" eb="8">
      <t>ツキベツ</t>
    </rPh>
    <rPh sb="8" eb="10">
      <t>ヘイキン</t>
    </rPh>
    <rPh sb="10" eb="12">
      <t>タンカ</t>
    </rPh>
    <phoneticPr fontId="14"/>
  </si>
  <si>
    <t>アルバリン粒剤</t>
    <rPh sb="5" eb="7">
      <t>リュウザイ</t>
    </rPh>
    <phoneticPr fontId="14"/>
  </si>
  <si>
    <t>トマトトーン</t>
    <phoneticPr fontId="14"/>
  </si>
  <si>
    <t>防除用タンク（500ℓ）</t>
    <phoneticPr fontId="14"/>
  </si>
  <si>
    <t>ホリバー（黄）</t>
    <rPh sb="5" eb="6">
      <t>キ</t>
    </rPh>
    <phoneticPr fontId="14"/>
  </si>
  <si>
    <t>コンテナ</t>
    <phoneticPr fontId="14"/>
  </si>
  <si>
    <t>販売量10t/10a×20.9円/kg</t>
    <rPh sb="0" eb="2">
      <t>ハンバイ</t>
    </rPh>
    <rPh sb="2" eb="3">
      <t>リョウ</t>
    </rPh>
    <rPh sb="15" eb="16">
      <t>エン</t>
    </rPh>
    <phoneticPr fontId="14"/>
  </si>
  <si>
    <t>販売量10t/10a×12.6円/kg</t>
    <rPh sb="0" eb="2">
      <t>ハンバイ</t>
    </rPh>
    <rPh sb="2" eb="3">
      <t>リョウ</t>
    </rPh>
    <rPh sb="15" eb="16">
      <t>エン</t>
    </rPh>
    <phoneticPr fontId="14"/>
  </si>
  <si>
    <t>養液土耕システム一式</t>
    <rPh sb="0" eb="2">
      <t>ヨウエキ</t>
    </rPh>
    <rPh sb="2" eb="4">
      <t>ドコウ</t>
    </rPh>
    <rPh sb="8" eb="10">
      <t>イッシキ</t>
    </rPh>
    <phoneticPr fontId="14"/>
  </si>
  <si>
    <t>炭酸ガス施用設備</t>
    <rPh sb="0" eb="2">
      <t>タンサン</t>
    </rPh>
    <rPh sb="4" eb="6">
      <t>セヨウ</t>
    </rPh>
    <rPh sb="6" eb="8">
      <t>セツビ</t>
    </rPh>
    <phoneticPr fontId="14"/>
  </si>
  <si>
    <t>出荷箱、袋</t>
    <rPh sb="4" eb="5">
      <t>フクロ</t>
    </rPh>
    <phoneticPr fontId="14"/>
  </si>
  <si>
    <t>作業場</t>
    <rPh sb="0" eb="2">
      <t>サギョウ</t>
    </rPh>
    <rPh sb="2" eb="3">
      <t>バ</t>
    </rPh>
    <phoneticPr fontId="14"/>
  </si>
  <si>
    <t>1液、4ｃｈ、攪拌機、原水フィルター</t>
    <rPh sb="1" eb="2">
      <t>エキ</t>
    </rPh>
    <rPh sb="7" eb="10">
      <t>カクハンキ</t>
    </rPh>
    <rPh sb="11" eb="13">
      <t>ゲンスイ</t>
    </rPh>
    <phoneticPr fontId="14"/>
  </si>
  <si>
    <t>500坪用、発熱量161kw</t>
    <rPh sb="3" eb="4">
      <t>ツボ</t>
    </rPh>
    <rPh sb="4" eb="5">
      <t>ヨウ</t>
    </rPh>
    <rPh sb="6" eb="8">
      <t>ハツネツ</t>
    </rPh>
    <rPh sb="8" eb="9">
      <t>リョウ</t>
    </rPh>
    <phoneticPr fontId="14"/>
  </si>
  <si>
    <t>最大風量79㎥/分</t>
    <rPh sb="0" eb="2">
      <t>サイダイ</t>
    </rPh>
    <rPh sb="2" eb="4">
      <t>フウリョウ</t>
    </rPh>
    <rPh sb="8" eb="9">
      <t>フン</t>
    </rPh>
    <phoneticPr fontId="14"/>
  </si>
  <si>
    <t>カンタスドライフロアブル100ｇ</t>
    <phoneticPr fontId="14"/>
  </si>
  <si>
    <t>ベルクート水和剤100ｇ</t>
    <rPh sb="5" eb="8">
      <t>スイワザイ</t>
    </rPh>
    <phoneticPr fontId="14"/>
  </si>
  <si>
    <t>トリフミン乳剤500ｍｌ</t>
    <rPh sb="5" eb="7">
      <t>ニュウザイ</t>
    </rPh>
    <phoneticPr fontId="14"/>
  </si>
  <si>
    <t>アファーム乳剤100ｍｌ</t>
    <rPh sb="5" eb="7">
      <t>ニュウザイ</t>
    </rPh>
    <phoneticPr fontId="14"/>
  </si>
  <si>
    <t>モスピラン水溶剤250ｇ</t>
    <rPh sb="5" eb="6">
      <t>スイ</t>
    </rPh>
    <rPh sb="6" eb="8">
      <t>ヨウザイ</t>
    </rPh>
    <phoneticPr fontId="14"/>
  </si>
  <si>
    <t>スピノエース顆粒水和剤100ｇ</t>
    <rPh sb="6" eb="8">
      <t>カリュウ</t>
    </rPh>
    <rPh sb="8" eb="11">
      <t>スイワザイ</t>
    </rPh>
    <phoneticPr fontId="14"/>
  </si>
  <si>
    <t>モベントフロアブル100ｍｌ</t>
    <phoneticPr fontId="14"/>
  </si>
  <si>
    <t>サンマイトフロアブル500ｍｌ</t>
    <phoneticPr fontId="14"/>
  </si>
  <si>
    <t>ボトキラー水和剤500ｇ</t>
    <rPh sb="5" eb="8">
      <t>スイワザイ</t>
    </rPh>
    <phoneticPr fontId="14"/>
  </si>
  <si>
    <t>ホライズンドライフロアブル200ｇ</t>
    <phoneticPr fontId="14"/>
  </si>
  <si>
    <t>アフェットフロアブル100ｍｌ</t>
    <phoneticPr fontId="14"/>
  </si>
  <si>
    <t>ゲッター水和剤100ｇ</t>
    <rPh sb="4" eb="7">
      <t>スイワザイ</t>
    </rPh>
    <phoneticPr fontId="14"/>
  </si>
  <si>
    <t>カスミンボルドー100ｇ</t>
    <phoneticPr fontId="14"/>
  </si>
  <si>
    <t>H27年平均価格　石油情報センターより</t>
    <rPh sb="3" eb="4">
      <t>ネン</t>
    </rPh>
    <rPh sb="4" eb="6">
      <t>ヘイキン</t>
    </rPh>
    <rPh sb="6" eb="8">
      <t>カカク</t>
    </rPh>
    <rPh sb="9" eb="11">
      <t>セキユ</t>
    </rPh>
    <rPh sb="11" eb="13">
      <t>ジョウホウ</t>
    </rPh>
    <phoneticPr fontId="14"/>
  </si>
  <si>
    <t>プリグロックスL　１ℓ</t>
    <phoneticPr fontId="14"/>
  </si>
  <si>
    <t>◎―</t>
    <phoneticPr fontId="14"/>
  </si>
  <si>
    <t>完熟収穫　　12t/10a</t>
    <phoneticPr fontId="14"/>
  </si>
  <si>
    <t>規格別に選別、箱詰め、袋詰め　　　　　　　　　　　　　　　　　個選共販　10t/10a</t>
    <rPh sb="31" eb="33">
      <t>コセン</t>
    </rPh>
    <rPh sb="33" eb="35">
      <t>キョウハン</t>
    </rPh>
    <phoneticPr fontId="14"/>
  </si>
  <si>
    <t>肥料Ａ</t>
    <rPh sb="0" eb="2">
      <t>ヒリョウ</t>
    </rPh>
    <phoneticPr fontId="14"/>
  </si>
  <si>
    <t>肥料B</t>
    <rPh sb="0" eb="2">
      <t>ヒリョウ</t>
    </rPh>
    <phoneticPr fontId="14"/>
  </si>
  <si>
    <r>
      <t>冬春トマト（高糖度隔離床栽培</t>
    </r>
    <r>
      <rPr>
        <sz val="8"/>
        <rFont val="ＭＳ Ｐゴシック"/>
        <family val="3"/>
        <charset val="128"/>
      </rPr>
      <t>ゆめ果菜恵</t>
    </r>
    <r>
      <rPr>
        <sz val="11"/>
        <rFont val="ＭＳ Ｐゴシック"/>
        <family val="3"/>
        <charset val="128"/>
      </rPr>
      <t>）</t>
    </r>
    <rPh sb="0" eb="1">
      <t>フユ</t>
    </rPh>
    <rPh sb="1" eb="2">
      <t>ハル</t>
    </rPh>
    <rPh sb="6" eb="9">
      <t>コウトウド</t>
    </rPh>
    <rPh sb="9" eb="11">
      <t>カクリ</t>
    </rPh>
    <rPh sb="11" eb="12">
      <t>トコ</t>
    </rPh>
    <rPh sb="12" eb="14">
      <t>サイバイ</t>
    </rPh>
    <rPh sb="16" eb="17">
      <t>カ</t>
    </rPh>
    <rPh sb="17" eb="18">
      <t>ナ</t>
    </rPh>
    <rPh sb="18" eb="19">
      <t>エ</t>
    </rPh>
    <phoneticPr fontId="14"/>
  </si>
  <si>
    <t>ほ場準備</t>
    <rPh sb="1" eb="2">
      <t>ジョウ</t>
    </rPh>
    <rPh sb="2" eb="4">
      <t>ジュンビ</t>
    </rPh>
    <phoneticPr fontId="14"/>
  </si>
  <si>
    <t>防除</t>
    <rPh sb="0" eb="2">
      <t>ボウジョ</t>
    </rPh>
    <phoneticPr fontId="14"/>
  </si>
  <si>
    <t>薬剤散布</t>
    <rPh sb="0" eb="2">
      <t>ヤクザイ</t>
    </rPh>
    <rPh sb="2" eb="4">
      <t>サンプ</t>
    </rPh>
    <phoneticPr fontId="14"/>
  </si>
  <si>
    <t>苗配り、定植、灌水　　　　　　　　　　　　　　　　　3100本/10a　　　　置植え定植</t>
    <rPh sb="0" eb="1">
      <t>ナエ</t>
    </rPh>
    <rPh sb="1" eb="2">
      <t>クバ</t>
    </rPh>
    <rPh sb="4" eb="6">
      <t>テイショク</t>
    </rPh>
    <rPh sb="7" eb="9">
      <t>カンスイ</t>
    </rPh>
    <rPh sb="30" eb="31">
      <t>ホン</t>
    </rPh>
    <rPh sb="39" eb="40">
      <t>オ</t>
    </rPh>
    <rPh sb="40" eb="41">
      <t>ウ</t>
    </rPh>
    <rPh sb="42" eb="44">
      <t>テイショク</t>
    </rPh>
    <phoneticPr fontId="14"/>
  </si>
  <si>
    <t>1本仕立て、つり下げ誘引</t>
    <phoneticPr fontId="14"/>
  </si>
  <si>
    <t>その他</t>
    <rPh sb="2" eb="3">
      <t>タ</t>
    </rPh>
    <phoneticPr fontId="14"/>
  </si>
  <si>
    <t>11/中～7/上</t>
    <rPh sb="3" eb="4">
      <t>チュウ</t>
    </rPh>
    <rPh sb="7" eb="8">
      <t>ジョウ</t>
    </rPh>
    <phoneticPr fontId="14"/>
  </si>
  <si>
    <t>原液作成、液肥濃度・回数・灌水量設定</t>
    <rPh sb="5" eb="7">
      <t>エキヒ</t>
    </rPh>
    <rPh sb="13" eb="15">
      <t>カンスイ</t>
    </rPh>
    <rPh sb="15" eb="16">
      <t>リョウ</t>
    </rPh>
    <rPh sb="16" eb="18">
      <t>セッテイ</t>
    </rPh>
    <phoneticPr fontId="14"/>
  </si>
  <si>
    <t>コンテナ</t>
    <phoneticPr fontId="14"/>
  </si>
  <si>
    <t>鋏、コンテナ</t>
    <rPh sb="0" eb="1">
      <t>ハサミ</t>
    </rPh>
    <phoneticPr fontId="14"/>
  </si>
  <si>
    <t>生産管理記帳、研修等</t>
    <rPh sb="0" eb="2">
      <t>セイサン</t>
    </rPh>
    <rPh sb="2" eb="4">
      <t>カンリ</t>
    </rPh>
    <rPh sb="4" eb="6">
      <t>キチョウ</t>
    </rPh>
    <rPh sb="7" eb="9">
      <t>ケンシュウ</t>
    </rPh>
    <rPh sb="9" eb="10">
      <t>トウ</t>
    </rPh>
    <phoneticPr fontId="14"/>
  </si>
  <si>
    <t>記帳</t>
    <rPh sb="0" eb="2">
      <t>キチョウ</t>
    </rPh>
    <phoneticPr fontId="14"/>
  </si>
  <si>
    <t>研修</t>
    <rPh sb="0" eb="2">
      <t>ケンシュウ</t>
    </rPh>
    <phoneticPr fontId="14"/>
  </si>
  <si>
    <t>ハウス周辺の除草剤散布</t>
    <rPh sb="3" eb="5">
      <t>シュウヘン</t>
    </rPh>
    <rPh sb="6" eb="8">
      <t>ジョソウ</t>
    </rPh>
    <rPh sb="8" eb="9">
      <t>ザイ</t>
    </rPh>
    <rPh sb="9" eb="11">
      <t>サンプ</t>
    </rPh>
    <phoneticPr fontId="14"/>
  </si>
  <si>
    <t>防除機、殺菌剤、殺虫剤、生物農薬　　　　　　除草剤</t>
    <rPh sb="22" eb="25">
      <t>ジョソウザイ</t>
    </rPh>
    <phoneticPr fontId="14"/>
  </si>
  <si>
    <t>防草シート</t>
    <rPh sb="0" eb="2">
      <t>ボウソウ</t>
    </rPh>
    <phoneticPr fontId="14"/>
  </si>
  <si>
    <t>山口県最低賃金（H28.10.1）</t>
    <phoneticPr fontId="14"/>
  </si>
  <si>
    <t>売上の2.5%</t>
    <rPh sb="0" eb="2">
      <t>ウリアゲ</t>
    </rPh>
    <phoneticPr fontId="14"/>
  </si>
  <si>
    <t>売上の1.0%</t>
    <rPh sb="0" eb="2">
      <t>ウリアゲ</t>
    </rPh>
    <phoneticPr fontId="14"/>
  </si>
  <si>
    <t>売上の8.5%</t>
    <rPh sb="0" eb="2">
      <t>ウリアゲ</t>
    </rPh>
    <phoneticPr fontId="14"/>
  </si>
  <si>
    <t>混合油</t>
    <rPh sb="0" eb="2">
      <t>コンゴウ</t>
    </rPh>
    <rPh sb="2" eb="3">
      <t>ユ</t>
    </rPh>
    <phoneticPr fontId="14"/>
  </si>
  <si>
    <t>オイル(自動計算)</t>
    <rPh sb="4" eb="6">
      <t>ジドウ</t>
    </rPh>
    <rPh sb="6" eb="8">
      <t>ケイサン</t>
    </rPh>
    <phoneticPr fontId="14"/>
  </si>
  <si>
    <t>その他燃料</t>
  </si>
  <si>
    <t>ハウス等</t>
  </si>
  <si>
    <t>▽</t>
    <phoneticPr fontId="14"/>
  </si>
  <si>
    <t>▲</t>
    <phoneticPr fontId="14"/>
  </si>
  <si>
    <t>;暖房機用ポリダクト</t>
    <rPh sb="1" eb="3">
      <t>ダンボウ</t>
    </rPh>
    <rPh sb="3" eb="5">
      <t>キヨウ</t>
    </rPh>
    <phoneticPr fontId="14"/>
  </si>
  <si>
    <t>点滴チューブ（10cmﾋﾟｯﾁ）1000ｍ2本</t>
    <rPh sb="0" eb="2">
      <t>テンテキ</t>
    </rPh>
    <rPh sb="22" eb="23">
      <t>ホン</t>
    </rPh>
    <phoneticPr fontId="14"/>
  </si>
  <si>
    <t>押さえ釘</t>
    <rPh sb="0" eb="1">
      <t>オ</t>
    </rPh>
    <rPh sb="3" eb="4">
      <t>クギ</t>
    </rPh>
    <phoneticPr fontId="14"/>
  </si>
  <si>
    <t>13.37kg/h、炭酸ガスｺﾝﾄﾛｰﾗ</t>
    <rPh sb="10" eb="12">
      <t>タンサン</t>
    </rPh>
    <phoneticPr fontId="14"/>
  </si>
  <si>
    <t>鉄骨、ルーフデッキ50㎡</t>
    <rPh sb="0" eb="2">
      <t>テッコツ</t>
    </rPh>
    <phoneticPr fontId="14"/>
  </si>
  <si>
    <t>6.0ｍ×50ｍ×10連棟　　32</t>
    <rPh sb="11" eb="12">
      <t>レン</t>
    </rPh>
    <rPh sb="12" eb="13">
      <t>トウ</t>
    </rPh>
    <phoneticPr fontId="14"/>
  </si>
  <si>
    <t>被覆資材、工事費除く</t>
    <rPh sb="0" eb="2">
      <t>ヒフク</t>
    </rPh>
    <rPh sb="2" eb="4">
      <t>シザイ</t>
    </rPh>
    <rPh sb="5" eb="7">
      <t>コウジ</t>
    </rPh>
    <rPh sb="7" eb="8">
      <t>ヒ</t>
    </rPh>
    <rPh sb="8" eb="9">
      <t>ノゾ</t>
    </rPh>
    <phoneticPr fontId="14"/>
  </si>
  <si>
    <t>ネット</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</si>
</sst>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_ * #,##0.0_ ;[Red]_ * \-#,##0.0_ ;_ * &quot;&quot;??_ ;_ @_ "/>
    <numFmt numFmtId="204" formatCode="#,##0.000_);[Red]\(#,##0.000\)"/>
    <numFmt numFmtId="205" formatCode="0.00_ "/>
  </numFmts>
  <fonts count="41">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8"/>
      <color rgb="FFFF0000"/>
      <name val="ＭＳ Ｐゴシック"/>
      <family val="3"/>
      <charset val="128"/>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sz val="11"/>
      <color theme="0"/>
      <name val="ＭＳ Ｐゴシック"/>
      <family val="3"/>
      <charset val="128"/>
    </font>
    <font>
      <sz val="10"/>
      <name val="ＭＳ Ｐゴシック"/>
      <family val="3"/>
      <charset val="128"/>
      <scheme val="minor"/>
    </font>
    <font>
      <sz val="11"/>
      <color theme="1"/>
      <name val="ＭＳ Ｐゴシック"/>
      <family val="3"/>
      <charset val="128"/>
    </font>
  </fonts>
  <fills count="26">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rgb="FFCCFFCC"/>
        <bgColor indexed="27"/>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s>
  <borders count="244">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style="dotted">
        <color auto="1"/>
      </left>
      <right style="dotted">
        <color auto="1"/>
      </right>
      <top style="thin">
        <color auto="1"/>
      </top>
      <bottom/>
      <diagonal/>
    </border>
    <border>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auto="1"/>
      </right>
      <top style="medium">
        <color auto="1"/>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double">
        <color indexed="64"/>
      </bottom>
      <diagonal/>
    </border>
    <border>
      <left style="thin">
        <color auto="1"/>
      </left>
      <right style="thin">
        <color auto="1"/>
      </right>
      <top style="medium">
        <color auto="1"/>
      </top>
      <bottom style="double">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auto="1"/>
      </top>
      <bottom/>
      <diagonal/>
    </border>
    <border>
      <left style="medium">
        <color indexed="64"/>
      </left>
      <right/>
      <top style="medium">
        <color indexed="64"/>
      </top>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diagonal/>
    </border>
    <border>
      <left style="medium">
        <color indexed="8"/>
      </left>
      <right style="hair">
        <color indexed="8"/>
      </right>
      <top/>
      <bottom style="medium">
        <color indexed="64"/>
      </bottom>
      <diagonal/>
    </border>
    <border>
      <left style="medium">
        <color indexed="8"/>
      </left>
      <right style="medium">
        <color indexed="64"/>
      </right>
      <top/>
      <bottom style="medium">
        <color indexed="64"/>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dotted">
        <color auto="1"/>
      </left>
      <right style="dott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dotted">
        <color auto="1"/>
      </right>
      <top style="medium">
        <color indexed="64"/>
      </top>
      <bottom style="medium">
        <color indexed="64"/>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8"/>
      </left>
      <right style="medium">
        <color indexed="64"/>
      </right>
      <top style="medium">
        <color indexed="64"/>
      </top>
      <bottom style="hair">
        <color indexed="64"/>
      </bottom>
      <diagonal/>
    </border>
    <border>
      <left style="medium">
        <color indexed="8"/>
      </left>
      <right style="medium">
        <color indexed="64"/>
      </right>
      <top style="hair">
        <color indexed="64"/>
      </top>
      <bottom style="hair">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right style="hair">
        <color indexed="8"/>
      </right>
      <top style="hair">
        <color indexed="8"/>
      </top>
      <bottom/>
      <diagonal/>
    </border>
    <border>
      <left style="thin">
        <color auto="1"/>
      </left>
      <right style="thin">
        <color auto="1"/>
      </right>
      <top style="thin">
        <color auto="1"/>
      </top>
      <bottom style="thin">
        <color auto="1"/>
      </bottom>
      <diagonal/>
    </border>
  </borders>
  <cellStyleXfs count="30">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0" borderId="0">
      <alignment vertical="center"/>
    </xf>
  </cellStyleXfs>
  <cellXfs count="823">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40" fontId="0" fillId="2" borderId="15" xfId="2" applyNumberFormat="1" applyFont="1" applyFill="1" applyBorder="1" applyAlignment="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0"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23" fillId="0" borderId="75" xfId="2" applyNumberFormat="1" applyFont="1" applyFill="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0" fontId="23" fillId="0" borderId="19" xfId="7" applyFont="1" applyBorder="1" applyAlignment="1" applyProtection="1">
      <alignment horizontal="center" vertical="center" textRotation="255" wrapText="1"/>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horizontal="left" vertical="center"/>
      <protection locked="0"/>
    </xf>
    <xf numFmtId="0" fontId="9" fillId="2" borderId="42" xfId="3" applyNumberFormat="1" applyFont="1" applyFill="1" applyBorder="1" applyAlignment="1" applyProtection="1">
      <alignment horizontal="left" vertical="center"/>
      <protection locked="0"/>
    </xf>
    <xf numFmtId="14" fontId="9" fillId="2" borderId="47" xfId="3" applyNumberFormat="1" applyFont="1" applyFill="1" applyBorder="1" applyAlignment="1" applyProtection="1">
      <alignment horizontal="lef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181" fontId="30" fillId="2" borderId="47" xfId="3" applyNumberFormat="1" applyFont="1" applyFill="1" applyBorder="1" applyAlignment="1" applyProtection="1">
      <alignment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2" borderId="47" xfId="3" applyNumberFormat="1" applyFont="1" applyFill="1" applyBorder="1" applyAlignment="1" applyProtection="1">
      <alignment horizontal="left" vertical="center"/>
      <protection locked="0"/>
    </xf>
    <xf numFmtId="182" fontId="9" fillId="3" borderId="47"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5" fillId="3" borderId="47" xfId="3" applyFont="1" applyFill="1" applyBorder="1" applyAlignment="1" applyProtection="1">
      <alignment horizontal="center" vertical="center"/>
      <protection locked="0"/>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0" fontId="25" fillId="2" borderId="47" xfId="3" applyNumberFormat="1" applyFont="1" applyFill="1" applyBorder="1" applyAlignment="1" applyProtection="1">
      <alignment vertical="center"/>
      <protection locked="0"/>
    </xf>
    <xf numFmtId="3" fontId="30" fillId="2" borderId="47" xfId="3" applyNumberFormat="1" applyFont="1" applyFill="1" applyBorder="1" applyAlignment="1" applyProtection="1">
      <alignment horizontal="center" vertical="center"/>
      <protection locked="0"/>
    </xf>
    <xf numFmtId="9" fontId="30" fillId="2" borderId="47" xfId="1" applyNumberFormat="1" applyFont="1" applyFill="1" applyBorder="1" applyAlignment="1" applyProtection="1">
      <alignment horizontal="center" vertical="center"/>
      <protection locked="0"/>
    </xf>
    <xf numFmtId="0" fontId="9" fillId="2" borderId="84" xfId="3" applyNumberFormat="1" applyFont="1" applyFill="1" applyBorder="1" applyAlignment="1" applyProtection="1">
      <alignment horizontal="left" vertical="center"/>
      <protection locked="0"/>
    </xf>
    <xf numFmtId="181" fontId="23" fillId="2" borderId="84" xfId="3" applyNumberFormat="1" applyFont="1" applyFill="1" applyBorder="1" applyAlignment="1" applyProtection="1">
      <alignment vertical="center"/>
      <protection locked="0"/>
    </xf>
    <xf numFmtId="0" fontId="9" fillId="3" borderId="84" xfId="3" applyNumberFormat="1" applyFont="1" applyFill="1" applyBorder="1" applyAlignment="1" applyProtection="1">
      <alignment horizontal="center" vertical="center"/>
      <protection locked="0"/>
    </xf>
    <xf numFmtId="3" fontId="23" fillId="2" borderId="84" xfId="3" applyNumberFormat="1" applyFont="1" applyFill="1" applyBorder="1" applyAlignment="1" applyProtection="1">
      <alignment horizontal="center" vertical="center"/>
      <protection locked="0"/>
    </xf>
    <xf numFmtId="9" fontId="23" fillId="2" borderId="84" xfId="1" applyNumberFormat="1" applyFont="1" applyFill="1" applyBorder="1" applyAlignment="1" applyProtection="1">
      <alignment horizontal="center" vertical="center"/>
      <protection locked="0"/>
    </xf>
    <xf numFmtId="38" fontId="23" fillId="2" borderId="84" xfId="2" applyFont="1" applyFill="1" applyBorder="1" applyAlignment="1" applyProtection="1">
      <alignment vertical="center"/>
      <protection locked="0"/>
    </xf>
    <xf numFmtId="38" fontId="23" fillId="3" borderId="84" xfId="2" applyFont="1" applyFill="1" applyBorder="1" applyAlignment="1" applyProtection="1">
      <alignment horizontal="center" vertical="center"/>
      <protection locked="0"/>
    </xf>
    <xf numFmtId="38" fontId="23" fillId="11" borderId="84" xfId="2" applyFont="1" applyFill="1" applyBorder="1" applyAlignment="1" applyProtection="1">
      <alignment vertical="center"/>
      <protection locked="0"/>
    </xf>
    <xf numFmtId="38" fontId="23" fillId="2" borderId="85" xfId="2" applyFont="1" applyFill="1" applyBorder="1" applyAlignment="1" applyProtection="1">
      <alignment vertical="center"/>
      <protection locked="0"/>
    </xf>
    <xf numFmtId="9" fontId="23" fillId="2" borderId="86" xfId="1" applyFont="1" applyFill="1" applyBorder="1" applyAlignment="1" applyProtection="1">
      <alignment vertical="center"/>
      <protection locked="0"/>
    </xf>
    <xf numFmtId="9" fontId="23" fillId="2" borderId="84" xfId="1"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181" fontId="23" fillId="7" borderId="88" xfId="3" applyNumberFormat="1" applyFont="1" applyFill="1" applyBorder="1" applyAlignment="1" applyProtection="1">
      <alignment vertical="center"/>
      <protection locked="0"/>
    </xf>
    <xf numFmtId="181" fontId="23" fillId="7" borderId="84"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2" fontId="24" fillId="2" borderId="89" xfId="3" applyNumberFormat="1" applyFont="1" applyFill="1" applyBorder="1" applyAlignment="1" applyProtection="1">
      <alignment vertical="center"/>
      <protection locked="0"/>
    </xf>
    <xf numFmtId="182" fontId="24" fillId="2" borderId="91" xfId="3" applyNumberFormat="1" applyFont="1" applyFill="1" applyBorder="1" applyAlignment="1" applyProtection="1">
      <alignment vertical="center"/>
      <protection locked="0"/>
    </xf>
    <xf numFmtId="181" fontId="23" fillId="16" borderId="93" xfId="3" applyNumberFormat="1" applyFont="1" applyFill="1" applyBorder="1" applyAlignment="1" applyProtection="1">
      <alignment vertical="center"/>
    </xf>
    <xf numFmtId="181" fontId="23" fillId="2" borderId="99" xfId="3" applyNumberFormat="1" applyFont="1" applyFill="1" applyBorder="1" applyAlignment="1" applyProtection="1">
      <alignment vertical="center"/>
      <protection locked="0"/>
    </xf>
    <xf numFmtId="0" fontId="9" fillId="3" borderId="99" xfId="3" applyNumberFormat="1" applyFont="1" applyFill="1" applyBorder="1" applyAlignment="1" applyProtection="1">
      <alignment horizontal="center" vertical="center"/>
      <protection locked="0"/>
    </xf>
    <xf numFmtId="3" fontId="23" fillId="2" borderId="99" xfId="3" applyNumberFormat="1" applyFont="1" applyFill="1" applyBorder="1" applyAlignment="1" applyProtection="1">
      <alignment horizontal="center" vertical="center"/>
      <protection locked="0"/>
    </xf>
    <xf numFmtId="9" fontId="23" fillId="2" borderId="99" xfId="1" applyNumberFormat="1" applyFont="1" applyFill="1" applyBorder="1" applyAlignment="1" applyProtection="1">
      <alignment horizontal="center" vertical="center"/>
      <protection locked="0"/>
    </xf>
    <xf numFmtId="38" fontId="23" fillId="2" borderId="99" xfId="2" applyFont="1" applyFill="1" applyBorder="1" applyAlignment="1" applyProtection="1">
      <alignment vertical="center"/>
      <protection locked="0"/>
    </xf>
    <xf numFmtId="38" fontId="23" fillId="3" borderId="99" xfId="2" applyFont="1" applyFill="1" applyBorder="1" applyAlignment="1" applyProtection="1">
      <alignment horizontal="center" vertical="center"/>
      <protection locked="0"/>
    </xf>
    <xf numFmtId="38" fontId="23" fillId="11" borderId="99" xfId="2" applyFont="1" applyFill="1" applyBorder="1" applyAlignment="1" applyProtection="1">
      <alignment vertical="center"/>
      <protection locked="0"/>
    </xf>
    <xf numFmtId="38" fontId="23" fillId="2" borderId="100" xfId="2" applyFont="1" applyFill="1" applyBorder="1" applyAlignment="1" applyProtection="1">
      <alignment vertical="center"/>
      <protection locked="0"/>
    </xf>
    <xf numFmtId="9" fontId="23" fillId="2" borderId="101" xfId="1" applyFont="1" applyFill="1" applyBorder="1" applyAlignment="1" applyProtection="1">
      <alignment vertical="center"/>
      <protection locked="0"/>
    </xf>
    <xf numFmtId="9" fontId="23" fillId="2" borderId="99" xfId="1"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181" fontId="23" fillId="7" borderId="103" xfId="3" applyNumberFormat="1" applyFont="1" applyFill="1" applyBorder="1" applyAlignment="1" applyProtection="1">
      <alignment vertical="center"/>
      <protection locked="0"/>
    </xf>
    <xf numFmtId="181" fontId="23" fillId="7" borderId="99"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2" fontId="24" fillId="2" borderId="104" xfId="3" applyNumberFormat="1" applyFont="1" applyFill="1" applyBorder="1" applyAlignment="1" applyProtection="1">
      <alignment vertical="center"/>
      <protection locked="0"/>
    </xf>
    <xf numFmtId="0" fontId="9" fillId="2" borderId="105" xfId="3" applyNumberFormat="1" applyFont="1" applyFill="1" applyBorder="1" applyAlignment="1" applyProtection="1">
      <alignment horizontal="lef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9" fillId="2" borderId="109" xfId="3" applyNumberFormat="1" applyFont="1" applyFill="1" applyBorder="1" applyAlignment="1" applyProtection="1">
      <alignment horizontal="left" vertical="center"/>
      <protection locked="0"/>
    </xf>
    <xf numFmtId="182" fontId="9" fillId="2" borderId="99" xfId="3" applyNumberFormat="1" applyFont="1" applyFill="1" applyBorder="1" applyAlignment="1" applyProtection="1">
      <alignment horizontal="left" vertical="center"/>
      <protection locked="0"/>
    </xf>
    <xf numFmtId="182" fontId="9" fillId="3" borderId="99" xfId="3" applyNumberFormat="1" applyFont="1" applyFill="1" applyBorder="1" applyAlignment="1" applyProtection="1">
      <alignment horizontal="center" vertical="center"/>
      <protection locked="0"/>
    </xf>
    <xf numFmtId="182" fontId="24" fillId="2" borderId="112" xfId="3" applyNumberFormat="1" applyFont="1" applyFill="1" applyBorder="1" applyAlignment="1" applyProtection="1">
      <alignment vertical="center"/>
      <protection locked="0"/>
    </xf>
    <xf numFmtId="182" fontId="32" fillId="2" borderId="112" xfId="3" applyNumberFormat="1" applyFont="1" applyFill="1" applyBorder="1" applyAlignment="1" applyProtection="1">
      <alignment vertical="center"/>
      <protection locked="0"/>
    </xf>
    <xf numFmtId="182" fontId="9" fillId="2" borderId="84" xfId="3" applyNumberFormat="1" applyFont="1" applyFill="1" applyBorder="1" applyAlignment="1" applyProtection="1">
      <alignment vertical="center"/>
      <protection locked="0"/>
    </xf>
    <xf numFmtId="182" fontId="9" fillId="3" borderId="84" xfId="3" applyNumberFormat="1" applyFont="1" applyFill="1" applyBorder="1" applyAlignment="1" applyProtection="1">
      <alignment horizontal="center" vertical="center"/>
      <protection locked="0"/>
    </xf>
    <xf numFmtId="0" fontId="24" fillId="2" borderId="112" xfId="3" applyNumberFormat="1" applyFont="1" applyFill="1" applyBorder="1" applyAlignment="1" applyProtection="1">
      <alignment vertical="center"/>
      <protection locked="0"/>
    </xf>
    <xf numFmtId="182" fontId="9" fillId="2" borderId="99" xfId="3" applyNumberFormat="1" applyFont="1" applyFill="1" applyBorder="1" applyAlignment="1" applyProtection="1">
      <alignment vertical="center"/>
      <protection locked="0"/>
    </xf>
    <xf numFmtId="0" fontId="24" fillId="2" borderId="104" xfId="3" applyNumberFormat="1" applyFont="1" applyFill="1" applyBorder="1" applyAlignment="1" applyProtection="1">
      <alignment vertical="center"/>
      <protection locked="0"/>
    </xf>
    <xf numFmtId="0" fontId="9" fillId="2" borderId="99" xfId="3" applyNumberFormat="1" applyFont="1" applyFill="1" applyBorder="1" applyAlignment="1" applyProtection="1">
      <alignment vertical="center"/>
      <protection locked="0"/>
    </xf>
    <xf numFmtId="0" fontId="9" fillId="3" borderId="99" xfId="3" applyFont="1" applyFill="1" applyBorder="1" applyAlignment="1" applyProtection="1">
      <alignment horizontal="center" vertical="center"/>
      <protection locked="0"/>
    </xf>
    <xf numFmtId="0" fontId="0" fillId="13" borderId="2" xfId="0" applyFill="1" applyBorder="1" applyAlignment="1" applyProtection="1">
      <alignment vertical="center"/>
      <protection locked="0"/>
    </xf>
    <xf numFmtId="40" fontId="0" fillId="12" borderId="2"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4" fillId="0" borderId="0" xfId="12" applyFont="1" applyAlignment="1">
      <alignment shrinkToFit="1"/>
    </xf>
    <xf numFmtId="0" fontId="34" fillId="0" borderId="0" xfId="12" applyFont="1"/>
    <xf numFmtId="0" fontId="10" fillId="0" borderId="0" xfId="12" applyFont="1"/>
    <xf numFmtId="0" fontId="16" fillId="0" borderId="115" xfId="12" applyBorder="1"/>
    <xf numFmtId="0" fontId="16" fillId="0" borderId="115" xfId="12" applyFont="1" applyBorder="1"/>
    <xf numFmtId="0" fontId="10" fillId="0" borderId="115" xfId="12" applyFont="1" applyBorder="1"/>
    <xf numFmtId="0" fontId="16" fillId="0" borderId="0" xfId="12" applyFill="1" applyBorder="1"/>
    <xf numFmtId="191" fontId="16" fillId="20" borderId="115" xfId="12" applyNumberFormat="1" applyFont="1" applyFill="1" applyBorder="1" applyProtection="1">
      <protection locked="0"/>
    </xf>
    <xf numFmtId="0" fontId="3" fillId="0" borderId="115" xfId="12" applyFont="1" applyBorder="1"/>
    <xf numFmtId="192" fontId="16" fillId="20" borderId="115" xfId="12" applyNumberFormat="1" applyFill="1" applyBorder="1" applyProtection="1">
      <protection locked="0"/>
    </xf>
    <xf numFmtId="193" fontId="16" fillId="20" borderId="115" xfId="12" applyNumberFormat="1" applyFill="1" applyBorder="1" applyAlignment="1" applyProtection="1">
      <protection locked="0"/>
    </xf>
    <xf numFmtId="191" fontId="16" fillId="21" borderId="115"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1" borderId="115" xfId="12" applyNumberFormat="1" applyFill="1" applyBorder="1"/>
    <xf numFmtId="0" fontId="16" fillId="0" borderId="0" xfId="12" applyFont="1" applyFill="1" applyBorder="1"/>
    <xf numFmtId="0" fontId="34" fillId="0" borderId="0" xfId="12" applyFont="1" applyFill="1" applyBorder="1" applyProtection="1">
      <protection locked="0"/>
    </xf>
    <xf numFmtId="0" fontId="3" fillId="0" borderId="0" xfId="12" applyFont="1" applyBorder="1" applyAlignment="1">
      <alignment horizontal="center"/>
    </xf>
    <xf numFmtId="0" fontId="34" fillId="0" borderId="0" xfId="12" applyFont="1" applyBorder="1" applyAlignment="1" applyProtection="1">
      <alignment horizontal="center"/>
      <protection locked="0"/>
    </xf>
    <xf numFmtId="0" fontId="0" fillId="0" borderId="115" xfId="0" applyBorder="1" applyAlignment="1">
      <alignment horizontal="center"/>
    </xf>
    <xf numFmtId="0" fontId="0" fillId="12" borderId="115" xfId="0" applyFill="1" applyBorder="1"/>
    <xf numFmtId="0" fontId="0" fillId="0" borderId="115" xfId="0" applyBorder="1"/>
    <xf numFmtId="0" fontId="0" fillId="7" borderId="115" xfId="0" applyFill="1" applyBorder="1"/>
    <xf numFmtId="0" fontId="0" fillId="22" borderId="115" xfId="0" applyFill="1" applyBorder="1"/>
    <xf numFmtId="0" fontId="0" fillId="23" borderId="115"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3"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38" xfId="2" applyNumberFormat="1" applyFont="1" applyFill="1" applyBorder="1" applyAlignment="1" applyProtection="1">
      <alignment vertical="center"/>
    </xf>
    <xf numFmtId="185" fontId="16" fillId="0" borderId="139" xfId="2" applyNumberFormat="1" applyFont="1" applyFill="1" applyBorder="1" applyAlignment="1" applyProtection="1">
      <alignment vertical="center"/>
    </xf>
    <xf numFmtId="0" fontId="16" fillId="0" borderId="141" xfId="6" applyFont="1" applyBorder="1" applyAlignment="1" applyProtection="1">
      <alignment horizontal="justify" vertical="center" indent="1" shrinkToFit="1"/>
    </xf>
    <xf numFmtId="0" fontId="0" fillId="0" borderId="141" xfId="6" applyFont="1" applyBorder="1" applyAlignment="1" applyProtection="1">
      <alignment horizontal="justify" vertical="center" indent="1" shrinkToFit="1"/>
    </xf>
    <xf numFmtId="185" fontId="16" fillId="0" borderId="142" xfId="2" applyNumberFormat="1" applyFont="1" applyFill="1" applyBorder="1" applyAlignment="1" applyProtection="1">
      <alignment vertical="center"/>
    </xf>
    <xf numFmtId="185" fontId="16" fillId="0" borderId="143" xfId="2" applyNumberFormat="1" applyFont="1" applyFill="1" applyBorder="1" applyAlignment="1" applyProtection="1">
      <alignment vertical="center"/>
    </xf>
    <xf numFmtId="185" fontId="16" fillId="0" borderId="144" xfId="2" applyNumberFormat="1" applyFont="1" applyFill="1" applyBorder="1" applyAlignment="1" applyProtection="1">
      <alignment vertical="center"/>
    </xf>
    <xf numFmtId="185" fontId="16" fillId="0" borderId="145" xfId="2" applyNumberFormat="1" applyFont="1" applyFill="1" applyBorder="1" applyAlignment="1" applyProtection="1">
      <alignment vertical="center"/>
    </xf>
    <xf numFmtId="185" fontId="16" fillId="0" borderId="146"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4"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6" borderId="113" xfId="3" applyNumberFormat="1" applyFont="1" applyFill="1" applyBorder="1" applyAlignment="1" applyProtection="1">
      <alignment horizontal="left" vertical="center"/>
    </xf>
    <xf numFmtId="0" fontId="9" fillId="15" borderId="93" xfId="3" applyNumberFormat="1" applyFont="1" applyFill="1" applyBorder="1" applyAlignment="1" applyProtection="1">
      <alignment horizontal="center" vertical="center"/>
    </xf>
    <xf numFmtId="3" fontId="23" fillId="16" borderId="93" xfId="3" applyNumberFormat="1" applyFont="1" applyFill="1" applyBorder="1" applyAlignment="1" applyProtection="1">
      <alignment horizontal="center" vertical="center"/>
    </xf>
    <xf numFmtId="9" fontId="23" fillId="16" borderId="93" xfId="1" applyNumberFormat="1" applyFont="1" applyFill="1" applyBorder="1" applyAlignment="1" applyProtection="1">
      <alignment horizontal="center" vertical="center"/>
    </xf>
    <xf numFmtId="38" fontId="23" fillId="16" borderId="93" xfId="2" applyFont="1" applyFill="1" applyBorder="1" applyAlignment="1" applyProtection="1">
      <alignment vertical="center"/>
    </xf>
    <xf numFmtId="38" fontId="23" fillId="15" borderId="93" xfId="2" applyFont="1" applyFill="1" applyBorder="1" applyAlignment="1" applyProtection="1">
      <alignment horizontal="center" vertical="center"/>
    </xf>
    <xf numFmtId="38" fontId="23" fillId="17" borderId="93" xfId="2" applyFont="1" applyFill="1" applyBorder="1" applyAlignment="1" applyProtection="1">
      <alignment vertical="center"/>
    </xf>
    <xf numFmtId="38" fontId="23" fillId="16" borderId="94" xfId="2" applyFont="1" applyFill="1" applyBorder="1" applyAlignment="1" applyProtection="1">
      <alignment vertical="center"/>
    </xf>
    <xf numFmtId="9" fontId="23" fillId="16" borderId="95" xfId="1" applyFont="1" applyFill="1" applyBorder="1" applyAlignment="1" applyProtection="1">
      <alignment vertical="center"/>
    </xf>
    <xf numFmtId="9" fontId="23" fillId="16" borderId="93" xfId="1" applyFont="1" applyFill="1" applyBorder="1" applyAlignment="1" applyProtection="1">
      <alignment vertical="center"/>
    </xf>
    <xf numFmtId="9" fontId="23" fillId="16" borderId="96" xfId="1" applyFont="1" applyFill="1" applyBorder="1" applyAlignment="1" applyProtection="1">
      <alignment vertical="center"/>
    </xf>
    <xf numFmtId="181" fontId="23" fillId="18" borderId="97" xfId="3" applyNumberFormat="1" applyFont="1" applyFill="1" applyBorder="1" applyAlignment="1" applyProtection="1">
      <alignment vertical="center"/>
    </xf>
    <xf numFmtId="181" fontId="23" fillId="18" borderId="93" xfId="3" applyNumberFormat="1" applyFont="1" applyFill="1" applyBorder="1" applyAlignment="1" applyProtection="1">
      <alignment vertical="center"/>
    </xf>
    <xf numFmtId="181" fontId="23" fillId="18" borderId="94" xfId="3" applyNumberFormat="1" applyFont="1" applyFill="1" applyBorder="1" applyAlignment="1" applyProtection="1">
      <alignment vertical="center"/>
    </xf>
    <xf numFmtId="182" fontId="24" fillId="16" borderId="98"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0" fontId="16" fillId="0" borderId="0" xfId="3" applyNumberFormat="1" applyFont="1" applyBorder="1" applyProtection="1"/>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24" fillId="0" borderId="0" xfId="3" applyNumberFormat="1" applyFont="1" applyBorder="1" applyProtection="1"/>
    <xf numFmtId="0" fontId="15" fillId="0" borderId="0" xfId="3" applyFont="1" applyAlignment="1" applyProtection="1">
      <alignment vertical="center"/>
    </xf>
    <xf numFmtId="181" fontId="23" fillId="0" borderId="84" xfId="3" applyNumberFormat="1" applyFont="1" applyFill="1" applyBorder="1" applyAlignment="1" applyProtection="1">
      <alignment vertical="center"/>
    </xf>
    <xf numFmtId="182" fontId="9" fillId="0" borderId="47"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99" xfId="3" applyNumberFormat="1" applyFont="1" applyFill="1" applyBorder="1" applyAlignment="1" applyProtection="1">
      <alignment vertical="center"/>
    </xf>
    <xf numFmtId="182" fontId="9" fillId="0" borderId="47" xfId="3" applyNumberFormat="1" applyFont="1" applyFill="1" applyBorder="1" applyAlignment="1" applyProtection="1">
      <alignment horizontal="center" vertical="center"/>
    </xf>
    <xf numFmtId="0" fontId="9" fillId="0" borderId="84"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vertical="center"/>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0" fontId="0" fillId="12" borderId="2" xfId="0" applyFont="1" applyFill="1" applyBorder="1" applyAlignment="1" applyProtection="1">
      <alignment horizontal="center" vertical="center"/>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4"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0" xfId="2" applyNumberFormat="1" applyFont="1" applyFill="1" applyBorder="1" applyAlignment="1" applyProtection="1">
      <alignment vertical="center"/>
    </xf>
    <xf numFmtId="0" fontId="16" fillId="0" borderId="136"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4"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99" xfId="3" applyNumberFormat="1" applyFont="1" applyFill="1" applyBorder="1" applyAlignment="1" applyProtection="1">
      <alignment vertical="center"/>
      <protection locked="0"/>
    </xf>
    <xf numFmtId="200" fontId="23" fillId="16" borderId="93"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200" fontId="30" fillId="2" borderId="47"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4" borderId="122"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27"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55"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56" xfId="6" applyFont="1" applyBorder="1" applyAlignment="1" applyProtection="1">
      <alignment horizontal="center" vertical="center" textRotation="255" wrapText="1"/>
    </xf>
    <xf numFmtId="0" fontId="16" fillId="0" borderId="157" xfId="6" applyFont="1" applyBorder="1" applyAlignment="1" applyProtection="1">
      <alignment horizontal="center" vertical="center" textRotation="255" wrapText="1"/>
    </xf>
    <xf numFmtId="0" fontId="16" fillId="0" borderId="158"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59" xfId="6" applyFont="1" applyBorder="1" applyAlignment="1" applyProtection="1">
      <alignment horizontal="center" vertical="center"/>
    </xf>
    <xf numFmtId="0" fontId="16" fillId="0" borderId="160"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46"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1" xfId="6" applyFont="1" applyBorder="1" applyAlignment="1" applyProtection="1">
      <alignment horizontal="justify" vertical="center" indent="1"/>
    </xf>
    <xf numFmtId="0" fontId="4" fillId="0" borderId="162" xfId="0" applyFont="1" applyBorder="1" applyAlignment="1" applyProtection="1">
      <alignment horizontal="center" vertical="center"/>
    </xf>
    <xf numFmtId="201" fontId="4" fillId="12" borderId="132"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3" fillId="0" borderId="169" xfId="0" applyNumberFormat="1" applyFont="1" applyBorder="1" applyAlignment="1">
      <alignment vertical="center"/>
    </xf>
    <xf numFmtId="197" fontId="0" fillId="0" borderId="170" xfId="0" applyNumberFormat="1" applyFont="1" applyBorder="1" applyAlignment="1">
      <alignment horizontal="center" vertical="center"/>
    </xf>
    <xf numFmtId="197" fontId="0" fillId="0" borderId="169" xfId="0" applyNumberFormat="1" applyFont="1" applyBorder="1" applyAlignment="1">
      <alignment horizontal="center" vertical="center"/>
    </xf>
    <xf numFmtId="197" fontId="0" fillId="0" borderId="171" xfId="0" applyNumberFormat="1" applyFont="1" applyBorder="1" applyAlignment="1">
      <alignment horizontal="center" vertical="center"/>
    </xf>
    <xf numFmtId="197" fontId="0" fillId="0" borderId="172" xfId="0" applyNumberFormat="1" applyFont="1" applyBorder="1" applyAlignment="1">
      <alignment horizontal="center" vertical="center"/>
    </xf>
    <xf numFmtId="197" fontId="0" fillId="18" borderId="167" xfId="0" applyNumberFormat="1" applyFont="1" applyFill="1" applyBorder="1" applyAlignment="1">
      <alignment horizontal="center" vertical="center"/>
    </xf>
    <xf numFmtId="197" fontId="0" fillId="0" borderId="123" xfId="0" applyNumberFormat="1" applyBorder="1" applyAlignment="1">
      <alignment horizontal="center" vertical="center"/>
    </xf>
    <xf numFmtId="0" fontId="0" fillId="0" borderId="11" xfId="6" applyFont="1" applyBorder="1" applyAlignment="1" applyProtection="1">
      <alignment horizontal="left" vertical="center" indent="1"/>
    </xf>
    <xf numFmtId="0" fontId="9" fillId="16" borderId="189" xfId="3" applyNumberFormat="1" applyFont="1" applyFill="1" applyBorder="1" applyAlignment="1" applyProtection="1">
      <alignment horizontal="left" vertical="center"/>
    </xf>
    <xf numFmtId="181" fontId="23" fillId="18" borderId="190" xfId="3" applyNumberFormat="1" applyFont="1" applyFill="1" applyBorder="1" applyAlignment="1" applyProtection="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8" borderId="93" xfId="3" applyNumberFormat="1" applyFont="1" applyFill="1" applyBorder="1" applyAlignment="1" applyProtection="1">
      <alignment vertical="center"/>
    </xf>
    <xf numFmtId="3" fontId="23" fillId="0" borderId="84"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99"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1" fontId="30" fillId="0" borderId="47" xfId="3" applyNumberFormat="1" applyFont="1" applyFill="1" applyBorder="1" applyAlignment="1" applyProtection="1">
      <alignment vertical="center"/>
    </xf>
    <xf numFmtId="3" fontId="30" fillId="0" borderId="47" xfId="3" applyNumberFormat="1" applyFont="1" applyFill="1" applyBorder="1" applyAlignment="1" applyProtection="1">
      <alignment vertical="center"/>
    </xf>
    <xf numFmtId="189" fontId="16" fillId="2" borderId="47" xfId="1" applyNumberFormat="1" applyFill="1" applyBorder="1" applyAlignment="1" applyProtection="1">
      <alignment vertical="center"/>
      <protection locked="0"/>
    </xf>
    <xf numFmtId="198" fontId="23" fillId="0" borderId="47" xfId="3" applyNumberFormat="1" applyFont="1" applyFill="1" applyBorder="1" applyAlignment="1" applyProtection="1">
      <alignment vertical="center"/>
    </xf>
    <xf numFmtId="198" fontId="23" fillId="0" borderId="99" xfId="3" applyNumberFormat="1" applyFont="1" applyFill="1" applyBorder="1" applyAlignment="1" applyProtection="1">
      <alignment vertical="center"/>
    </xf>
    <xf numFmtId="38" fontId="16" fillId="12" borderId="134" xfId="2" applyFill="1" applyBorder="1" applyAlignment="1" applyProtection="1">
      <alignment vertical="center"/>
      <protection locked="0"/>
    </xf>
    <xf numFmtId="38" fontId="16" fillId="12" borderId="115" xfId="2" applyFill="1" applyBorder="1" applyAlignment="1" applyProtection="1">
      <alignment vertical="center"/>
      <protection locked="0"/>
    </xf>
    <xf numFmtId="38" fontId="16" fillId="0" borderId="130" xfId="2" applyBorder="1" applyAlignment="1">
      <alignment vertical="center"/>
    </xf>
    <xf numFmtId="38" fontId="16" fillId="0" borderId="130" xfId="2" applyBorder="1" applyAlignment="1">
      <alignment horizontal="right" vertical="center"/>
    </xf>
    <xf numFmtId="38" fontId="16" fillId="12" borderId="132" xfId="2" applyFill="1" applyBorder="1" applyAlignment="1" applyProtection="1">
      <alignment vertical="center"/>
      <protection locked="0"/>
    </xf>
    <xf numFmtId="38" fontId="16" fillId="12" borderId="165" xfId="2" applyFill="1" applyBorder="1" applyAlignment="1" applyProtection="1">
      <alignment vertical="center"/>
      <protection locked="0"/>
    </xf>
    <xf numFmtId="38" fontId="16" fillId="0" borderId="133" xfId="2" applyBorder="1" applyAlignment="1">
      <alignment horizontal="right" vertical="center"/>
    </xf>
    <xf numFmtId="38" fontId="16" fillId="12" borderId="181" xfId="2" applyFill="1" applyBorder="1" applyAlignment="1" applyProtection="1">
      <alignment vertical="center"/>
      <protection locked="0"/>
    </xf>
    <xf numFmtId="38" fontId="16" fillId="12" borderId="182" xfId="2" applyFill="1" applyBorder="1" applyAlignment="1" applyProtection="1">
      <alignment vertical="center"/>
      <protection locked="0"/>
    </xf>
    <xf numFmtId="38" fontId="16" fillId="0" borderId="125" xfId="2" applyBorder="1" applyAlignment="1">
      <alignment horizontal="right" vertical="center"/>
    </xf>
    <xf numFmtId="38" fontId="16" fillId="18" borderId="177" xfId="2" applyFill="1" applyBorder="1" applyAlignment="1">
      <alignment vertical="center"/>
    </xf>
    <xf numFmtId="38" fontId="16" fillId="18" borderId="178" xfId="2" applyFill="1" applyBorder="1" applyAlignment="1">
      <alignment vertical="center"/>
    </xf>
    <xf numFmtId="38" fontId="16" fillId="18" borderId="179" xfId="2" applyFill="1" applyBorder="1" applyAlignment="1">
      <alignment horizontal="right" vertical="center"/>
    </xf>
    <xf numFmtId="38" fontId="16" fillId="18" borderId="180" xfId="2" applyFill="1" applyBorder="1" applyAlignment="1">
      <alignment horizontal="right" vertical="center"/>
    </xf>
    <xf numFmtId="38" fontId="16" fillId="18" borderId="166" xfId="2" applyFill="1" applyBorder="1" applyAlignment="1">
      <alignment horizontal="right" vertical="center"/>
    </xf>
    <xf numFmtId="38" fontId="16" fillId="12" borderId="174" xfId="2" applyFill="1" applyBorder="1" applyAlignment="1" applyProtection="1">
      <alignment vertical="center"/>
      <protection locked="0"/>
    </xf>
    <xf numFmtId="38" fontId="16" fillId="12" borderId="184" xfId="2" applyFill="1" applyBorder="1" applyAlignment="1" applyProtection="1">
      <alignment vertical="center"/>
      <protection locked="0"/>
    </xf>
    <xf numFmtId="38" fontId="16" fillId="0" borderId="186" xfId="2" applyBorder="1" applyAlignment="1">
      <alignment vertical="center"/>
    </xf>
    <xf numFmtId="38" fontId="16" fillId="12" borderId="175" xfId="2" applyFill="1" applyBorder="1" applyAlignment="1" applyProtection="1">
      <alignment vertical="center"/>
      <protection locked="0"/>
    </xf>
    <xf numFmtId="38" fontId="16" fillId="12" borderId="185" xfId="2" applyFill="1" applyBorder="1" applyAlignment="1" applyProtection="1">
      <alignment vertical="center"/>
      <protection locked="0"/>
    </xf>
    <xf numFmtId="38" fontId="16" fillId="0" borderId="187" xfId="2" applyBorder="1" applyAlignment="1">
      <alignment vertical="center"/>
    </xf>
    <xf numFmtId="38" fontId="16" fillId="12" borderId="176" xfId="2" applyFill="1" applyBorder="1" applyAlignment="1" applyProtection="1">
      <alignment vertical="center"/>
      <protection locked="0"/>
    </xf>
    <xf numFmtId="38" fontId="16" fillId="12" borderId="124" xfId="2" applyFill="1" applyBorder="1" applyAlignment="1" applyProtection="1">
      <alignment vertical="center"/>
      <protection locked="0"/>
    </xf>
    <xf numFmtId="38" fontId="16" fillId="0" borderId="176" xfId="2" applyBorder="1" applyAlignment="1">
      <alignment vertical="center"/>
    </xf>
    <xf numFmtId="198" fontId="9" fillId="0" borderId="23" xfId="7" applyNumberFormat="1" applyFont="1" applyBorder="1" applyAlignment="1" applyProtection="1">
      <alignment vertical="center"/>
    </xf>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21" fillId="7" borderId="2" xfId="0" applyFont="1" applyFill="1" applyBorder="1" applyAlignment="1" applyProtection="1">
      <alignment shrinkToFit="1"/>
      <protection locked="0"/>
    </xf>
    <xf numFmtId="0" fontId="0" fillId="14" borderId="38" xfId="0" applyFont="1" applyFill="1" applyBorder="1" applyAlignment="1" applyProtection="1">
      <alignment shrinkToFit="1"/>
      <protection locked="0"/>
    </xf>
    <xf numFmtId="0" fontId="0" fillId="14" borderId="2" xfId="0" applyFont="1"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197" fontId="0" fillId="0" borderId="168" xfId="0" applyNumberFormat="1" applyBorder="1" applyAlignment="1">
      <alignment horizontal="center" vertical="center"/>
    </xf>
    <xf numFmtId="197" fontId="0" fillId="0" borderId="193" xfId="0" applyNumberFormat="1" applyBorder="1" applyAlignment="1">
      <alignment horizontal="center" vertical="center"/>
    </xf>
    <xf numFmtId="197" fontId="0" fillId="0" borderId="194" xfId="0" applyNumberFormat="1" applyFont="1" applyBorder="1" applyAlignment="1">
      <alignment horizontal="center" vertical="center" shrinkToFit="1"/>
    </xf>
    <xf numFmtId="0" fontId="23" fillId="25" borderId="196" xfId="3" applyNumberFormat="1" applyFont="1" applyFill="1" applyBorder="1" applyAlignment="1" applyProtection="1">
      <alignment horizontal="center" vertical="center"/>
    </xf>
    <xf numFmtId="0" fontId="12" fillId="2" borderId="197" xfId="3" applyNumberFormat="1" applyFont="1" applyFill="1" applyBorder="1" applyAlignment="1" applyProtection="1">
      <alignment horizontal="center" vertical="center"/>
    </xf>
    <xf numFmtId="0" fontId="12" fillId="2" borderId="198" xfId="3" applyNumberFormat="1" applyFont="1" applyFill="1" applyBorder="1" applyAlignment="1" applyProtection="1">
      <alignment horizontal="center" vertical="center"/>
    </xf>
    <xf numFmtId="0" fontId="12" fillId="3" borderId="198" xfId="3" applyNumberFormat="1" applyFont="1" applyFill="1" applyBorder="1" applyAlignment="1" applyProtection="1">
      <alignment horizontal="center" vertical="center"/>
    </xf>
    <xf numFmtId="200" fontId="12" fillId="2" borderId="198" xfId="3" applyNumberFormat="1" applyFont="1" applyFill="1" applyBorder="1" applyAlignment="1" applyProtection="1">
      <alignment horizontal="center" vertical="center"/>
    </xf>
    <xf numFmtId="0" fontId="27" fillId="2" borderId="198" xfId="3" applyNumberFormat="1" applyFont="1" applyFill="1" applyBorder="1" applyAlignment="1" applyProtection="1">
      <alignment horizontal="center" vertical="center" shrinkToFit="1"/>
    </xf>
    <xf numFmtId="0" fontId="12" fillId="0" borderId="199" xfId="3" applyNumberFormat="1" applyFont="1" applyFill="1" applyBorder="1" applyAlignment="1" applyProtection="1">
      <alignment horizontal="center" vertical="center"/>
    </xf>
    <xf numFmtId="38" fontId="28" fillId="4" borderId="198" xfId="2" applyFont="1" applyFill="1" applyBorder="1" applyAlignment="1" applyProtection="1">
      <alignment horizontal="center" vertical="center"/>
    </xf>
    <xf numFmtId="38" fontId="28" fillId="3" borderId="198" xfId="2" applyFont="1" applyFill="1" applyBorder="1" applyAlignment="1" applyProtection="1">
      <alignment horizontal="center" vertical="center"/>
    </xf>
    <xf numFmtId="38" fontId="29" fillId="10" borderId="198" xfId="2" applyFont="1" applyFill="1" applyBorder="1" applyAlignment="1" applyProtection="1">
      <alignment horizontal="center" vertical="center"/>
    </xf>
    <xf numFmtId="38" fontId="28" fillId="4" borderId="199" xfId="2" applyFont="1" applyFill="1" applyBorder="1" applyAlignment="1" applyProtection="1">
      <alignment horizontal="center" vertical="center"/>
    </xf>
    <xf numFmtId="9" fontId="28" fillId="4" borderId="200" xfId="1" applyFont="1" applyFill="1" applyBorder="1" applyAlignment="1" applyProtection="1">
      <alignment horizontal="center" vertical="center"/>
    </xf>
    <xf numFmtId="9" fontId="28" fillId="4" borderId="198" xfId="1" applyFont="1" applyFill="1" applyBorder="1" applyAlignment="1" applyProtection="1">
      <alignment horizontal="center" vertical="center"/>
    </xf>
    <xf numFmtId="9" fontId="28" fillId="4" borderId="201" xfId="1" applyFont="1" applyFill="1" applyBorder="1" applyAlignment="1" applyProtection="1">
      <alignment horizontal="center" vertical="center"/>
    </xf>
    <xf numFmtId="0" fontId="28" fillId="10" borderId="202" xfId="3" applyNumberFormat="1" applyFont="1" applyFill="1" applyBorder="1" applyAlignment="1" applyProtection="1">
      <alignment horizontal="center" vertical="center"/>
    </xf>
    <xf numFmtId="0" fontId="28" fillId="10" borderId="199" xfId="3" applyNumberFormat="1" applyFont="1" applyFill="1" applyBorder="1" applyAlignment="1" applyProtection="1">
      <alignment horizontal="center" vertical="center"/>
    </xf>
    <xf numFmtId="0" fontId="12" fillId="2" borderId="203" xfId="3" applyNumberFormat="1" applyFont="1" applyFill="1" applyBorder="1" applyAlignment="1" applyProtection="1">
      <alignment horizontal="center" vertical="center"/>
    </xf>
    <xf numFmtId="0" fontId="7" fillId="0" borderId="205" xfId="4" applyFont="1" applyFill="1" applyBorder="1" applyAlignment="1"/>
    <xf numFmtId="182" fontId="9" fillId="12" borderId="99" xfId="3" applyNumberFormat="1" applyFont="1" applyFill="1" applyBorder="1" applyAlignment="1" applyProtection="1">
      <alignment vertical="center"/>
      <protection locked="0"/>
    </xf>
    <xf numFmtId="181" fontId="23" fillId="12" borderId="99" xfId="3" applyNumberFormat="1" applyFont="1" applyFill="1" applyBorder="1" applyAlignment="1" applyProtection="1">
      <alignment vertical="center"/>
      <protection locked="0"/>
    </xf>
    <xf numFmtId="182" fontId="9" fillId="12" borderId="99"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shrinkToFit="1"/>
      <protection locked="0"/>
    </xf>
    <xf numFmtId="182" fontId="9" fillId="2" borderId="47" xfId="3" applyNumberFormat="1" applyFont="1" applyFill="1" applyBorder="1" applyAlignment="1" applyProtection="1">
      <alignment horizontal="left" vertical="center" shrinkToFit="1"/>
      <protection locked="0"/>
    </xf>
    <xf numFmtId="0" fontId="9" fillId="2" borderId="47" xfId="3" applyNumberFormat="1" applyFont="1" applyFill="1" applyBorder="1" applyAlignment="1" applyProtection="1">
      <alignment vertical="center" shrinkToFit="1"/>
      <protection locked="0"/>
    </xf>
    <xf numFmtId="14" fontId="9" fillId="2" borderId="99" xfId="3" applyNumberFormat="1" applyFont="1" applyFill="1" applyBorder="1" applyAlignment="1" applyProtection="1">
      <alignment horizontal="left" vertical="center" shrinkToFit="1"/>
      <protection locked="0"/>
    </xf>
    <xf numFmtId="0" fontId="38" fillId="0" borderId="0" xfId="0" applyFont="1" applyProtection="1"/>
    <xf numFmtId="0" fontId="38" fillId="0" borderId="0" xfId="0" applyFont="1" applyAlignment="1" applyProtection="1">
      <alignment horizontal="center" vertical="center" wrapText="1"/>
    </xf>
    <xf numFmtId="9" fontId="23" fillId="16" borderId="207" xfId="1" applyFont="1" applyFill="1" applyBorder="1" applyAlignment="1" applyProtection="1">
      <alignment vertical="center"/>
    </xf>
    <xf numFmtId="182" fontId="24" fillId="16" borderId="208" xfId="3" applyNumberFormat="1" applyFont="1" applyFill="1" applyBorder="1" applyAlignment="1" applyProtection="1">
      <alignment vertical="center"/>
    </xf>
    <xf numFmtId="0" fontId="0" fillId="0" borderId="166" xfId="0" applyBorder="1" applyAlignment="1">
      <alignment vertical="center"/>
    </xf>
    <xf numFmtId="0" fontId="0" fillId="0" borderId="166" xfId="0" applyFont="1" applyBorder="1" applyAlignment="1">
      <alignment vertical="center"/>
    </xf>
    <xf numFmtId="0" fontId="0" fillId="0" borderId="0" xfId="0" applyAlignment="1">
      <alignment horizontal="center" vertical="center"/>
    </xf>
    <xf numFmtId="0" fontId="0" fillId="12" borderId="191" xfId="0" applyFont="1" applyFill="1" applyBorder="1" applyAlignment="1" applyProtection="1">
      <alignment vertical="center"/>
      <protection locked="0"/>
    </xf>
    <xf numFmtId="9" fontId="16" fillId="12" borderId="191" xfId="1" applyFill="1" applyBorder="1" applyAlignment="1" applyProtection="1">
      <alignment horizontal="center" vertical="center"/>
      <protection locked="0"/>
    </xf>
    <xf numFmtId="0" fontId="7" fillId="5" borderId="210" xfId="5" applyFont="1" applyFill="1" applyBorder="1" applyAlignment="1">
      <alignment horizontal="center"/>
    </xf>
    <xf numFmtId="203" fontId="39" fillId="12" borderId="184" xfId="0" applyNumberFormat="1" applyFont="1" applyFill="1" applyBorder="1" applyAlignment="1" applyProtection="1">
      <alignment vertical="center" shrinkToFit="1"/>
      <protection locked="0"/>
    </xf>
    <xf numFmtId="203" fontId="39" fillId="12" borderId="211" xfId="0" applyNumberFormat="1" applyFont="1" applyFill="1" applyBorder="1" applyAlignment="1" applyProtection="1">
      <alignment vertical="center" shrinkToFit="1"/>
      <protection locked="0"/>
    </xf>
    <xf numFmtId="203" fontId="39" fillId="12" borderId="212" xfId="0" applyNumberFormat="1" applyFont="1" applyFill="1" applyBorder="1" applyAlignment="1" applyProtection="1">
      <alignment vertical="center" shrinkToFit="1"/>
      <protection locked="0"/>
    </xf>
    <xf numFmtId="203" fontId="39" fillId="12" borderId="128" xfId="0" applyNumberFormat="1" applyFont="1" applyFill="1" applyBorder="1" applyAlignment="1" applyProtection="1">
      <alignment vertical="center" shrinkToFit="1"/>
      <protection locked="0"/>
    </xf>
    <xf numFmtId="203" fontId="39" fillId="12" borderId="213" xfId="0" applyNumberFormat="1" applyFont="1" applyFill="1" applyBorder="1" applyAlignment="1" applyProtection="1">
      <alignment vertical="center" shrinkToFit="1"/>
      <protection locked="0"/>
    </xf>
    <xf numFmtId="203" fontId="39" fillId="12" borderId="129" xfId="0" applyNumberFormat="1" applyFont="1" applyFill="1" applyBorder="1" applyAlignment="1" applyProtection="1">
      <alignment vertical="center" shrinkToFit="1"/>
      <protection locked="0"/>
    </xf>
    <xf numFmtId="203" fontId="39" fillId="12" borderId="116" xfId="0" applyNumberFormat="1" applyFont="1" applyFill="1" applyBorder="1" applyAlignment="1" applyProtection="1">
      <alignment vertical="center" shrinkToFit="1"/>
      <protection locked="0"/>
    </xf>
    <xf numFmtId="203" fontId="39" fillId="12" borderId="118" xfId="0" applyNumberFormat="1" applyFont="1" applyFill="1" applyBorder="1" applyAlignment="1" applyProtection="1">
      <alignment vertical="center" shrinkToFit="1"/>
      <protection locked="0"/>
    </xf>
    <xf numFmtId="203" fontId="39" fillId="0" borderId="130" xfId="0" applyNumberFormat="1" applyFont="1" applyBorder="1" applyAlignment="1" applyProtection="1">
      <alignment vertical="center" shrinkToFit="1"/>
    </xf>
    <xf numFmtId="191" fontId="0" fillId="12" borderId="192" xfId="0" applyNumberFormat="1" applyFont="1" applyFill="1" applyBorder="1" applyAlignment="1" applyProtection="1">
      <alignment vertical="center"/>
      <protection locked="0"/>
    </xf>
    <xf numFmtId="203" fontId="39" fillId="0" borderId="216" xfId="0" applyNumberFormat="1" applyFont="1" applyBorder="1" applyAlignment="1" applyProtection="1">
      <alignment vertical="center" shrinkToFit="1"/>
    </xf>
    <xf numFmtId="203" fontId="39" fillId="0" borderId="217" xfId="0" applyNumberFormat="1" applyFont="1" applyBorder="1" applyAlignment="1" applyProtection="1">
      <alignment vertical="center" shrinkToFit="1"/>
    </xf>
    <xf numFmtId="203" fontId="39" fillId="0" borderId="218" xfId="0" applyNumberFormat="1" applyFont="1" applyBorder="1" applyAlignment="1" applyProtection="1">
      <alignment vertical="center" shrinkToFit="1"/>
    </xf>
    <xf numFmtId="203" fontId="39" fillId="0" borderId="219" xfId="0" applyNumberFormat="1" applyFont="1" applyBorder="1" applyAlignment="1" applyProtection="1">
      <alignment vertical="center" shrinkToFit="1"/>
    </xf>
    <xf numFmtId="203" fontId="39" fillId="0" borderId="220" xfId="0" applyNumberFormat="1" applyFont="1" applyBorder="1" applyAlignment="1" applyProtection="1">
      <alignment vertical="center" shrinkToFit="1"/>
    </xf>
    <xf numFmtId="0" fontId="23" fillId="0" borderId="221" xfId="0" applyFont="1" applyBorder="1" applyAlignment="1" applyProtection="1">
      <alignment horizontal="center" vertical="center" shrinkToFit="1"/>
    </xf>
    <xf numFmtId="203" fontId="39" fillId="0" borderId="194" xfId="0" applyNumberFormat="1" applyFont="1" applyBorder="1" applyAlignment="1" applyProtection="1">
      <alignment vertical="center" shrinkToFit="1"/>
    </xf>
    <xf numFmtId="0" fontId="23" fillId="0" borderId="222" xfId="0" applyFont="1" applyBorder="1" applyAlignment="1" applyProtection="1">
      <alignment horizontal="center" shrinkToFit="1"/>
    </xf>
    <xf numFmtId="203" fontId="39" fillId="0" borderId="223" xfId="0" applyNumberFormat="1" applyFont="1" applyBorder="1" applyAlignment="1" applyProtection="1">
      <alignment vertical="center" shrinkToFit="1"/>
    </xf>
    <xf numFmtId="203" fontId="39" fillId="0" borderId="224" xfId="0" applyNumberFormat="1" applyFont="1" applyBorder="1" applyAlignment="1" applyProtection="1">
      <alignment vertical="center" shrinkToFit="1"/>
    </xf>
    <xf numFmtId="203" fontId="39" fillId="0" borderId="225" xfId="0" applyNumberFormat="1" applyFont="1" applyBorder="1" applyAlignment="1" applyProtection="1">
      <alignment vertical="center" shrinkToFit="1"/>
    </xf>
    <xf numFmtId="203" fontId="39" fillId="0" borderId="226" xfId="0" applyNumberFormat="1" applyFont="1" applyBorder="1" applyAlignment="1" applyProtection="1">
      <alignment vertical="center" shrinkToFit="1"/>
    </xf>
    <xf numFmtId="203" fontId="39" fillId="0" borderId="227" xfId="0" applyNumberFormat="1" applyFont="1" applyBorder="1" applyAlignment="1" applyProtection="1">
      <alignment vertical="center" shrinkToFit="1"/>
    </xf>
    <xf numFmtId="203" fontId="39" fillId="0" borderId="228" xfId="0" applyNumberFormat="1" applyFont="1" applyBorder="1" applyAlignment="1" applyProtection="1">
      <alignment vertical="center" shrinkToFit="1"/>
    </xf>
    <xf numFmtId="0" fontId="0" fillId="12" borderId="230" xfId="0" applyFont="1" applyFill="1" applyBorder="1" applyAlignment="1" applyProtection="1">
      <alignment shrinkToFit="1"/>
      <protection locked="0"/>
    </xf>
    <xf numFmtId="0" fontId="0" fillId="12" borderId="231" xfId="0" applyFont="1" applyFill="1" applyBorder="1" applyAlignment="1" applyProtection="1">
      <alignment shrinkToFit="1"/>
      <protection locked="0"/>
    </xf>
    <xf numFmtId="0" fontId="0" fillId="12" borderId="176" xfId="0" applyFill="1" applyBorder="1" applyAlignment="1" applyProtection="1">
      <alignment shrinkToFit="1"/>
      <protection locked="0"/>
    </xf>
    <xf numFmtId="0" fontId="0" fillId="18" borderId="180" xfId="0" applyFont="1" applyFill="1" applyBorder="1" applyAlignment="1" applyProtection="1">
      <alignment shrinkToFit="1"/>
      <protection locked="0"/>
    </xf>
    <xf numFmtId="198" fontId="30" fillId="0" borderId="47" xfId="3" applyNumberFormat="1" applyFont="1" applyFill="1" applyBorder="1" applyAlignment="1" applyProtection="1">
      <alignment vertical="center"/>
    </xf>
    <xf numFmtId="0" fontId="21" fillId="12" borderId="173" xfId="0" applyFont="1" applyFill="1" applyBorder="1" applyAlignment="1" applyProtection="1">
      <alignment shrinkToFit="1"/>
      <protection locked="0"/>
    </xf>
    <xf numFmtId="38" fontId="21" fillId="12" borderId="163" xfId="2" applyFont="1" applyFill="1" applyBorder="1" applyAlignment="1" applyProtection="1">
      <alignment vertical="center"/>
      <protection locked="0"/>
    </xf>
    <xf numFmtId="38" fontId="21" fillId="12" borderId="162" xfId="2" applyFont="1" applyFill="1" applyBorder="1" applyAlignment="1" applyProtection="1">
      <alignment vertical="center"/>
      <protection locked="0"/>
    </xf>
    <xf numFmtId="38" fontId="21" fillId="12" borderId="173" xfId="2" applyFont="1" applyFill="1" applyBorder="1" applyAlignment="1" applyProtection="1">
      <alignment vertical="center"/>
      <protection locked="0"/>
    </xf>
    <xf numFmtId="38" fontId="21" fillId="12" borderId="183" xfId="2" applyFont="1" applyFill="1" applyBorder="1" applyAlignment="1" applyProtection="1">
      <alignment vertical="center"/>
      <protection locked="0"/>
    </xf>
    <xf numFmtId="38" fontId="21" fillId="12" borderId="115" xfId="2" applyFont="1" applyFill="1" applyBorder="1" applyAlignment="1" applyProtection="1">
      <alignment vertical="center"/>
      <protection locked="0"/>
    </xf>
    <xf numFmtId="38" fontId="40" fillId="0" borderId="173" xfId="2" applyFont="1" applyBorder="1" applyAlignment="1">
      <alignment vertical="center"/>
    </xf>
    <xf numFmtId="38" fontId="40" fillId="0" borderId="164" xfId="2" applyFont="1" applyBorder="1" applyAlignment="1">
      <alignment vertical="center"/>
    </xf>
    <xf numFmtId="38" fontId="21" fillId="0" borderId="130" xfId="2" applyFont="1" applyBorder="1" applyAlignment="1">
      <alignment vertical="center"/>
    </xf>
    <xf numFmtId="38" fontId="21" fillId="0" borderId="186" xfId="2" applyFont="1" applyBorder="1" applyAlignment="1">
      <alignment vertical="center"/>
    </xf>
    <xf numFmtId="0" fontId="21" fillId="12" borderId="230" xfId="0" applyFont="1" applyFill="1" applyBorder="1" applyAlignment="1" applyProtection="1">
      <alignment shrinkToFit="1"/>
      <protection locked="0"/>
    </xf>
    <xf numFmtId="38" fontId="21" fillId="12" borderId="134" xfId="2" applyFont="1" applyFill="1" applyBorder="1" applyAlignment="1" applyProtection="1">
      <alignment vertical="center"/>
      <protection locked="0"/>
    </xf>
    <xf numFmtId="0" fontId="21" fillId="12" borderId="232" xfId="0" applyFont="1" applyFill="1" applyBorder="1" applyAlignment="1" applyProtection="1">
      <alignment shrinkToFit="1"/>
      <protection locked="0"/>
    </xf>
    <xf numFmtId="182" fontId="24" fillId="2" borderId="233" xfId="3" applyNumberFormat="1" applyFont="1" applyFill="1" applyBorder="1" applyAlignment="1" applyProtection="1">
      <alignment vertical="center"/>
      <protection locked="0"/>
    </xf>
    <xf numFmtId="0" fontId="23" fillId="2" borderId="23" xfId="7" applyFont="1" applyFill="1" applyBorder="1" applyAlignment="1" applyProtection="1">
      <alignment vertical="center" shrinkToFit="1"/>
      <protection locked="0"/>
    </xf>
    <xf numFmtId="0" fontId="24" fillId="2" borderId="89" xfId="3" applyNumberFormat="1" applyFont="1" applyFill="1" applyBorder="1" applyAlignment="1" applyProtection="1">
      <alignment vertical="center"/>
      <protection locked="0"/>
    </xf>
    <xf numFmtId="182" fontId="24" fillId="2" borderId="234" xfId="3" applyNumberFormat="1" applyFont="1" applyFill="1" applyBorder="1" applyAlignment="1" applyProtection="1">
      <alignment vertical="center"/>
      <protection locked="0"/>
    </xf>
    <xf numFmtId="0" fontId="23" fillId="12" borderId="154" xfId="0" applyFont="1" applyFill="1" applyBorder="1" applyAlignment="1" applyProtection="1">
      <alignment vertical="top" shrinkToFit="1"/>
      <protection locked="0"/>
    </xf>
    <xf numFmtId="0" fontId="23" fillId="12" borderId="10" xfId="0" applyFont="1" applyFill="1" applyBorder="1" applyAlignment="1" applyProtection="1">
      <alignment vertical="top" wrapText="1" shrinkToFit="1"/>
      <protection locked="0"/>
    </xf>
    <xf numFmtId="0" fontId="0" fillId="3" borderId="235" xfId="0" applyFont="1" applyFill="1" applyBorder="1" applyAlignment="1" applyProtection="1">
      <alignment shrinkToFit="1"/>
      <protection locked="0"/>
    </xf>
    <xf numFmtId="0" fontId="0" fillId="3" borderId="210" xfId="0" applyFont="1" applyFill="1" applyBorder="1" applyAlignment="1" applyProtection="1">
      <alignment shrinkToFit="1"/>
      <protection locked="0"/>
    </xf>
    <xf numFmtId="0" fontId="0" fillId="7" borderId="210" xfId="0" applyFont="1" applyFill="1" applyBorder="1" applyAlignment="1" applyProtection="1">
      <alignment shrinkToFit="1"/>
      <protection locked="0"/>
    </xf>
    <xf numFmtId="40" fontId="0" fillId="12" borderId="210" xfId="2" applyNumberFormat="1" applyFont="1" applyFill="1" applyBorder="1" applyAlignment="1" applyProtection="1">
      <protection locked="0"/>
    </xf>
    <xf numFmtId="40" fontId="0" fillId="2" borderId="210" xfId="2" applyNumberFormat="1" applyFont="1" applyFill="1" applyBorder="1" applyAlignment="1" applyProtection="1">
      <protection locked="0"/>
    </xf>
    <xf numFmtId="0" fontId="0" fillId="3" borderId="210" xfId="0" applyFont="1" applyFill="1" applyBorder="1" applyProtection="1">
      <protection locked="0"/>
    </xf>
    <xf numFmtId="179" fontId="0" fillId="2" borderId="210" xfId="2" applyNumberFormat="1" applyFont="1" applyFill="1" applyBorder="1" applyAlignment="1" applyProtection="1">
      <protection locked="0"/>
    </xf>
    <xf numFmtId="40" fontId="0" fillId="0" borderId="236" xfId="2" applyNumberFormat="1" applyFont="1" applyFill="1" applyBorder="1" applyAlignment="1" applyProtection="1"/>
    <xf numFmtId="0" fontId="0" fillId="3" borderId="237" xfId="0" applyFont="1" applyFill="1" applyBorder="1" applyAlignment="1" applyProtection="1">
      <alignment shrinkToFit="1"/>
      <protection locked="0"/>
    </xf>
    <xf numFmtId="0" fontId="21" fillId="7" borderId="210" xfId="0" applyFont="1" applyFill="1" applyBorder="1" applyAlignment="1" applyProtection="1">
      <alignment shrinkToFit="1"/>
      <protection locked="0"/>
    </xf>
    <xf numFmtId="0" fontId="0" fillId="14" borderId="235" xfId="0" applyFont="1" applyFill="1" applyBorder="1" applyAlignment="1" applyProtection="1">
      <alignment shrinkToFit="1"/>
      <protection locked="0"/>
    </xf>
    <xf numFmtId="0" fontId="0" fillId="14" borderId="210" xfId="0" applyFont="1" applyFill="1" applyBorder="1" applyAlignment="1" applyProtection="1">
      <alignment shrinkToFit="1"/>
      <protection locked="0"/>
    </xf>
    <xf numFmtId="198" fontId="23" fillId="0" borderId="84" xfId="3" applyNumberFormat="1" applyFont="1" applyFill="1" applyBorder="1" applyAlignment="1" applyProtection="1">
      <alignment vertical="center"/>
    </xf>
    <xf numFmtId="182" fontId="9" fillId="0" borderId="84" xfId="3" applyNumberFormat="1" applyFont="1" applyFill="1" applyBorder="1" applyAlignment="1" applyProtection="1">
      <alignment horizontal="center" vertical="center"/>
    </xf>
    <xf numFmtId="0" fontId="23" fillId="12" borderId="10" xfId="0" applyFont="1" applyFill="1" applyBorder="1" applyAlignment="1" applyProtection="1">
      <alignment vertical="top" wrapText="1"/>
      <protection locked="0"/>
    </xf>
    <xf numFmtId="0" fontId="23" fillId="12" borderId="154" xfId="0" applyFont="1" applyFill="1" applyBorder="1" applyAlignment="1" applyProtection="1">
      <alignment vertical="top" wrapText="1"/>
      <protection locked="0"/>
    </xf>
    <xf numFmtId="0" fontId="23" fillId="12" borderId="11" xfId="0" applyFont="1" applyFill="1" applyBorder="1" applyAlignment="1" applyProtection="1">
      <alignment vertical="top" wrapText="1"/>
      <protection locked="0"/>
    </xf>
    <xf numFmtId="0" fontId="32" fillId="2" borderId="112" xfId="3" applyNumberFormat="1" applyFont="1" applyFill="1" applyBorder="1" applyAlignment="1" applyProtection="1">
      <alignment vertical="center"/>
      <protection locked="0"/>
    </xf>
    <xf numFmtId="204" fontId="23" fillId="2" borderId="47" xfId="3" applyNumberFormat="1" applyFont="1" applyFill="1" applyBorder="1" applyAlignment="1" applyProtection="1">
      <alignment vertical="center"/>
      <protection locked="0"/>
    </xf>
    <xf numFmtId="181" fontId="23" fillId="0" borderId="238" xfId="3" applyNumberFormat="1" applyFont="1" applyFill="1" applyBorder="1" applyAlignment="1" applyProtection="1">
      <alignment vertical="center"/>
    </xf>
    <xf numFmtId="182" fontId="9" fillId="0" borderId="238" xfId="3" applyNumberFormat="1" applyFont="1" applyFill="1" applyBorder="1" applyAlignment="1" applyProtection="1">
      <alignment horizontal="center" vertical="center"/>
    </xf>
    <xf numFmtId="38" fontId="23" fillId="2" borderId="238" xfId="2" applyFont="1" applyFill="1" applyBorder="1" applyAlignment="1" applyProtection="1">
      <alignment vertical="center"/>
      <protection locked="0"/>
    </xf>
    <xf numFmtId="38" fontId="23" fillId="3" borderId="238" xfId="2" applyFont="1" applyFill="1" applyBorder="1" applyAlignment="1" applyProtection="1">
      <alignment horizontal="center" vertical="center"/>
      <protection locked="0"/>
    </xf>
    <xf numFmtId="38" fontId="23" fillId="11" borderId="238" xfId="2" applyFont="1" applyFill="1" applyBorder="1" applyAlignment="1" applyProtection="1">
      <alignment vertical="center"/>
      <protection locked="0"/>
    </xf>
    <xf numFmtId="38" fontId="23" fillId="2" borderId="239" xfId="2" applyFont="1" applyFill="1" applyBorder="1" applyAlignment="1" applyProtection="1">
      <alignment vertical="center"/>
      <protection locked="0"/>
    </xf>
    <xf numFmtId="9" fontId="23" fillId="2" borderId="240" xfId="1" applyFont="1" applyFill="1" applyBorder="1" applyAlignment="1" applyProtection="1">
      <alignment vertical="center"/>
      <protection locked="0"/>
    </xf>
    <xf numFmtId="9" fontId="23" fillId="2" borderId="238" xfId="1" applyFont="1" applyFill="1" applyBorder="1" applyAlignment="1" applyProtection="1">
      <alignment vertical="center"/>
      <protection locked="0"/>
    </xf>
    <xf numFmtId="9" fontId="23" fillId="2" borderId="241" xfId="1" applyFont="1" applyFill="1" applyBorder="1" applyAlignment="1" applyProtection="1">
      <alignment vertical="center"/>
      <protection locked="0"/>
    </xf>
    <xf numFmtId="181" fontId="23" fillId="7" borderId="242" xfId="3" applyNumberFormat="1" applyFont="1" applyFill="1" applyBorder="1" applyAlignment="1" applyProtection="1">
      <alignment vertical="center"/>
      <protection locked="0"/>
    </xf>
    <xf numFmtId="181" fontId="23" fillId="7" borderId="238" xfId="3" applyNumberFormat="1" applyFont="1" applyFill="1" applyBorder="1" applyAlignment="1" applyProtection="1">
      <alignment vertical="center"/>
      <protection locked="0"/>
    </xf>
    <xf numFmtId="181" fontId="23" fillId="7" borderId="239" xfId="3" applyNumberFormat="1" applyFont="1" applyFill="1" applyBorder="1" applyAlignment="1" applyProtection="1">
      <alignment vertical="center"/>
      <protection locked="0"/>
    </xf>
    <xf numFmtId="200" fontId="23" fillId="0" borderId="238" xfId="3" applyNumberFormat="1" applyFont="1" applyFill="1" applyBorder="1" applyAlignment="1" applyProtection="1">
      <alignment vertical="center"/>
    </xf>
    <xf numFmtId="3" fontId="23" fillId="0" borderId="238" xfId="3" applyNumberFormat="1" applyFont="1" applyFill="1" applyBorder="1" applyAlignment="1" applyProtection="1">
      <alignment horizontal="center" vertical="center"/>
    </xf>
    <xf numFmtId="9" fontId="23" fillId="0" borderId="238" xfId="1" applyNumberFormat="1" applyFont="1" applyFill="1" applyBorder="1" applyAlignment="1" applyProtection="1">
      <alignment horizontal="center" vertical="center"/>
    </xf>
    <xf numFmtId="4" fontId="23" fillId="0" borderId="238" xfId="3" applyNumberFormat="1" applyFont="1" applyFill="1" applyBorder="1" applyAlignment="1" applyProtection="1">
      <alignment vertical="center"/>
    </xf>
    <xf numFmtId="205" fontId="16" fillId="20" borderId="115" xfId="12" applyNumberFormat="1" applyFill="1" applyBorder="1" applyProtection="1">
      <protection locked="0"/>
    </xf>
    <xf numFmtId="0" fontId="4" fillId="0" borderId="43" xfId="0" applyFont="1" applyBorder="1" applyAlignment="1" applyProtection="1">
      <alignment horizontal="center"/>
    </xf>
    <xf numFmtId="191" fontId="0" fillId="20" borderId="243" xfId="12" applyNumberFormat="1" applyFont="1" applyFill="1" applyBorder="1" applyProtection="1">
      <protection locked="0"/>
    </xf>
    <xf numFmtId="38" fontId="23" fillId="2" borderId="8" xfId="2" applyFont="1" applyFill="1" applyBorder="1" applyAlignment="1" applyProtection="1">
      <alignment horizontal="right" vertical="center" shrinkToFit="1"/>
      <protection locked="0"/>
    </xf>
    <xf numFmtId="38" fontId="23" fillId="2" borderId="10" xfId="2" applyFont="1" applyFill="1" applyBorder="1" applyAlignment="1" applyProtection="1">
      <alignment horizontal="right" vertical="center" shrinkToFit="1"/>
      <protection locked="0"/>
    </xf>
    <xf numFmtId="182" fontId="9" fillId="0" borderId="84" xfId="3" applyNumberFormat="1" applyFont="1" applyFill="1" applyBorder="1" applyAlignment="1" applyProtection="1">
      <alignment vertical="center"/>
    </xf>
    <xf numFmtId="0" fontId="23" fillId="0" borderId="141"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0" fontId="23" fillId="0" borderId="141"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52"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1"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36" xfId="6" applyFont="1" applyBorder="1" applyAlignment="1" applyProtection="1">
      <alignment horizontal="center" vertical="center" textRotation="255" wrapText="1"/>
    </xf>
    <xf numFmtId="0" fontId="16" fillId="0" borderId="136" xfId="6" applyFont="1" applyBorder="1" applyAlignment="1" applyProtection="1">
      <alignment horizontal="center" vertical="center" textRotation="255" wrapText="1"/>
    </xf>
    <xf numFmtId="0" fontId="16" fillId="0" borderId="137" xfId="6" applyFont="1" applyBorder="1" applyAlignment="1" applyProtection="1">
      <alignment horizontal="center" vertical="center" textRotation="255" wrapText="1"/>
    </xf>
    <xf numFmtId="0" fontId="0" fillId="0" borderId="135"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54"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88"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0" fontId="4" fillId="0" borderId="163" xfId="0" applyFont="1" applyBorder="1" applyAlignment="1" applyProtection="1">
      <alignment horizontal="center" vertical="center"/>
    </xf>
    <xf numFmtId="0" fontId="4" fillId="0" borderId="164" xfId="0" applyFont="1" applyBorder="1" applyAlignment="1" applyProtection="1">
      <alignment horizontal="center" vertical="center"/>
    </xf>
    <xf numFmtId="201" fontId="4" fillId="0" borderId="165" xfId="0" applyNumberFormat="1" applyFont="1" applyBorder="1" applyAlignment="1" applyProtection="1">
      <alignment horizontal="center"/>
    </xf>
    <xf numFmtId="201" fontId="4" fillId="0" borderId="133" xfId="0" applyNumberFormat="1" applyFont="1" applyBorder="1" applyAlignment="1" applyProtection="1">
      <alignment horizontal="center"/>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0" fontId="23" fillId="0" borderId="214" xfId="0" applyFont="1" applyBorder="1" applyAlignment="1" applyProtection="1">
      <alignment horizontal="center" vertical="center" wrapText="1" shrinkToFit="1"/>
    </xf>
    <xf numFmtId="0" fontId="23" fillId="0" borderId="215" xfId="0" applyFont="1" applyBorder="1" applyAlignment="1" applyProtection="1">
      <alignment horizontal="center" vertical="center" shrinkToFit="1"/>
    </xf>
    <xf numFmtId="0" fontId="23" fillId="0" borderId="126" xfId="0" applyFont="1" applyBorder="1" applyAlignment="1" applyProtection="1">
      <alignment horizontal="center" vertical="center" textRotation="255" shrinkToFit="1"/>
    </xf>
    <xf numFmtId="0" fontId="23" fillId="0" borderId="131" xfId="0" applyFont="1" applyBorder="1" applyAlignment="1" applyProtection="1">
      <alignment horizontal="center" vertical="center" textRotation="255" shrinkToFit="1"/>
    </xf>
    <xf numFmtId="0" fontId="23" fillId="0" borderId="167" xfId="0" applyFont="1" applyBorder="1" applyAlignment="1" applyProtection="1">
      <alignment horizontal="center" vertical="center" textRotation="255" shrinkToFit="1"/>
    </xf>
    <xf numFmtId="0" fontId="4" fillId="0" borderId="77" xfId="0" applyFont="1" applyBorder="1" applyAlignment="1" applyProtection="1">
      <alignment horizontal="center" vertical="center"/>
    </xf>
    <xf numFmtId="0" fontId="4" fillId="0" borderId="2" xfId="0" applyFont="1" applyBorder="1" applyAlignment="1" applyProtection="1">
      <alignment horizontal="center" vertical="center"/>
    </xf>
    <xf numFmtId="183" fontId="4" fillId="0" borderId="52" xfId="0" applyNumberFormat="1"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0" fillId="0" borderId="153"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1" xfId="0" applyBorder="1" applyAlignment="1" applyProtection="1">
      <alignment horizontal="center"/>
    </xf>
    <xf numFmtId="0" fontId="0" fillId="0" borderId="152" xfId="0" applyBorder="1" applyProtection="1"/>
    <xf numFmtId="0" fontId="0" fillId="0" borderId="20" xfId="0" applyBorder="1" applyProtection="1"/>
    <xf numFmtId="202" fontId="4" fillId="0" borderId="148" xfId="0" applyNumberFormat="1" applyFont="1" applyFill="1" applyBorder="1" applyAlignment="1" applyProtection="1">
      <alignment vertical="center"/>
    </xf>
    <xf numFmtId="202" fontId="4" fillId="0" borderId="150" xfId="0" applyNumberFormat="1" applyFont="1" applyFill="1" applyBorder="1" applyAlignment="1" applyProtection="1">
      <alignment vertical="center"/>
    </xf>
    <xf numFmtId="194" fontId="16" fillId="20" borderId="116" xfId="12" applyNumberFormat="1" applyFill="1" applyBorder="1" applyAlignment="1" applyProtection="1">
      <protection locked="0"/>
    </xf>
    <xf numFmtId="0" fontId="31" fillId="0" borderId="118" xfId="15" applyBorder="1" applyAlignment="1" applyProtection="1">
      <protection locked="0"/>
    </xf>
    <xf numFmtId="0" fontId="16" fillId="19" borderId="116" xfId="12" applyFill="1" applyBorder="1" applyAlignment="1" applyProtection="1">
      <alignment horizontal="center"/>
    </xf>
    <xf numFmtId="0" fontId="16" fillId="0" borderId="117" xfId="14" applyBorder="1" applyAlignment="1">
      <alignment horizontal="center"/>
    </xf>
    <xf numFmtId="0" fontId="31" fillId="0" borderId="118" xfId="15" applyBorder="1" applyAlignment="1"/>
    <xf numFmtId="0" fontId="0" fillId="20" borderId="116" xfId="12" applyFont="1" applyFill="1" applyBorder="1" applyAlignment="1" applyProtection="1">
      <protection locked="0"/>
    </xf>
    <xf numFmtId="0" fontId="16" fillId="0" borderId="117" xfId="14" applyBorder="1" applyAlignment="1" applyProtection="1">
      <protection locked="0"/>
    </xf>
    <xf numFmtId="0" fontId="16" fillId="20" borderId="116" xfId="12" applyFont="1" applyFill="1" applyBorder="1" applyAlignment="1" applyProtection="1">
      <protection locked="0"/>
    </xf>
    <xf numFmtId="0" fontId="16" fillId="0" borderId="119" xfId="12" applyFont="1" applyBorder="1" applyAlignment="1">
      <alignment vertical="top"/>
    </xf>
    <xf numFmtId="0" fontId="16" fillId="0" borderId="120" xfId="12" applyFont="1" applyBorder="1" applyAlignment="1">
      <alignment vertical="top"/>
    </xf>
    <xf numFmtId="0" fontId="31" fillId="0" borderId="121" xfId="15" applyBorder="1" applyAlignment="1">
      <alignment vertical="center"/>
    </xf>
    <xf numFmtId="0" fontId="0" fillId="20" borderId="193" xfId="12" applyFont="1" applyFill="1" applyBorder="1" applyAlignment="1" applyProtection="1">
      <alignment vertical="top" wrapText="1"/>
      <protection locked="0"/>
    </xf>
    <xf numFmtId="0" fontId="16" fillId="20" borderId="193" xfId="12" applyFont="1" applyFill="1" applyBorder="1" applyAlignment="1" applyProtection="1">
      <alignment vertical="top" wrapText="1"/>
      <protection locked="0"/>
    </xf>
    <xf numFmtId="0" fontId="31" fillId="0" borderId="193" xfId="15" applyBorder="1" applyAlignment="1" applyProtection="1">
      <alignment vertical="center" wrapText="1"/>
      <protection locked="0"/>
    </xf>
    <xf numFmtId="0" fontId="16" fillId="20" borderId="209" xfId="12" applyFont="1" applyFill="1" applyBorder="1" applyAlignment="1" applyProtection="1">
      <alignment vertical="top" wrapText="1"/>
      <protection locked="0"/>
    </xf>
    <xf numFmtId="0" fontId="31" fillId="0" borderId="209" xfId="15" applyBorder="1" applyAlignment="1" applyProtection="1">
      <alignment vertical="center" wrapText="1"/>
      <protection locked="0"/>
    </xf>
    <xf numFmtId="0" fontId="31" fillId="0" borderId="121" xfId="15" applyBorder="1" applyAlignment="1" applyProtection="1">
      <alignment vertical="center" wrapText="1"/>
      <protection locked="0"/>
    </xf>
    <xf numFmtId="0" fontId="3" fillId="20" borderId="116" xfId="12" applyFont="1" applyFill="1" applyBorder="1" applyAlignment="1" applyProtection="1">
      <protection locked="0"/>
    </xf>
    <xf numFmtId="0" fontId="16" fillId="20" borderId="116" xfId="12" applyFill="1" applyBorder="1" applyAlignment="1" applyProtection="1">
      <protection locked="0"/>
    </xf>
    <xf numFmtId="0" fontId="23" fillId="9" borderId="2" xfId="7" applyFont="1" applyFill="1" applyBorder="1" applyAlignment="1" applyProtection="1">
      <alignment horizontal="center" vertical="top" textRotation="255" wrapText="1"/>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30"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10" fillId="0" borderId="21" xfId="7" applyNumberFormat="1" applyFont="1" applyFill="1" applyBorder="1" applyAlignment="1" applyProtection="1">
      <alignment horizontal="right" shrinkToFit="1"/>
    </xf>
    <xf numFmtId="0" fontId="23" fillId="9" borderId="2" xfId="7" applyFont="1" applyFill="1" applyBorder="1" applyAlignment="1" applyProtection="1">
      <alignment horizontal="center" vertical="center" textRotation="255"/>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9" borderId="8" xfId="7" applyFont="1" applyFill="1" applyBorder="1" applyAlignment="1" applyProtection="1">
      <alignment horizontal="center" wrapText="1"/>
    </xf>
    <xf numFmtId="0" fontId="23" fillId="2" borderId="148" xfId="7" applyFont="1" applyFill="1" applyBorder="1" applyAlignment="1" applyProtection="1">
      <alignment vertical="center"/>
      <protection locked="0"/>
    </xf>
    <xf numFmtId="0" fontId="23" fillId="2" borderId="149" xfId="7" applyFont="1" applyFill="1" applyBorder="1" applyAlignment="1" applyProtection="1">
      <alignment vertical="center"/>
      <protection locked="0"/>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0" borderId="0" xfId="0" applyFont="1" applyBorder="1" applyAlignment="1" applyProtection="1">
      <alignment vertical="center" shrinkToFit="1"/>
    </xf>
    <xf numFmtId="0" fontId="23" fillId="0" borderId="18" xfId="0" applyFont="1" applyBorder="1" applyAlignment="1" applyProtection="1">
      <alignment vertical="center" shrinkToFit="1"/>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23" fillId="0" borderId="13" xfId="0" applyFont="1" applyBorder="1" applyAlignment="1" applyProtection="1">
      <alignment horizontal="center" vertical="center" textRotation="255"/>
    </xf>
    <xf numFmtId="0" fontId="23" fillId="0" borderId="14" xfId="0" applyFont="1" applyBorder="1" applyAlignment="1" applyProtection="1">
      <alignment horizontal="center" vertical="center" textRotation="255"/>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06"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40" fontId="0" fillId="0" borderId="82"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197" fontId="0" fillId="0" borderId="173" xfId="0" applyNumberFormat="1" applyBorder="1" applyAlignment="1">
      <alignment horizontal="center" vertical="center" wrapText="1"/>
    </xf>
    <xf numFmtId="197" fontId="0" fillId="0" borderId="195" xfId="0" applyNumberFormat="1" applyFont="1" applyBorder="1" applyAlignment="1">
      <alignment horizontal="center" vertical="center"/>
    </xf>
    <xf numFmtId="197" fontId="22" fillId="0" borderId="162" xfId="0" applyNumberFormat="1" applyFont="1" applyBorder="1" applyAlignment="1">
      <alignment horizontal="center" vertical="center"/>
    </xf>
    <xf numFmtId="197" fontId="22" fillId="0" borderId="163" xfId="0" applyNumberFormat="1" applyFont="1" applyBorder="1" applyAlignment="1">
      <alignment horizontal="center" vertical="center"/>
    </xf>
    <xf numFmtId="197" fontId="22" fillId="0" borderId="164" xfId="0" applyNumberFormat="1" applyFont="1" applyBorder="1" applyAlignment="1">
      <alignment horizontal="center" vertical="center"/>
    </xf>
    <xf numFmtId="197" fontId="0" fillId="0" borderId="183" xfId="0" applyNumberFormat="1" applyBorder="1" applyAlignment="1">
      <alignment horizontal="center" vertical="center" wrapText="1"/>
    </xf>
    <xf numFmtId="197" fontId="0" fillId="0" borderId="129" xfId="0" applyNumberFormat="1" applyFont="1" applyBorder="1" applyAlignment="1">
      <alignment horizontal="center" vertical="center"/>
    </xf>
    <xf numFmtId="197" fontId="0" fillId="0" borderId="173" xfId="0" applyNumberFormat="1" applyBorder="1" applyAlignment="1">
      <alignment horizontal="center" vertical="center"/>
    </xf>
    <xf numFmtId="197" fontId="0" fillId="0" borderId="229" xfId="0" applyNumberFormat="1" applyFont="1" applyBorder="1" applyAlignment="1">
      <alignment horizontal="center" vertical="center"/>
    </xf>
    <xf numFmtId="0" fontId="26" fillId="0" borderId="0" xfId="3" applyNumberFormat="1" applyFont="1" applyBorder="1" applyAlignment="1" applyProtection="1">
      <alignment horizontal="center"/>
    </xf>
    <xf numFmtId="0" fontId="23" fillId="25" borderId="83" xfId="3" applyFont="1" applyFill="1" applyBorder="1" applyAlignment="1" applyProtection="1">
      <alignment horizontal="center" vertical="center" textRotation="255"/>
    </xf>
    <xf numFmtId="0" fontId="23" fillId="25" borderId="90" xfId="3" applyFont="1" applyFill="1" applyBorder="1" applyAlignment="1" applyProtection="1">
      <alignment horizontal="center" vertical="center" textRotation="255"/>
    </xf>
    <xf numFmtId="0" fontId="23" fillId="25" borderId="92" xfId="3" applyFont="1" applyFill="1" applyBorder="1" applyAlignment="1" applyProtection="1">
      <alignment horizontal="center" vertical="center" textRotation="255"/>
    </xf>
    <xf numFmtId="0" fontId="9" fillId="25" borderId="83" xfId="3" applyFont="1" applyFill="1" applyBorder="1" applyAlignment="1" applyProtection="1">
      <alignment horizontal="center" vertical="center" textRotation="255" wrapText="1"/>
    </xf>
    <xf numFmtId="0" fontId="9" fillId="25" borderId="90" xfId="3" applyFont="1" applyFill="1" applyBorder="1" applyAlignment="1" applyProtection="1">
      <alignment horizontal="center" vertical="center" textRotation="255"/>
    </xf>
    <xf numFmtId="0" fontId="9" fillId="25" borderId="92" xfId="3" applyFont="1" applyFill="1" applyBorder="1" applyAlignment="1" applyProtection="1">
      <alignment horizontal="center" vertical="center" textRotation="255"/>
    </xf>
    <xf numFmtId="0" fontId="23" fillId="25" borderId="110" xfId="3" applyFont="1" applyFill="1" applyBorder="1" applyAlignment="1" applyProtection="1">
      <alignment horizontal="center" vertical="center" textRotation="255"/>
    </xf>
    <xf numFmtId="0" fontId="23" fillId="25" borderId="111" xfId="3" applyFont="1" applyFill="1" applyBorder="1" applyAlignment="1" applyProtection="1">
      <alignment horizontal="center" vertical="center" textRotation="255"/>
    </xf>
    <xf numFmtId="0" fontId="23" fillId="25" borderId="177" xfId="3" applyFont="1" applyFill="1" applyBorder="1" applyAlignment="1" applyProtection="1">
      <alignment horizontal="center" vertical="center" textRotation="255"/>
    </xf>
    <xf numFmtId="0" fontId="23" fillId="25" borderId="131" xfId="3" applyFont="1" applyFill="1" applyBorder="1" applyAlignment="1" applyProtection="1">
      <alignment horizontal="center" vertical="center" textRotation="255"/>
    </xf>
    <xf numFmtId="0" fontId="23" fillId="25" borderId="204" xfId="3" applyFont="1" applyFill="1" applyBorder="1" applyAlignment="1" applyProtection="1">
      <alignment horizontal="center" vertical="center" textRotation="255"/>
    </xf>
    <xf numFmtId="0" fontId="23" fillId="25" borderId="83" xfId="3" applyFont="1" applyFill="1" applyBorder="1" applyAlignment="1" applyProtection="1">
      <alignment horizontal="center" vertical="center" textRotation="255" wrapText="1"/>
    </xf>
  </cellXfs>
  <cellStyles count="30">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twoCellAnchor>
    <xdr:from>
      <xdr:col>32</xdr:col>
      <xdr:colOff>19050</xdr:colOff>
      <xdr:row>37</xdr:row>
      <xdr:rowOff>152400</xdr:rowOff>
    </xdr:from>
    <xdr:to>
      <xdr:col>36</xdr:col>
      <xdr:colOff>285750</xdr:colOff>
      <xdr:row>45</xdr:row>
      <xdr:rowOff>85726</xdr:rowOff>
    </xdr:to>
    <xdr:sp macro="" textlink="">
      <xdr:nvSpPr>
        <xdr:cNvPr id="3" name="テキスト ボックス 2"/>
        <xdr:cNvSpPr txBox="1"/>
      </xdr:nvSpPr>
      <xdr:spPr>
        <a:xfrm>
          <a:off x="15887700" y="7115175"/>
          <a:ext cx="2171700" cy="1590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◎定植</a:t>
          </a:r>
          <a:endParaRPr kumimoji="1" lang="en-US" altLang="ja-JP" sz="1100"/>
        </a:p>
        <a:p>
          <a:r>
            <a:rPr kumimoji="1" lang="en-US" altLang="ja-JP" sz="1100"/>
            <a:t>―</a:t>
          </a:r>
          <a:r>
            <a:rPr kumimoji="1" lang="ja-JP" altLang="en-US" sz="1100"/>
            <a:t>栽培期間</a:t>
          </a:r>
          <a:endParaRPr kumimoji="1" lang="en-US" altLang="ja-JP" sz="1100"/>
        </a:p>
        <a:p>
          <a:r>
            <a:rPr kumimoji="1" lang="ja-JP" altLang="en-US" sz="1100"/>
            <a:t>■収穫</a:t>
          </a:r>
        </a:p>
        <a:p>
          <a:endParaRPr kumimoji="1" lang="en-US" altLang="ja-JP" sz="1100"/>
        </a:p>
        <a:p>
          <a:r>
            <a:rPr kumimoji="1" lang="en-US" altLang="ja-JP" sz="1100"/>
            <a:t>―□―</a:t>
          </a:r>
          <a:r>
            <a:rPr kumimoji="1" lang="ja-JP" altLang="en-US" sz="1100"/>
            <a:t>加温期間</a:t>
          </a:r>
          <a:endParaRPr kumimoji="1" lang="en-US" altLang="ja-JP" sz="1100"/>
        </a:p>
        <a:p>
          <a:r>
            <a:rPr kumimoji="1" lang="ja-JP" altLang="en-US" sz="1100"/>
            <a:t>▲追肥</a:t>
          </a:r>
          <a:endParaRPr kumimoji="1" lang="en-US" altLang="ja-JP" sz="1100"/>
        </a:p>
        <a:p>
          <a:r>
            <a:rPr kumimoji="1" lang="ja-JP" altLang="en-US" sz="1100"/>
            <a:t>▽病害虫防除</a:t>
          </a:r>
          <a:endParaRPr kumimoji="1" lang="en-US" altLang="ja-JP" sz="1100"/>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kaku\160615%20&#26368;&#32066;&#29256;%20-%20&#12467;&#12500;&#12540;\(&#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J119"/>
  <sheetViews>
    <sheetView showGridLines="0" workbookViewId="0">
      <pane xSplit="4" ySplit="2" topLeftCell="E24" activePane="bottomRight" state="frozen"/>
      <selection pane="topRight" activeCell="E1" sqref="E1"/>
      <selection pane="bottomLeft" activeCell="A3" sqref="A3"/>
      <selection pane="bottomRight" activeCell="E15" sqref="E15"/>
    </sheetView>
  </sheetViews>
  <sheetFormatPr defaultRowHeight="12" zeroHeight="1"/>
  <cols>
    <col min="1" max="3" width="3.625" style="480" customWidth="1"/>
    <col min="4" max="4" width="21.625" style="482" customWidth="1"/>
    <col min="5" max="5" width="12.125" style="480" customWidth="1"/>
    <col min="6" max="6" width="14.25" style="480" customWidth="1"/>
    <col min="7" max="7" width="27.75" style="480" bestFit="1" customWidth="1"/>
    <col min="8" max="8" width="14.125" style="480" customWidth="1"/>
    <col min="9" max="9" width="12" style="480" customWidth="1"/>
    <col min="10" max="10" width="5.375" style="480" customWidth="1"/>
    <col min="11" max="16384" width="9" style="480"/>
  </cols>
  <sheetData>
    <row r="1" spans="1:9" ht="21" customHeight="1">
      <c r="A1" s="42" t="s">
        <v>258</v>
      </c>
      <c r="B1" s="42"/>
      <c r="C1" s="42"/>
      <c r="D1" s="42"/>
      <c r="E1" s="477"/>
      <c r="F1" s="477"/>
      <c r="G1" s="478"/>
      <c r="H1" s="477" t="str">
        <f>①技術体系!A2</f>
        <v>トマト</v>
      </c>
      <c r="I1" s="479"/>
    </row>
    <row r="2" spans="1:9" ht="21" customHeight="1">
      <c r="A2" s="690" t="s">
        <v>142</v>
      </c>
      <c r="B2" s="690"/>
      <c r="C2" s="690"/>
      <c r="D2" s="690"/>
      <c r="E2" s="43" t="s">
        <v>143</v>
      </c>
      <c r="F2" s="44">
        <f>想定面積</f>
        <v>30</v>
      </c>
      <c r="G2" s="706" t="s">
        <v>144</v>
      </c>
      <c r="H2" s="706"/>
      <c r="I2" s="706"/>
    </row>
    <row r="3" spans="1:9" ht="21" customHeight="1">
      <c r="A3" s="707" t="s">
        <v>112</v>
      </c>
      <c r="B3" s="709" t="s">
        <v>145</v>
      </c>
      <c r="C3" s="709"/>
      <c r="D3" s="709"/>
      <c r="E3" s="45">
        <f>④収入!D21</f>
        <v>5813800</v>
      </c>
      <c r="F3" s="45">
        <f>E3*$F$2/10</f>
        <v>17441400</v>
      </c>
      <c r="G3" s="710" t="s">
        <v>465</v>
      </c>
      <c r="H3" s="710"/>
      <c r="I3" s="710"/>
    </row>
    <row r="4" spans="1:9" ht="21" customHeight="1">
      <c r="A4" s="707"/>
      <c r="B4" s="678" t="s">
        <v>146</v>
      </c>
      <c r="C4" s="678"/>
      <c r="D4" s="678"/>
      <c r="E4" s="46">
        <f>④収入!E21</f>
        <v>0</v>
      </c>
      <c r="F4" s="46">
        <f>E4*$F$2/10</f>
        <v>0</v>
      </c>
      <c r="G4" s="679" t="s">
        <v>466</v>
      </c>
      <c r="H4" s="679"/>
      <c r="I4" s="679"/>
    </row>
    <row r="5" spans="1:9" ht="21" customHeight="1">
      <c r="A5" s="708"/>
      <c r="B5" s="683" t="s">
        <v>464</v>
      </c>
      <c r="C5" s="678"/>
      <c r="D5" s="678"/>
      <c r="E5" s="46">
        <f>④収入!F21</f>
        <v>0</v>
      </c>
      <c r="F5" s="46">
        <f>E5*$F$2/10</f>
        <v>0</v>
      </c>
      <c r="G5" s="679" t="s">
        <v>467</v>
      </c>
      <c r="H5" s="679"/>
      <c r="I5" s="679"/>
    </row>
    <row r="6" spans="1:9" ht="21" customHeight="1">
      <c r="A6" s="707"/>
      <c r="B6" s="680" t="s">
        <v>147</v>
      </c>
      <c r="C6" s="681"/>
      <c r="D6" s="681"/>
      <c r="E6" s="45">
        <f>SUM(E3:E5)</f>
        <v>5813800</v>
      </c>
      <c r="F6" s="45">
        <f>SUM(F3:F5)</f>
        <v>17441400</v>
      </c>
      <c r="G6" s="682"/>
      <c r="H6" s="682"/>
      <c r="I6" s="682"/>
    </row>
    <row r="7" spans="1:9" ht="21" customHeight="1">
      <c r="A7" s="691" t="s">
        <v>259</v>
      </c>
      <c r="B7" s="695" t="s">
        <v>148</v>
      </c>
      <c r="C7" s="457"/>
      <c r="D7" s="454" t="s">
        <v>98</v>
      </c>
      <c r="E7" s="298">
        <f>⑤支出!J9</f>
        <v>558000</v>
      </c>
      <c r="F7" s="299">
        <f>E7*$F$2/10</f>
        <v>1674000</v>
      </c>
      <c r="G7" s="296" t="s">
        <v>468</v>
      </c>
      <c r="H7" s="48"/>
      <c r="I7" s="49"/>
    </row>
    <row r="8" spans="1:9" ht="21" customHeight="1">
      <c r="A8" s="692"/>
      <c r="B8" s="693"/>
      <c r="C8" s="458"/>
      <c r="D8" s="455" t="s">
        <v>95</v>
      </c>
      <c r="E8" s="397">
        <f>⑤支出!J20</f>
        <v>185091</v>
      </c>
      <c r="F8" s="398">
        <f>E8*$F$2/10</f>
        <v>555273</v>
      </c>
      <c r="G8" s="50" t="s">
        <v>469</v>
      </c>
      <c r="H8" s="50"/>
      <c r="I8" s="51"/>
    </row>
    <row r="9" spans="1:9" ht="21" customHeight="1">
      <c r="A9" s="692"/>
      <c r="B9" s="693"/>
      <c r="C9" s="458"/>
      <c r="D9" s="455" t="s">
        <v>149</v>
      </c>
      <c r="E9" s="397">
        <f>⑤支出!J59</f>
        <v>64228</v>
      </c>
      <c r="F9" s="398">
        <f>E9*$F$2/10</f>
        <v>192684</v>
      </c>
      <c r="G9" s="50" t="s">
        <v>470</v>
      </c>
      <c r="H9" s="50"/>
      <c r="I9" s="51"/>
    </row>
    <row r="10" spans="1:9" ht="21" customHeight="1">
      <c r="A10" s="692"/>
      <c r="B10" s="693"/>
      <c r="C10" s="458"/>
      <c r="D10" s="455" t="s">
        <v>150</v>
      </c>
      <c r="E10" s="397">
        <f>⑤支出!J69</f>
        <v>897521</v>
      </c>
      <c r="F10" s="398">
        <f>E10*$F$2/10</f>
        <v>2692563</v>
      </c>
      <c r="G10" s="50" t="s">
        <v>471</v>
      </c>
      <c r="H10" s="50"/>
      <c r="I10" s="51"/>
    </row>
    <row r="11" spans="1:9" ht="21" customHeight="1">
      <c r="A11" s="692"/>
      <c r="B11" s="693"/>
      <c r="C11" s="458"/>
      <c r="D11" s="455" t="s">
        <v>115</v>
      </c>
      <c r="E11" s="397">
        <f>⑤支出!J103</f>
        <v>562057</v>
      </c>
      <c r="F11" s="398">
        <f>E11*$F$2/10</f>
        <v>1686171</v>
      </c>
      <c r="G11" s="50" t="s">
        <v>472</v>
      </c>
      <c r="H11" s="50"/>
      <c r="I11" s="51"/>
    </row>
    <row r="12" spans="1:9" ht="21" customHeight="1">
      <c r="A12" s="692"/>
      <c r="B12" s="693"/>
      <c r="C12" s="458"/>
      <c r="D12" s="455" t="s">
        <v>151</v>
      </c>
      <c r="E12" s="46">
        <f>⑤支出!J110</f>
        <v>0</v>
      </c>
      <c r="F12" s="398">
        <f t="shared" ref="F12:F21" si="0">E12*$F$2/10</f>
        <v>0</v>
      </c>
      <c r="G12" s="50" t="s">
        <v>473</v>
      </c>
      <c r="H12" s="53"/>
      <c r="I12" s="54"/>
    </row>
    <row r="13" spans="1:9" ht="21" customHeight="1">
      <c r="A13" s="692"/>
      <c r="B13" s="693"/>
      <c r="C13" s="458"/>
      <c r="D13" s="456" t="s">
        <v>475</v>
      </c>
      <c r="E13" s="46">
        <f>⑤支出!J115</f>
        <v>0</v>
      </c>
      <c r="F13" s="398">
        <f t="shared" si="0"/>
        <v>0</v>
      </c>
      <c r="G13" s="50" t="s">
        <v>476</v>
      </c>
      <c r="H13" s="53"/>
      <c r="I13" s="54"/>
    </row>
    <row r="14" spans="1:9" ht="21" customHeight="1">
      <c r="A14" s="692"/>
      <c r="B14" s="693"/>
      <c r="C14" s="459"/>
      <c r="D14" s="456" t="s">
        <v>454</v>
      </c>
      <c r="E14" s="46">
        <f>⑤支出!J121</f>
        <v>0</v>
      </c>
      <c r="F14" s="398">
        <f t="shared" si="0"/>
        <v>0</v>
      </c>
      <c r="G14" s="50" t="s">
        <v>474</v>
      </c>
      <c r="H14" s="56"/>
      <c r="I14" s="55"/>
    </row>
    <row r="15" spans="1:9" ht="21" customHeight="1">
      <c r="A15" s="692"/>
      <c r="B15" s="692"/>
      <c r="C15" s="698" t="s">
        <v>443</v>
      </c>
      <c r="D15" s="399" t="s">
        <v>456</v>
      </c>
      <c r="E15" s="45">
        <f>②償却資産!S8</f>
        <v>8640</v>
      </c>
      <c r="F15" s="398">
        <f t="shared" si="0"/>
        <v>25920</v>
      </c>
      <c r="G15" s="57" t="s">
        <v>439</v>
      </c>
      <c r="H15" s="57"/>
      <c r="I15" s="297"/>
    </row>
    <row r="16" spans="1:9" ht="21" customHeight="1">
      <c r="A16" s="692"/>
      <c r="B16" s="692"/>
      <c r="C16" s="699"/>
      <c r="D16" s="301" t="s">
        <v>440</v>
      </c>
      <c r="E16" s="46">
        <f>②償却資産!S18</f>
        <v>46949.4</v>
      </c>
      <c r="F16" s="398">
        <f t="shared" ref="F16" si="1">E16*$F$2/10</f>
        <v>140848.20000000001</v>
      </c>
      <c r="G16" s="57" t="s">
        <v>441</v>
      </c>
      <c r="H16" s="57"/>
      <c r="I16" s="297"/>
    </row>
    <row r="17" spans="1:9" ht="21" customHeight="1">
      <c r="A17" s="692"/>
      <c r="B17" s="692"/>
      <c r="C17" s="700"/>
      <c r="D17" s="300" t="s">
        <v>152</v>
      </c>
      <c r="E17" s="46">
        <f>②償却資産!S26</f>
        <v>84482.559999999998</v>
      </c>
      <c r="F17" s="398">
        <f t="shared" si="0"/>
        <v>253447.67999999999</v>
      </c>
      <c r="G17" s="57" t="s">
        <v>442</v>
      </c>
      <c r="H17" s="57"/>
      <c r="I17" s="297"/>
    </row>
    <row r="18" spans="1:9" ht="21" customHeight="1">
      <c r="A18" s="692"/>
      <c r="B18" s="692"/>
      <c r="C18" s="701" t="s">
        <v>444</v>
      </c>
      <c r="D18" s="399" t="s">
        <v>457</v>
      </c>
      <c r="E18" s="46">
        <f>②償却資産!R8</f>
        <v>36000</v>
      </c>
      <c r="F18" s="398">
        <f t="shared" si="0"/>
        <v>108000</v>
      </c>
      <c r="G18" s="57" t="s">
        <v>448</v>
      </c>
      <c r="H18" s="57"/>
      <c r="I18" s="297"/>
    </row>
    <row r="19" spans="1:9" ht="21" customHeight="1">
      <c r="A19" s="692"/>
      <c r="B19" s="692"/>
      <c r="C19" s="699"/>
      <c r="D19" s="301" t="s">
        <v>445</v>
      </c>
      <c r="E19" s="45">
        <f>②償却資産!R18</f>
        <v>333600</v>
      </c>
      <c r="F19" s="398">
        <f t="shared" si="0"/>
        <v>1000800</v>
      </c>
      <c r="G19" s="57" t="s">
        <v>495</v>
      </c>
      <c r="H19" s="57"/>
      <c r="I19" s="297"/>
    </row>
    <row r="20" spans="1:9" ht="21" customHeight="1">
      <c r="A20" s="692"/>
      <c r="B20" s="692"/>
      <c r="C20" s="699"/>
      <c r="D20" s="301" t="s">
        <v>446</v>
      </c>
      <c r="E20" s="46">
        <f>②償却資産!R26</f>
        <v>227071</v>
      </c>
      <c r="F20" s="398">
        <f t="shared" si="0"/>
        <v>681213</v>
      </c>
      <c r="G20" s="57" t="s">
        <v>496</v>
      </c>
      <c r="H20" s="57"/>
      <c r="I20" s="297"/>
    </row>
    <row r="21" spans="1:9" ht="21" customHeight="1">
      <c r="A21" s="692"/>
      <c r="B21" s="692"/>
      <c r="C21" s="700"/>
      <c r="D21" s="301" t="s">
        <v>447</v>
      </c>
      <c r="E21" s="46">
        <f>②償却資産!R29</f>
        <v>0</v>
      </c>
      <c r="F21" s="398">
        <f t="shared" si="0"/>
        <v>0</v>
      </c>
      <c r="G21" s="57" t="s">
        <v>497</v>
      </c>
      <c r="H21" s="57"/>
      <c r="I21" s="58"/>
    </row>
    <row r="22" spans="1:9" ht="21" customHeight="1">
      <c r="A22" s="692"/>
      <c r="B22" s="696"/>
      <c r="C22" s="465"/>
      <c r="D22" s="460" t="s">
        <v>254</v>
      </c>
      <c r="E22" s="59">
        <f>⑤支出!J127</f>
        <v>1291966</v>
      </c>
      <c r="F22" s="302">
        <f>(作業体系表!AN34-作業体系表!AN36)*⑤支出!F122+作業体系表!AN36*⑤支出!F123</f>
        <v>3585597</v>
      </c>
      <c r="G22" s="684" t="str">
        <f>"⑤支出　労働費　※基幹労働(時給"&amp;⑤支出!F122&amp;"円、自家労賃含む)、補助労働(時給"&amp;⑤支出!F123&amp;"円)"</f>
        <v>⑤支出　労働費　※基幹労働(時給962円、自家労賃含む)、補助労働(時給753円)</v>
      </c>
      <c r="H22" s="685"/>
      <c r="I22" s="686"/>
    </row>
    <row r="23" spans="1:9" ht="21" customHeight="1">
      <c r="A23" s="692"/>
      <c r="B23" s="697"/>
      <c r="C23" s="472"/>
      <c r="D23" s="473" t="s">
        <v>153</v>
      </c>
      <c r="E23" s="60">
        <f>SUM(E7:E22)</f>
        <v>4295605.96</v>
      </c>
      <c r="F23" s="303">
        <f>SUM(F7:F22)</f>
        <v>12596516.879999999</v>
      </c>
      <c r="G23" s="61"/>
      <c r="H23" s="61"/>
      <c r="I23" s="62"/>
    </row>
    <row r="24" spans="1:9" ht="21" customHeight="1">
      <c r="A24" s="692"/>
      <c r="B24" s="704" t="s">
        <v>125</v>
      </c>
      <c r="C24" s="465"/>
      <c r="D24" s="474" t="s">
        <v>154</v>
      </c>
      <c r="E24" s="63">
        <f>⑤支出!J131+⑤支出!J132+⑤支出!J133</f>
        <v>697656</v>
      </c>
      <c r="F24" s="304">
        <f>E24*$F$2/10</f>
        <v>2092968</v>
      </c>
      <c r="G24" s="676" t="str">
        <f>"⑤支出　"&amp;⑤支出!B128&amp;"　"&amp;⑤支出!C131&amp;"、"&amp;⑤支出!C132&amp;"、"&amp;⑤支出!C133</f>
        <v>⑤支出　販売費用　ＪＡ手数料、全農手数料、市場手数料</v>
      </c>
      <c r="H24" s="677"/>
      <c r="I24" s="677"/>
    </row>
    <row r="25" spans="1:9" ht="21" customHeight="1">
      <c r="A25" s="692"/>
      <c r="B25" s="696"/>
      <c r="C25" s="466"/>
      <c r="D25" s="461" t="s">
        <v>126</v>
      </c>
      <c r="E25" s="46">
        <f>⑤支出!J129</f>
        <v>75600</v>
      </c>
      <c r="F25" s="398">
        <f>E25*$F$2/10</f>
        <v>226800</v>
      </c>
      <c r="G25" s="64" t="str">
        <f>"⑤支出　"&amp;⑤支出!B128&amp;"　"&amp;⑤支出!C129</f>
        <v>⑤支出　販売費用　出荷運賃</v>
      </c>
      <c r="H25" s="64"/>
      <c r="I25" s="65"/>
    </row>
    <row r="26" spans="1:9" ht="21" customHeight="1">
      <c r="A26" s="692"/>
      <c r="B26" s="696"/>
      <c r="C26" s="466"/>
      <c r="D26" s="469" t="s">
        <v>155</v>
      </c>
      <c r="E26" s="45">
        <f>⑤支出!J128</f>
        <v>125400</v>
      </c>
      <c r="F26" s="305">
        <f>E26*$F$2/10</f>
        <v>376200</v>
      </c>
      <c r="G26" s="64" t="str">
        <f>"⑤支出　"&amp;⑤支出!B128&amp;"　"&amp;⑤支出!C128</f>
        <v>⑤支出　販売費用　出荷資材（ﾀﾞﾝﾎﾞｰﾙ）</v>
      </c>
      <c r="H26" s="52"/>
      <c r="I26" s="66"/>
    </row>
    <row r="27" spans="1:9" ht="21" customHeight="1">
      <c r="A27" s="692"/>
      <c r="B27" s="696"/>
      <c r="C27" s="466"/>
      <c r="D27" s="461" t="s">
        <v>156</v>
      </c>
      <c r="E27" s="46">
        <f>⑤支出!J130</f>
        <v>0</v>
      </c>
      <c r="F27" s="398">
        <f>E27*$F$2/10</f>
        <v>0</v>
      </c>
      <c r="G27" s="64" t="str">
        <f>"⑤支出　"&amp;⑤支出!B128&amp;"　"&amp;⑤支出!C130</f>
        <v>⑤支出　販売費用　</v>
      </c>
      <c r="H27" s="57"/>
      <c r="I27" s="297"/>
    </row>
    <row r="28" spans="1:9" ht="21" customHeight="1">
      <c r="A28" s="692"/>
      <c r="B28" s="696"/>
      <c r="C28" s="466"/>
      <c r="D28" s="470" t="s">
        <v>157</v>
      </c>
      <c r="E28" s="59">
        <f>⑤支出!J138-⑤支出!J128-⑤支出!J129-⑤支出!J130-⑤支出!J131-⑤支出!J132-⑤支出!J133</f>
        <v>0</v>
      </c>
      <c r="F28" s="302">
        <f>E28*$F$2/10</f>
        <v>0</v>
      </c>
      <c r="G28" s="64" t="str">
        <f>"⑤支出　"&amp;⑤支出!B128</f>
        <v>⑤支出　販売費用</v>
      </c>
      <c r="H28" s="309"/>
      <c r="I28" s="310"/>
    </row>
    <row r="29" spans="1:9" ht="21" customHeight="1">
      <c r="A29" s="692"/>
      <c r="B29" s="697"/>
      <c r="C29" s="471"/>
      <c r="D29" s="464" t="s">
        <v>153</v>
      </c>
      <c r="E29" s="60">
        <f>SUM(E24:E28)</f>
        <v>898656</v>
      </c>
      <c r="F29" s="303">
        <f>SUM(F24:F28)</f>
        <v>2695968</v>
      </c>
      <c r="G29" s="61"/>
      <c r="H29" s="61"/>
      <c r="I29" s="62"/>
    </row>
    <row r="30" spans="1:9" ht="21" customHeight="1">
      <c r="A30" s="692"/>
      <c r="B30" s="704" t="s">
        <v>108</v>
      </c>
      <c r="C30" s="468"/>
      <c r="D30" s="462" t="s">
        <v>275</v>
      </c>
      <c r="E30" s="45">
        <f>②償却資産!L39</f>
        <v>28096</v>
      </c>
      <c r="F30" s="305">
        <f t="shared" ref="F30:F34" si="2">E30*$F$2/10</f>
        <v>84288</v>
      </c>
      <c r="G30" s="674" t="str">
        <f>CONCATENATE("償却資産取得額の",FIXED(②償却資産!$L$35*100,0),"%を利率",FIXED(②償却資産!$L$38*100,0),"%で借入")</f>
        <v>償却資産取得額の50%を利率2%で借入</v>
      </c>
      <c r="H30" s="675"/>
      <c r="I30" s="675"/>
    </row>
    <row r="31" spans="1:9" ht="21" customHeight="1">
      <c r="A31" s="692"/>
      <c r="B31" s="696"/>
      <c r="C31" s="466"/>
      <c r="D31" s="490" t="s">
        <v>255</v>
      </c>
      <c r="E31" s="46">
        <f>⑤支出!J143</f>
        <v>0</v>
      </c>
      <c r="F31" s="398">
        <f t="shared" si="2"/>
        <v>0</v>
      </c>
      <c r="G31" s="671" t="s">
        <v>487</v>
      </c>
      <c r="H31" s="672"/>
      <c r="I31" s="673"/>
    </row>
    <row r="32" spans="1:9" ht="21" customHeight="1">
      <c r="A32" s="692"/>
      <c r="B32" s="696"/>
      <c r="C32" s="466"/>
      <c r="D32" s="463" t="s">
        <v>480</v>
      </c>
      <c r="E32" s="59">
        <f>⑤支出!J148</f>
        <v>36667</v>
      </c>
      <c r="F32" s="302">
        <f t="shared" si="2"/>
        <v>110001</v>
      </c>
      <c r="G32" s="671" t="s">
        <v>488</v>
      </c>
      <c r="H32" s="672"/>
      <c r="I32" s="673"/>
    </row>
    <row r="33" spans="1:10" ht="21" customHeight="1">
      <c r="A33" s="692"/>
      <c r="B33" s="696"/>
      <c r="C33" s="466"/>
      <c r="D33" s="463" t="s">
        <v>482</v>
      </c>
      <c r="E33" s="59">
        <f>⑤支出!J153</f>
        <v>0</v>
      </c>
      <c r="F33" s="302">
        <f t="shared" si="2"/>
        <v>0</v>
      </c>
      <c r="G33" s="671" t="s">
        <v>489</v>
      </c>
      <c r="H33" s="672"/>
      <c r="I33" s="673"/>
    </row>
    <row r="34" spans="1:10" ht="21" customHeight="1">
      <c r="A34" s="693"/>
      <c r="B34" s="705"/>
      <c r="C34" s="466"/>
      <c r="D34" s="463" t="s">
        <v>484</v>
      </c>
      <c r="E34" s="59">
        <f>⑤支出!J158</f>
        <v>7667</v>
      </c>
      <c r="F34" s="302">
        <f t="shared" si="2"/>
        <v>23001</v>
      </c>
      <c r="G34" s="671" t="s">
        <v>490</v>
      </c>
      <c r="H34" s="672"/>
      <c r="I34" s="673"/>
    </row>
    <row r="35" spans="1:10" ht="21" customHeight="1">
      <c r="A35" s="692"/>
      <c r="B35" s="696"/>
      <c r="C35" s="466"/>
      <c r="D35" s="463" t="s">
        <v>491</v>
      </c>
      <c r="E35" s="59">
        <f>⑤支出!J170</f>
        <v>45000</v>
      </c>
      <c r="F35" s="302">
        <f>E35*$F$2/10</f>
        <v>135000</v>
      </c>
      <c r="G35" s="671" t="s">
        <v>492</v>
      </c>
      <c r="H35" s="672"/>
      <c r="I35" s="673"/>
    </row>
    <row r="36" spans="1:10" ht="21" customHeight="1">
      <c r="A36" s="692"/>
      <c r="B36" s="697"/>
      <c r="C36" s="467"/>
      <c r="D36" s="464" t="s">
        <v>153</v>
      </c>
      <c r="E36" s="306">
        <f>SUM(E30:E35)</f>
        <v>117430</v>
      </c>
      <c r="F36" s="307">
        <f>SUM(F30:F35)</f>
        <v>352290</v>
      </c>
      <c r="G36" s="61"/>
      <c r="H36" s="61"/>
      <c r="I36" s="62"/>
    </row>
    <row r="37" spans="1:10" ht="21" customHeight="1">
      <c r="A37" s="694"/>
      <c r="B37" s="702" t="s">
        <v>159</v>
      </c>
      <c r="C37" s="702"/>
      <c r="D37" s="703"/>
      <c r="E37" s="47">
        <f>E23+E29+E36</f>
        <v>5311691.96</v>
      </c>
      <c r="F37" s="47">
        <f>F23+F29+F36</f>
        <v>15644774.879999999</v>
      </c>
      <c r="G37" s="67"/>
      <c r="H37" s="68"/>
      <c r="I37" s="66"/>
    </row>
    <row r="38" spans="1:10" ht="21" customHeight="1">
      <c r="A38" s="69"/>
      <c r="B38" s="70" t="s">
        <v>256</v>
      </c>
      <c r="C38" s="70"/>
      <c r="D38" s="70"/>
      <c r="E38" s="71">
        <f>E6-E37</f>
        <v>502108.04000000004</v>
      </c>
      <c r="F38" s="71">
        <f>F6-F37</f>
        <v>1796625.120000001</v>
      </c>
      <c r="G38" s="72" t="str">
        <f>IF(E6=0,"",CONCATENATE("所得率",FIXED($E$38/$E$6*100,0),"%"))</f>
        <v>所得率9%</v>
      </c>
      <c r="H38" s="73"/>
      <c r="I38" s="74"/>
    </row>
    <row r="39" spans="1:10" ht="21" customHeight="1">
      <c r="A39" s="687" t="s">
        <v>257</v>
      </c>
      <c r="B39" s="688"/>
      <c r="C39" s="688"/>
      <c r="D39" s="689"/>
      <c r="E39" s="75">
        <f>E22+E31+E38</f>
        <v>1794074.04</v>
      </c>
      <c r="F39" s="76">
        <f>F22+F31+F38</f>
        <v>5382222.120000001</v>
      </c>
      <c r="G39" s="77"/>
      <c r="H39" s="77"/>
      <c r="I39" s="78"/>
    </row>
    <row r="40" spans="1:10" ht="21" customHeight="1">
      <c r="A40" s="93"/>
      <c r="B40" s="93"/>
      <c r="C40" s="93"/>
      <c r="D40" s="481"/>
      <c r="E40" s="93"/>
      <c r="F40" s="93"/>
      <c r="G40" s="93"/>
      <c r="H40" s="93"/>
      <c r="I40" s="93"/>
      <c r="J40" s="93"/>
    </row>
    <row r="41" spans="1:10" ht="21" customHeight="1">
      <c r="A41" s="93"/>
      <c r="B41" s="93"/>
      <c r="C41" s="93"/>
      <c r="D41" s="481"/>
      <c r="E41" s="93"/>
      <c r="F41" s="93"/>
      <c r="G41" s="93"/>
      <c r="H41" s="93"/>
      <c r="I41" s="93"/>
      <c r="J41" s="93"/>
    </row>
    <row r="42" spans="1:10" ht="21" customHeight="1">
      <c r="A42" s="93"/>
      <c r="B42" s="93"/>
      <c r="C42" s="93"/>
      <c r="D42" s="481"/>
      <c r="E42" s="93"/>
      <c r="F42" s="93"/>
      <c r="G42" s="93"/>
      <c r="H42" s="93"/>
      <c r="I42" s="93"/>
      <c r="J42" s="93"/>
    </row>
    <row r="43" spans="1:10" ht="21" customHeight="1">
      <c r="A43" s="93"/>
      <c r="B43" s="93"/>
      <c r="C43" s="93"/>
      <c r="D43" s="481"/>
      <c r="E43" s="93"/>
      <c r="F43" s="93"/>
      <c r="G43" s="93"/>
      <c r="H43" s="93"/>
      <c r="I43" s="93"/>
      <c r="J43" s="93"/>
    </row>
    <row r="44" spans="1:10" ht="21" customHeight="1">
      <c r="A44" s="93"/>
      <c r="B44" s="93"/>
      <c r="C44" s="93"/>
      <c r="D44" s="481"/>
      <c r="E44" s="93"/>
      <c r="F44" s="93"/>
      <c r="G44" s="93"/>
      <c r="H44" s="93"/>
      <c r="I44" s="93"/>
      <c r="J44" s="93"/>
    </row>
    <row r="45" spans="1:10" ht="21" customHeight="1">
      <c r="A45" s="93"/>
      <c r="B45" s="93"/>
      <c r="C45" s="93"/>
      <c r="D45" s="481"/>
      <c r="E45" s="93"/>
      <c r="F45" s="93"/>
      <c r="G45" s="93"/>
      <c r="H45" s="93"/>
      <c r="I45" s="93"/>
      <c r="J45" s="93"/>
    </row>
    <row r="46" spans="1:10" ht="16.899999999999999" customHeight="1">
      <c r="A46" s="93"/>
      <c r="B46" s="93"/>
      <c r="C46" s="93"/>
      <c r="D46" s="481"/>
      <c r="E46" s="93"/>
      <c r="F46" s="93"/>
      <c r="G46" s="93"/>
      <c r="H46" s="93"/>
      <c r="I46" s="93"/>
      <c r="J46" s="93"/>
    </row>
    <row r="47" spans="1:10" ht="16.899999999999999" customHeight="1">
      <c r="A47" s="93"/>
      <c r="B47" s="93"/>
      <c r="C47" s="93"/>
      <c r="D47" s="481"/>
      <c r="E47" s="93"/>
      <c r="F47" s="93"/>
      <c r="G47" s="93"/>
      <c r="H47" s="93"/>
      <c r="I47" s="93"/>
      <c r="J47" s="93"/>
    </row>
    <row r="48" spans="1:10" ht="16.899999999999999" customHeight="1">
      <c r="A48" s="93"/>
      <c r="B48" s="93"/>
      <c r="C48" s="93"/>
      <c r="D48" s="481"/>
      <c r="E48" s="93"/>
      <c r="F48" s="93"/>
      <c r="G48" s="93"/>
      <c r="H48" s="93"/>
      <c r="I48" s="93"/>
      <c r="J48" s="93"/>
    </row>
    <row r="49" spans="1:10" ht="16.899999999999999" customHeight="1">
      <c r="A49" s="93"/>
      <c r="B49" s="93"/>
      <c r="C49" s="93"/>
      <c r="D49" s="481"/>
      <c r="E49" s="93"/>
      <c r="F49" s="93"/>
      <c r="G49" s="93"/>
      <c r="H49" s="93"/>
      <c r="I49" s="93"/>
      <c r="J49" s="93"/>
    </row>
    <row r="50" spans="1:10" ht="16.899999999999999" customHeight="1">
      <c r="A50" s="93"/>
      <c r="B50" s="93"/>
      <c r="C50" s="93"/>
      <c r="D50" s="481"/>
      <c r="E50" s="93"/>
      <c r="F50" s="93"/>
      <c r="G50" s="93"/>
      <c r="H50" s="93"/>
      <c r="I50" s="93"/>
      <c r="J50" s="93"/>
    </row>
    <row r="51" spans="1:10" ht="16.899999999999999" customHeight="1">
      <c r="A51" s="93"/>
      <c r="B51" s="93"/>
      <c r="C51" s="93"/>
      <c r="D51" s="481"/>
      <c r="E51" s="93"/>
      <c r="F51" s="93"/>
      <c r="G51" s="93"/>
      <c r="H51" s="93"/>
      <c r="I51" s="93"/>
      <c r="J51" s="93"/>
    </row>
    <row r="52" spans="1:10" ht="16.899999999999999" customHeight="1">
      <c r="A52" s="93"/>
      <c r="B52" s="93"/>
      <c r="C52" s="93"/>
      <c r="D52" s="481"/>
      <c r="E52" s="93"/>
      <c r="F52" s="93"/>
      <c r="G52" s="93"/>
      <c r="H52" s="93"/>
      <c r="I52" s="93"/>
      <c r="J52" s="93"/>
    </row>
    <row r="53" spans="1:10" ht="16.899999999999999" customHeight="1">
      <c r="A53" s="93"/>
      <c r="B53" s="93"/>
      <c r="C53" s="93"/>
      <c r="D53" s="481"/>
      <c r="E53" s="93"/>
      <c r="F53" s="93"/>
      <c r="G53" s="93"/>
      <c r="H53" s="93"/>
      <c r="I53" s="93"/>
      <c r="J53" s="93"/>
    </row>
    <row r="54" spans="1:10" ht="16.899999999999999" customHeight="1">
      <c r="A54" s="93"/>
      <c r="B54" s="93"/>
      <c r="C54" s="93"/>
      <c r="D54" s="481"/>
      <c r="E54" s="93"/>
      <c r="F54" s="93"/>
      <c r="G54" s="93"/>
      <c r="H54" s="93"/>
      <c r="I54" s="93"/>
      <c r="J54" s="93"/>
    </row>
    <row r="55" spans="1:10" ht="16.899999999999999" customHeight="1">
      <c r="A55" s="93"/>
      <c r="B55" s="93"/>
      <c r="C55" s="93"/>
      <c r="D55" s="481"/>
      <c r="E55" s="93"/>
      <c r="F55" s="93"/>
      <c r="G55" s="93"/>
      <c r="H55" s="93"/>
      <c r="I55" s="93"/>
      <c r="J55" s="93"/>
    </row>
    <row r="56" spans="1:10" ht="16.899999999999999" customHeight="1">
      <c r="A56" s="93"/>
      <c r="B56" s="93"/>
      <c r="C56" s="93"/>
      <c r="D56" s="481"/>
      <c r="E56" s="93"/>
      <c r="F56" s="93"/>
      <c r="G56" s="93"/>
      <c r="H56" s="93"/>
      <c r="I56" s="93"/>
      <c r="J56" s="93"/>
    </row>
    <row r="57" spans="1:10" ht="16.899999999999999" customHeight="1">
      <c r="A57" s="93"/>
      <c r="B57" s="93"/>
      <c r="C57" s="93"/>
      <c r="D57" s="481"/>
      <c r="E57" s="93"/>
      <c r="F57" s="93"/>
      <c r="G57" s="93"/>
      <c r="H57" s="93"/>
      <c r="I57" s="93"/>
      <c r="J57" s="93"/>
    </row>
    <row r="58" spans="1:10" ht="16.899999999999999" customHeight="1">
      <c r="A58" s="93"/>
      <c r="B58" s="93"/>
      <c r="C58" s="93"/>
      <c r="D58" s="481"/>
      <c r="E58" s="93"/>
      <c r="F58" s="93"/>
      <c r="G58" s="93"/>
      <c r="H58" s="93"/>
      <c r="I58" s="93"/>
      <c r="J58" s="93"/>
    </row>
    <row r="59" spans="1:10" ht="16.899999999999999" customHeight="1">
      <c r="A59" s="93"/>
      <c r="B59" s="93"/>
      <c r="C59" s="93"/>
      <c r="D59" s="481"/>
      <c r="E59" s="93"/>
      <c r="F59" s="93"/>
      <c r="G59" s="93"/>
      <c r="H59" s="93"/>
      <c r="I59" s="93"/>
      <c r="J59" s="93"/>
    </row>
    <row r="60" spans="1:10" ht="16.899999999999999" customHeight="1">
      <c r="A60" s="93"/>
      <c r="B60" s="93"/>
      <c r="C60" s="93"/>
      <c r="D60" s="481"/>
      <c r="E60" s="93"/>
      <c r="F60" s="93"/>
      <c r="G60" s="93"/>
      <c r="H60" s="93"/>
      <c r="I60" s="93"/>
      <c r="J60" s="93"/>
    </row>
    <row r="61" spans="1:10" ht="16.899999999999999" customHeight="1">
      <c r="A61" s="93"/>
      <c r="B61" s="93"/>
      <c r="C61" s="93"/>
      <c r="D61" s="481"/>
      <c r="E61" s="93"/>
      <c r="F61" s="93"/>
      <c r="G61" s="93"/>
      <c r="H61" s="93"/>
      <c r="I61" s="93"/>
      <c r="J61" s="93"/>
    </row>
    <row r="62" spans="1:10" ht="16.899999999999999" customHeight="1">
      <c r="A62" s="93"/>
      <c r="B62" s="93"/>
      <c r="C62" s="93"/>
      <c r="D62" s="481"/>
      <c r="E62" s="93"/>
      <c r="F62" s="93"/>
      <c r="G62" s="93"/>
      <c r="H62" s="93"/>
      <c r="I62" s="93"/>
      <c r="J62" s="93"/>
    </row>
    <row r="63" spans="1:10" ht="16.899999999999999" customHeight="1">
      <c r="A63" s="93"/>
      <c r="B63" s="93"/>
      <c r="C63" s="93"/>
      <c r="D63" s="481"/>
      <c r="E63" s="93"/>
      <c r="F63" s="93"/>
      <c r="G63" s="93"/>
      <c r="H63" s="93"/>
      <c r="I63" s="93"/>
      <c r="J63" s="93"/>
    </row>
    <row r="64" spans="1:10" ht="16.899999999999999" customHeight="1">
      <c r="A64" s="93"/>
      <c r="B64" s="93"/>
      <c r="C64" s="93"/>
      <c r="D64" s="481"/>
      <c r="E64" s="93"/>
      <c r="F64" s="93"/>
      <c r="G64" s="93"/>
      <c r="H64" s="93"/>
      <c r="I64" s="93"/>
      <c r="J64" s="93"/>
    </row>
    <row r="65" spans="1:10" ht="16.899999999999999" customHeight="1">
      <c r="A65" s="93"/>
      <c r="B65" s="93"/>
      <c r="C65" s="93"/>
      <c r="D65" s="481"/>
      <c r="E65" s="93"/>
      <c r="F65" s="93"/>
      <c r="G65" s="93"/>
      <c r="H65" s="93"/>
      <c r="I65" s="93"/>
      <c r="J65" s="93"/>
    </row>
    <row r="66" spans="1:10" ht="16.899999999999999" customHeight="1">
      <c r="A66" s="93"/>
      <c r="B66" s="93"/>
      <c r="C66" s="93"/>
      <c r="D66" s="481"/>
      <c r="E66" s="93"/>
      <c r="F66" s="93"/>
      <c r="G66" s="93"/>
      <c r="H66" s="93"/>
      <c r="I66" s="93"/>
      <c r="J66" s="93"/>
    </row>
    <row r="67" spans="1:10" ht="16.899999999999999" customHeight="1">
      <c r="A67" s="93"/>
      <c r="B67" s="93"/>
      <c r="C67" s="93"/>
      <c r="D67" s="481"/>
      <c r="E67" s="93"/>
      <c r="F67" s="93"/>
      <c r="G67" s="93"/>
      <c r="H67" s="93"/>
      <c r="I67" s="93"/>
      <c r="J67" s="93"/>
    </row>
    <row r="68" spans="1:10" ht="16.899999999999999" customHeight="1">
      <c r="A68" s="93"/>
      <c r="B68" s="93"/>
      <c r="C68" s="93"/>
      <c r="D68" s="481"/>
      <c r="E68" s="93"/>
      <c r="F68" s="93"/>
      <c r="G68" s="93"/>
      <c r="H68" s="93"/>
      <c r="I68" s="93"/>
      <c r="J68" s="93"/>
    </row>
    <row r="69" spans="1:10" ht="16.899999999999999" customHeight="1">
      <c r="A69" s="93"/>
      <c r="B69" s="93"/>
      <c r="C69" s="93"/>
      <c r="D69" s="481"/>
      <c r="E69" s="93"/>
      <c r="F69" s="93"/>
      <c r="G69" s="93"/>
      <c r="H69" s="93"/>
      <c r="I69" s="93"/>
      <c r="J69" s="93"/>
    </row>
    <row r="70" spans="1:10" ht="16.899999999999999" customHeight="1">
      <c r="A70" s="93"/>
      <c r="B70" s="93"/>
      <c r="C70" s="93"/>
      <c r="D70" s="481"/>
      <c r="E70" s="93"/>
      <c r="F70" s="93"/>
      <c r="G70" s="93"/>
      <c r="H70" s="93"/>
      <c r="I70" s="93"/>
      <c r="J70" s="93"/>
    </row>
    <row r="71" spans="1:10" ht="16.899999999999999" customHeight="1">
      <c r="A71" s="93"/>
      <c r="B71" s="93"/>
      <c r="C71" s="93"/>
      <c r="D71" s="481"/>
      <c r="E71" s="93"/>
      <c r="F71" s="93"/>
      <c r="G71" s="93"/>
      <c r="H71" s="93"/>
      <c r="I71" s="93"/>
      <c r="J71" s="93"/>
    </row>
    <row r="72" spans="1:10" ht="16.899999999999999" customHeight="1">
      <c r="A72" s="93"/>
      <c r="B72" s="93"/>
      <c r="C72" s="93"/>
      <c r="D72" s="481"/>
      <c r="E72" s="93"/>
      <c r="F72" s="93"/>
      <c r="G72" s="93"/>
      <c r="H72" s="93"/>
      <c r="I72" s="93"/>
      <c r="J72" s="93"/>
    </row>
    <row r="73" spans="1:10" ht="16.899999999999999" customHeight="1">
      <c r="A73" s="93"/>
      <c r="B73" s="93"/>
      <c r="C73" s="93"/>
      <c r="D73" s="481"/>
      <c r="E73" s="93"/>
      <c r="F73" s="93"/>
      <c r="G73" s="93"/>
      <c r="H73" s="93"/>
      <c r="I73" s="93"/>
      <c r="J73" s="93"/>
    </row>
    <row r="74" spans="1:10" ht="16.899999999999999" customHeight="1">
      <c r="A74" s="93"/>
      <c r="B74" s="93"/>
      <c r="C74" s="93"/>
      <c r="D74" s="481"/>
      <c r="E74" s="93"/>
      <c r="F74" s="93"/>
      <c r="G74" s="93"/>
      <c r="H74" s="93"/>
      <c r="I74" s="93"/>
      <c r="J74" s="93"/>
    </row>
    <row r="75" spans="1:10" ht="16.899999999999999" customHeight="1">
      <c r="A75" s="93"/>
      <c r="B75" s="93"/>
      <c r="C75" s="93"/>
      <c r="D75" s="481"/>
      <c r="E75" s="93"/>
      <c r="F75" s="93"/>
      <c r="G75" s="93"/>
      <c r="H75" s="93"/>
      <c r="I75" s="93"/>
      <c r="J75" s="93"/>
    </row>
    <row r="76" spans="1:10" ht="12.75" hidden="1" customHeight="1">
      <c r="A76" s="93"/>
      <c r="B76" s="93"/>
      <c r="C76" s="93"/>
      <c r="D76" s="481"/>
      <c r="E76" s="93"/>
      <c r="F76" s="93"/>
      <c r="G76" s="93"/>
      <c r="H76" s="93"/>
      <c r="I76" s="93"/>
      <c r="J76" s="93"/>
    </row>
    <row r="77" spans="1:10" ht="12.75" hidden="1" customHeight="1">
      <c r="A77" s="93"/>
      <c r="B77" s="93"/>
      <c r="C77" s="93"/>
      <c r="D77" s="481"/>
      <c r="E77" s="93"/>
      <c r="F77" s="93"/>
      <c r="G77" s="93"/>
      <c r="H77" s="93"/>
      <c r="I77" s="93"/>
      <c r="J77" s="93"/>
    </row>
    <row r="78" spans="1:10" ht="12.75" hidden="1" customHeight="1">
      <c r="A78" s="93"/>
      <c r="B78" s="93"/>
      <c r="C78" s="93"/>
      <c r="D78" s="481"/>
      <c r="E78" s="93"/>
      <c r="F78" s="93"/>
      <c r="G78" s="93"/>
      <c r="H78" s="93"/>
      <c r="I78" s="93"/>
      <c r="J78" s="93"/>
    </row>
    <row r="79" spans="1:10" ht="13.5" hidden="1">
      <c r="A79" s="93"/>
      <c r="B79" s="93"/>
      <c r="C79" s="93"/>
      <c r="D79" s="481"/>
      <c r="E79" s="93"/>
      <c r="F79" s="93"/>
      <c r="G79" s="93"/>
      <c r="H79" s="93"/>
      <c r="I79" s="93"/>
      <c r="J79" s="93"/>
    </row>
    <row r="80" spans="1:10" ht="13.5" hidden="1">
      <c r="A80" s="93"/>
      <c r="B80" s="93"/>
      <c r="C80" s="93"/>
      <c r="D80" s="481"/>
      <c r="E80" s="93"/>
      <c r="F80" s="93"/>
      <c r="G80" s="93"/>
      <c r="H80" s="93"/>
      <c r="I80" s="93"/>
      <c r="J80" s="93"/>
    </row>
    <row r="81" spans="1:10" ht="13.5" hidden="1">
      <c r="A81" s="93"/>
      <c r="B81" s="93"/>
      <c r="C81" s="93"/>
      <c r="D81" s="481"/>
      <c r="E81" s="93"/>
      <c r="F81" s="93"/>
      <c r="G81" s="93"/>
      <c r="H81" s="93"/>
      <c r="I81" s="93"/>
      <c r="J81" s="93"/>
    </row>
    <row r="82" spans="1:10" ht="13.5" hidden="1">
      <c r="A82" s="93"/>
      <c r="B82" s="93"/>
      <c r="C82" s="93"/>
      <c r="D82" s="481"/>
      <c r="E82" s="93"/>
      <c r="F82" s="93"/>
      <c r="G82" s="93"/>
      <c r="H82" s="93"/>
      <c r="I82" s="93"/>
      <c r="J82" s="93"/>
    </row>
    <row r="83" spans="1:10" ht="13.5">
      <c r="A83" s="93"/>
      <c r="B83" s="93"/>
      <c r="C83" s="93"/>
      <c r="D83" s="481"/>
      <c r="E83" s="93"/>
      <c r="F83" s="93"/>
      <c r="G83" s="93"/>
      <c r="H83" s="93"/>
      <c r="I83" s="93"/>
      <c r="J83" s="93"/>
    </row>
    <row r="84" spans="1:10" ht="13.5">
      <c r="A84" s="93"/>
      <c r="B84" s="93"/>
      <c r="C84" s="93"/>
      <c r="D84" s="481"/>
      <c r="E84" s="93"/>
      <c r="F84" s="93"/>
      <c r="G84" s="93"/>
      <c r="H84" s="93"/>
      <c r="I84" s="93"/>
      <c r="J84" s="93"/>
    </row>
    <row r="85" spans="1:10" ht="13.5">
      <c r="A85" s="93"/>
      <c r="B85" s="93"/>
      <c r="C85" s="93"/>
      <c r="D85" s="481"/>
      <c r="E85" s="93"/>
      <c r="F85" s="93"/>
      <c r="G85" s="93"/>
      <c r="H85" s="93"/>
      <c r="I85" s="93"/>
      <c r="J85" s="93"/>
    </row>
    <row r="86" spans="1:10" ht="13.5">
      <c r="A86" s="93"/>
      <c r="B86" s="93"/>
      <c r="C86" s="93"/>
      <c r="D86" s="481"/>
      <c r="E86" s="93"/>
      <c r="F86" s="93"/>
      <c r="G86" s="93"/>
      <c r="H86" s="93"/>
      <c r="I86" s="93"/>
      <c r="J86" s="93"/>
    </row>
    <row r="87" spans="1:10" ht="13.5">
      <c r="A87" s="93"/>
      <c r="B87" s="93"/>
      <c r="C87" s="93"/>
      <c r="D87" s="481"/>
      <c r="E87" s="93"/>
      <c r="F87" s="93"/>
      <c r="G87" s="93"/>
      <c r="H87" s="93"/>
      <c r="I87" s="93"/>
      <c r="J87" s="93"/>
    </row>
    <row r="88" spans="1:10" ht="13.5">
      <c r="A88" s="93"/>
      <c r="B88" s="93"/>
      <c r="C88" s="93"/>
      <c r="D88" s="481"/>
      <c r="E88" s="93"/>
      <c r="F88" s="93"/>
      <c r="G88" s="93"/>
      <c r="H88" s="93"/>
      <c r="I88" s="93"/>
      <c r="J88" s="93"/>
    </row>
    <row r="89" spans="1:10" ht="13.5">
      <c r="A89" s="93"/>
      <c r="B89" s="93"/>
      <c r="C89" s="93"/>
      <c r="D89" s="481"/>
      <c r="E89" s="93"/>
      <c r="F89" s="93"/>
      <c r="G89" s="93"/>
      <c r="H89" s="93"/>
      <c r="I89" s="93"/>
      <c r="J89" s="93"/>
    </row>
    <row r="90" spans="1:10" ht="13.5">
      <c r="A90" s="93"/>
      <c r="B90" s="93"/>
      <c r="C90" s="93"/>
      <c r="D90" s="481"/>
      <c r="E90" s="93"/>
      <c r="F90" s="93"/>
      <c r="G90" s="93"/>
      <c r="H90" s="93"/>
      <c r="I90" s="93"/>
      <c r="J90" s="93"/>
    </row>
    <row r="91" spans="1:10" ht="13.5">
      <c r="A91" s="93"/>
      <c r="B91" s="93"/>
      <c r="C91" s="93"/>
      <c r="D91" s="481"/>
      <c r="E91" s="93"/>
      <c r="F91" s="93"/>
      <c r="G91" s="93"/>
      <c r="H91" s="93"/>
      <c r="I91" s="93"/>
      <c r="J91" s="93"/>
    </row>
    <row r="92" spans="1:10" ht="13.5">
      <c r="A92" s="93"/>
      <c r="B92" s="93"/>
      <c r="C92" s="93"/>
      <c r="D92" s="481"/>
      <c r="E92" s="93"/>
      <c r="F92" s="93"/>
      <c r="G92" s="93"/>
      <c r="H92" s="93"/>
      <c r="I92" s="93"/>
      <c r="J92" s="93"/>
    </row>
    <row r="93" spans="1:10" ht="13.5" hidden="1">
      <c r="A93" s="93"/>
      <c r="B93" s="93"/>
      <c r="C93" s="93"/>
      <c r="D93" s="481"/>
      <c r="E93" s="93"/>
      <c r="F93" s="93"/>
      <c r="G93" s="93"/>
      <c r="H93" s="93"/>
      <c r="I93" s="93"/>
    </row>
    <row r="94" spans="1:10" ht="13.5">
      <c r="D94" s="481"/>
    </row>
    <row r="95" spans="1:10"/>
    <row r="96" spans="1:10"/>
    <row r="104"/>
    <row r="105"/>
    <row r="106"/>
    <row r="107"/>
    <row r="108"/>
    <row r="109"/>
    <row r="110"/>
    <row r="111"/>
    <row r="112"/>
    <row r="113"/>
    <row r="114"/>
    <row r="115"/>
    <row r="116"/>
    <row r="117"/>
    <row r="118"/>
    <row r="119"/>
  </sheetData>
  <sheetProtection sheet="1" objects="1" scenarios="1" selectLockedCells="1"/>
  <mergeCells count="27">
    <mergeCell ref="G33:I33"/>
    <mergeCell ref="G34:I34"/>
    <mergeCell ref="G35:I35"/>
    <mergeCell ref="A39:D39"/>
    <mergeCell ref="A2:D2"/>
    <mergeCell ref="A7:A37"/>
    <mergeCell ref="B7:B23"/>
    <mergeCell ref="C15:C17"/>
    <mergeCell ref="C18:C21"/>
    <mergeCell ref="B37:D37"/>
    <mergeCell ref="B24:B29"/>
    <mergeCell ref="B30:B36"/>
    <mergeCell ref="G2:I2"/>
    <mergeCell ref="A3:A6"/>
    <mergeCell ref="B3:D3"/>
    <mergeCell ref="G3:I3"/>
    <mergeCell ref="G32:I32"/>
    <mergeCell ref="G30:I30"/>
    <mergeCell ref="G24:I24"/>
    <mergeCell ref="B4:D4"/>
    <mergeCell ref="G4:I4"/>
    <mergeCell ref="B6:D6"/>
    <mergeCell ref="G6:I6"/>
    <mergeCell ref="G31:I31"/>
    <mergeCell ref="B5:D5"/>
    <mergeCell ref="G5:I5"/>
    <mergeCell ref="G22:I22"/>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&amp;L冬春トマト（高糖度隔離床栽培ゆめ果菜恵）（沿岸部～中間）</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8"/>
  <sheetViews>
    <sheetView showGridLines="0" workbookViewId="0">
      <selection activeCell="G5" sqref="G5:G10"/>
    </sheetView>
  </sheetViews>
  <sheetFormatPr defaultColWidth="10.5" defaultRowHeight="13.5"/>
  <cols>
    <col min="1" max="1" width="16.25" customWidth="1"/>
  </cols>
  <sheetData>
    <row r="1" spans="1:26" s="10" customFormat="1">
      <c r="B1" s="11"/>
      <c r="C1" s="12" t="s">
        <v>112</v>
      </c>
      <c r="D1" s="12" t="s">
        <v>98</v>
      </c>
      <c r="E1" s="12" t="s">
        <v>95</v>
      </c>
      <c r="F1" s="12" t="s">
        <v>101</v>
      </c>
      <c r="G1" s="12" t="s">
        <v>150</v>
      </c>
      <c r="H1" s="12" t="s">
        <v>115</v>
      </c>
      <c r="I1" s="12" t="s">
        <v>151</v>
      </c>
      <c r="J1" s="12" t="s">
        <v>121</v>
      </c>
      <c r="K1" s="12" t="s">
        <v>118</v>
      </c>
      <c r="L1" s="12" t="s">
        <v>127</v>
      </c>
      <c r="M1" s="12" t="s">
        <v>125</v>
      </c>
      <c r="N1" s="12" t="s">
        <v>108</v>
      </c>
      <c r="P1" s="13" t="s">
        <v>197</v>
      </c>
      <c r="Q1" s="13" t="s">
        <v>80</v>
      </c>
      <c r="S1" s="13" t="s">
        <v>198</v>
      </c>
      <c r="U1" s="13" t="s">
        <v>161</v>
      </c>
      <c r="W1" s="13" t="s">
        <v>260</v>
      </c>
      <c r="Y1" s="581" t="s">
        <v>512</v>
      </c>
      <c r="Z1" s="581" t="s">
        <v>513</v>
      </c>
    </row>
    <row r="2" spans="1:26">
      <c r="A2" s="447" t="s">
        <v>112</v>
      </c>
      <c r="B2" s="448">
        <v>1</v>
      </c>
      <c r="C2" s="449" t="s">
        <v>113</v>
      </c>
      <c r="D2" s="449" t="s">
        <v>99</v>
      </c>
      <c r="E2" s="449" t="s">
        <v>167</v>
      </c>
      <c r="F2" s="449" t="s">
        <v>104</v>
      </c>
      <c r="G2" s="449" t="s">
        <v>71</v>
      </c>
      <c r="H2" s="449" t="s">
        <v>180</v>
      </c>
      <c r="I2" s="449" t="s">
        <v>184</v>
      </c>
      <c r="J2" s="449" t="s">
        <v>187</v>
      </c>
      <c r="K2" s="449" t="s">
        <v>119</v>
      </c>
      <c r="L2" s="449" t="s">
        <v>252</v>
      </c>
      <c r="M2" s="449" t="s">
        <v>154</v>
      </c>
      <c r="N2" s="449" t="s">
        <v>158</v>
      </c>
      <c r="P2" s="14" t="s">
        <v>199</v>
      </c>
      <c r="Q2" s="14" t="s">
        <v>114</v>
      </c>
      <c r="S2" t="s">
        <v>71</v>
      </c>
      <c r="U2" t="s">
        <v>191</v>
      </c>
      <c r="W2" s="17" t="s">
        <v>261</v>
      </c>
      <c r="Y2" t="s">
        <v>510</v>
      </c>
      <c r="Z2" t="s">
        <v>511</v>
      </c>
    </row>
    <row r="3" spans="1:26">
      <c r="A3" s="448" t="s">
        <v>98</v>
      </c>
      <c r="B3" s="448">
        <v>2</v>
      </c>
      <c r="C3" s="449" t="s">
        <v>162</v>
      </c>
      <c r="D3" s="449" t="s">
        <v>164</v>
      </c>
      <c r="E3" s="449" t="s">
        <v>96</v>
      </c>
      <c r="F3" s="449" t="s">
        <v>106</v>
      </c>
      <c r="G3" s="449" t="s">
        <v>69</v>
      </c>
      <c r="H3" s="449" t="s">
        <v>181</v>
      </c>
      <c r="I3" s="449" t="s">
        <v>185</v>
      </c>
      <c r="J3" s="449" t="s">
        <v>122</v>
      </c>
      <c r="K3" s="449" t="s">
        <v>188</v>
      </c>
      <c r="L3" s="449" t="s">
        <v>253</v>
      </c>
      <c r="M3" s="449" t="s">
        <v>126</v>
      </c>
      <c r="N3" s="449" t="s">
        <v>123</v>
      </c>
      <c r="P3" s="14" t="s">
        <v>200</v>
      </c>
      <c r="Q3" s="14" t="s">
        <v>201</v>
      </c>
      <c r="S3" t="s">
        <v>69</v>
      </c>
      <c r="U3" t="s">
        <v>166</v>
      </c>
      <c r="W3" s="17" t="s">
        <v>262</v>
      </c>
      <c r="Y3" t="s">
        <v>514</v>
      </c>
      <c r="Z3" t="s">
        <v>515</v>
      </c>
    </row>
    <row r="4" spans="1:26">
      <c r="A4" s="448" t="s">
        <v>95</v>
      </c>
      <c r="B4" s="448">
        <v>3</v>
      </c>
      <c r="C4" s="449" t="s">
        <v>163</v>
      </c>
      <c r="D4" s="449" t="s">
        <v>165</v>
      </c>
      <c r="E4" s="449" t="s">
        <v>97</v>
      </c>
      <c r="F4" s="449" t="s">
        <v>171</v>
      </c>
      <c r="G4" s="449" t="s">
        <v>174</v>
      </c>
      <c r="H4" s="449" t="s">
        <v>182</v>
      </c>
      <c r="I4" s="449" t="s">
        <v>186</v>
      </c>
      <c r="J4" s="449"/>
      <c r="K4" s="449" t="s">
        <v>189</v>
      </c>
      <c r="L4" s="449"/>
      <c r="M4" s="449" t="s">
        <v>155</v>
      </c>
      <c r="N4" s="450" t="s">
        <v>109</v>
      </c>
      <c r="P4" s="14" t="s">
        <v>202</v>
      </c>
      <c r="Q4" s="14" t="s">
        <v>105</v>
      </c>
      <c r="S4" t="s">
        <v>177</v>
      </c>
      <c r="U4" t="s">
        <v>203</v>
      </c>
      <c r="W4" s="17" t="s">
        <v>263</v>
      </c>
      <c r="Y4" t="s">
        <v>516</v>
      </c>
      <c r="Z4" t="s">
        <v>517</v>
      </c>
    </row>
    <row r="5" spans="1:26">
      <c r="A5" s="448" t="s">
        <v>101</v>
      </c>
      <c r="B5" s="448">
        <v>4</v>
      </c>
      <c r="C5" s="449"/>
      <c r="D5" s="449"/>
      <c r="E5" s="449" t="s">
        <v>168</v>
      </c>
      <c r="F5" s="449" t="s">
        <v>172</v>
      </c>
      <c r="G5" s="449" t="s">
        <v>175</v>
      </c>
      <c r="H5" s="449" t="s">
        <v>183</v>
      </c>
      <c r="I5" s="449"/>
      <c r="J5" s="449"/>
      <c r="K5" s="449" t="s">
        <v>190</v>
      </c>
      <c r="L5" s="449"/>
      <c r="M5" s="449" t="s">
        <v>156</v>
      </c>
      <c r="N5" s="449" t="s">
        <v>193</v>
      </c>
      <c r="P5" s="14" t="s">
        <v>204</v>
      </c>
      <c r="Q5" s="14" t="s">
        <v>103</v>
      </c>
      <c r="S5" t="s">
        <v>174</v>
      </c>
      <c r="W5" s="17" t="s">
        <v>264</v>
      </c>
    </row>
    <row r="6" spans="1:26">
      <c r="A6" s="448" t="s">
        <v>115</v>
      </c>
      <c r="B6" s="448">
        <v>5</v>
      </c>
      <c r="C6" s="449"/>
      <c r="D6" s="449"/>
      <c r="E6" s="449" t="s">
        <v>169</v>
      </c>
      <c r="F6" s="449" t="s">
        <v>102</v>
      </c>
      <c r="G6" s="449" t="s">
        <v>179</v>
      </c>
      <c r="H6" s="449" t="s">
        <v>116</v>
      </c>
      <c r="I6" s="449"/>
      <c r="J6" s="449"/>
      <c r="K6" s="449"/>
      <c r="L6" s="449"/>
      <c r="M6" s="449" t="s">
        <v>192</v>
      </c>
      <c r="N6" s="449" t="s">
        <v>124</v>
      </c>
      <c r="P6" s="14" t="s">
        <v>205</v>
      </c>
      <c r="Q6" s="14" t="s">
        <v>206</v>
      </c>
      <c r="S6" t="s">
        <v>175</v>
      </c>
      <c r="W6" s="17" t="s">
        <v>265</v>
      </c>
    </row>
    <row r="7" spans="1:26">
      <c r="A7" s="448" t="s">
        <v>207</v>
      </c>
      <c r="B7" s="448">
        <v>6</v>
      </c>
      <c r="C7" s="449"/>
      <c r="D7" s="449"/>
      <c r="E7" s="449" t="s">
        <v>170</v>
      </c>
      <c r="F7" s="449" t="s">
        <v>173</v>
      </c>
      <c r="G7" s="449" t="s">
        <v>351</v>
      </c>
      <c r="H7" s="451" t="s">
        <v>281</v>
      </c>
      <c r="I7" s="449"/>
      <c r="J7" s="449"/>
      <c r="K7" s="449"/>
      <c r="L7" s="449"/>
      <c r="M7" s="449"/>
      <c r="N7" s="449" t="s">
        <v>194</v>
      </c>
      <c r="P7" s="14" t="s">
        <v>208</v>
      </c>
      <c r="Q7" s="14" t="s">
        <v>209</v>
      </c>
      <c r="S7" t="s">
        <v>176</v>
      </c>
      <c r="W7" s="17" t="s">
        <v>266</v>
      </c>
    </row>
    <row r="8" spans="1:26">
      <c r="A8" s="448" t="s">
        <v>151</v>
      </c>
      <c r="B8" s="448">
        <v>7</v>
      </c>
      <c r="C8" s="449"/>
      <c r="D8" s="449"/>
      <c r="E8" s="449"/>
      <c r="F8" s="449"/>
      <c r="G8" s="449" t="s">
        <v>593</v>
      </c>
      <c r="H8" s="451" t="s">
        <v>280</v>
      </c>
      <c r="I8" s="449"/>
      <c r="J8" s="449"/>
      <c r="K8" s="449"/>
      <c r="L8" s="449"/>
      <c r="M8" s="449"/>
      <c r="N8" s="449" t="s">
        <v>195</v>
      </c>
      <c r="P8" s="14" t="s">
        <v>210</v>
      </c>
      <c r="Q8" s="14" t="s">
        <v>211</v>
      </c>
      <c r="S8" t="s">
        <v>178</v>
      </c>
      <c r="W8" s="17" t="s">
        <v>267</v>
      </c>
    </row>
    <row r="9" spans="1:26">
      <c r="A9" s="448" t="s">
        <v>127</v>
      </c>
      <c r="B9" s="448">
        <v>8</v>
      </c>
      <c r="C9" s="449"/>
      <c r="D9" s="449"/>
      <c r="E9" s="449"/>
      <c r="F9" s="449"/>
      <c r="G9" s="449" t="s">
        <v>594</v>
      </c>
      <c r="H9" s="451" t="s">
        <v>282</v>
      </c>
      <c r="I9" s="449"/>
      <c r="J9" s="449"/>
      <c r="K9" s="449"/>
      <c r="L9" s="449"/>
      <c r="M9" s="449"/>
      <c r="N9" s="449" t="s">
        <v>111</v>
      </c>
      <c r="P9" s="14" t="s">
        <v>212</v>
      </c>
      <c r="Q9" s="14" t="s">
        <v>213</v>
      </c>
      <c r="W9" s="17" t="s">
        <v>269</v>
      </c>
    </row>
    <row r="10" spans="1:26">
      <c r="A10" s="448" t="s">
        <v>118</v>
      </c>
      <c r="B10" s="448">
        <v>9</v>
      </c>
      <c r="C10" s="449"/>
      <c r="D10" s="449"/>
      <c r="E10" s="449"/>
      <c r="F10" s="449"/>
      <c r="G10" s="449" t="s">
        <v>595</v>
      </c>
      <c r="H10" s="451" t="s">
        <v>283</v>
      </c>
      <c r="I10" s="449"/>
      <c r="J10" s="449"/>
      <c r="K10" s="449"/>
      <c r="L10" s="449"/>
      <c r="M10" s="449"/>
      <c r="N10" s="449" t="s">
        <v>196</v>
      </c>
      <c r="P10" s="14" t="s">
        <v>214</v>
      </c>
      <c r="Q10" s="14" t="s">
        <v>215</v>
      </c>
      <c r="W10" s="17" t="s">
        <v>274</v>
      </c>
    </row>
    <row r="11" spans="1:26">
      <c r="A11" s="448" t="s">
        <v>121</v>
      </c>
      <c r="B11" s="448">
        <v>10</v>
      </c>
      <c r="C11" s="449"/>
      <c r="D11" s="449"/>
      <c r="E11" s="449"/>
      <c r="F11" s="449"/>
      <c r="G11" s="449"/>
      <c r="H11" s="451" t="s">
        <v>284</v>
      </c>
      <c r="I11" s="449"/>
      <c r="J11" s="449"/>
      <c r="K11" s="449"/>
      <c r="L11" s="449"/>
      <c r="M11" s="449"/>
      <c r="N11" s="449"/>
      <c r="P11" s="14" t="s">
        <v>216</v>
      </c>
      <c r="Q11" s="14" t="s">
        <v>217</v>
      </c>
      <c r="W11" s="17" t="s">
        <v>273</v>
      </c>
    </row>
    <row r="12" spans="1:26">
      <c r="A12" s="448" t="s">
        <v>218</v>
      </c>
      <c r="B12" s="448">
        <v>11</v>
      </c>
      <c r="C12" s="449"/>
      <c r="D12" s="449"/>
      <c r="E12" s="449"/>
      <c r="F12" s="449"/>
      <c r="G12" s="449"/>
      <c r="H12" s="449"/>
      <c r="I12" s="449"/>
      <c r="J12" s="449"/>
      <c r="K12" s="449"/>
      <c r="L12" s="449"/>
      <c r="M12" s="449"/>
      <c r="N12" s="449"/>
      <c r="P12" s="14" t="s">
        <v>219</v>
      </c>
      <c r="Q12" s="14" t="s">
        <v>117</v>
      </c>
      <c r="W12" s="17" t="s">
        <v>272</v>
      </c>
    </row>
    <row r="13" spans="1:26">
      <c r="A13" s="448" t="s">
        <v>109</v>
      </c>
      <c r="B13" s="448">
        <v>12</v>
      </c>
      <c r="C13" s="449"/>
      <c r="D13" s="449"/>
      <c r="E13" s="449"/>
      <c r="F13" s="449"/>
      <c r="G13" s="449"/>
      <c r="H13" s="449"/>
      <c r="I13" s="449"/>
      <c r="J13" s="449"/>
      <c r="K13" s="449"/>
      <c r="L13" s="449"/>
      <c r="M13" s="449"/>
      <c r="N13" s="449"/>
      <c r="P13" s="14" t="s">
        <v>220</v>
      </c>
      <c r="Q13" s="14" t="s">
        <v>221</v>
      </c>
      <c r="W13" s="17" t="s">
        <v>271</v>
      </c>
    </row>
    <row r="14" spans="1:26">
      <c r="A14" s="448" t="s">
        <v>222</v>
      </c>
      <c r="B14" s="448">
        <v>13</v>
      </c>
      <c r="C14" s="449"/>
      <c r="D14" s="449"/>
      <c r="E14" s="449"/>
      <c r="F14" s="449"/>
      <c r="G14" s="449"/>
      <c r="H14" s="449"/>
      <c r="I14" s="449"/>
      <c r="J14" s="449"/>
      <c r="K14" s="449"/>
      <c r="L14" s="449"/>
      <c r="M14" s="449"/>
      <c r="N14" s="449"/>
      <c r="P14" s="14" t="s">
        <v>223</v>
      </c>
      <c r="Q14" s="14" t="s">
        <v>100</v>
      </c>
      <c r="W14" s="17" t="s">
        <v>270</v>
      </c>
    </row>
    <row r="15" spans="1:26">
      <c r="A15" s="448" t="s">
        <v>224</v>
      </c>
      <c r="B15" s="448">
        <v>14</v>
      </c>
      <c r="C15" s="449"/>
      <c r="D15" s="449"/>
      <c r="E15" s="449"/>
      <c r="F15" s="449"/>
      <c r="G15" s="449"/>
      <c r="H15" s="449"/>
      <c r="I15" s="449"/>
      <c r="J15" s="449"/>
      <c r="K15" s="449"/>
      <c r="L15" s="449"/>
      <c r="M15" s="449"/>
      <c r="N15" s="449"/>
      <c r="P15" s="14" t="s">
        <v>225</v>
      </c>
      <c r="Q15" s="14" t="s">
        <v>226</v>
      </c>
      <c r="W15" s="17" t="s">
        <v>268</v>
      </c>
    </row>
    <row r="16" spans="1:26">
      <c r="A16" s="449"/>
      <c r="B16" s="449"/>
      <c r="C16" s="449"/>
      <c r="D16" s="449"/>
      <c r="E16" s="449"/>
      <c r="F16" s="449"/>
      <c r="G16" s="449"/>
      <c r="H16" s="449"/>
      <c r="I16" s="449"/>
      <c r="J16" s="449"/>
      <c r="K16" s="449"/>
      <c r="L16" s="449"/>
      <c r="M16" s="449"/>
      <c r="N16" s="449"/>
      <c r="P16" s="14" t="s">
        <v>227</v>
      </c>
      <c r="Q16" s="14" t="s">
        <v>228</v>
      </c>
    </row>
    <row r="17" spans="1:17">
      <c r="A17" s="449"/>
      <c r="B17" s="449"/>
      <c r="C17" s="449"/>
      <c r="D17" s="449"/>
      <c r="E17" s="449"/>
      <c r="F17" s="449"/>
      <c r="G17" s="449"/>
      <c r="H17" s="449"/>
      <c r="I17" s="449"/>
      <c r="J17" s="449"/>
      <c r="K17" s="449"/>
      <c r="L17" s="449"/>
      <c r="M17" s="449"/>
      <c r="N17" s="449"/>
      <c r="P17" s="14" t="s">
        <v>229</v>
      </c>
      <c r="Q17" s="14" t="s">
        <v>230</v>
      </c>
    </row>
    <row r="18" spans="1:17">
      <c r="A18" s="449"/>
      <c r="B18" s="449"/>
      <c r="C18" s="449"/>
      <c r="D18" s="449"/>
      <c r="E18" s="449"/>
      <c r="F18" s="449"/>
      <c r="G18" s="449"/>
      <c r="H18" s="449"/>
      <c r="I18" s="449"/>
      <c r="J18" s="449"/>
      <c r="K18" s="449"/>
      <c r="L18" s="449"/>
      <c r="M18" s="449"/>
      <c r="N18" s="449"/>
      <c r="P18" s="14" t="s">
        <v>231</v>
      </c>
      <c r="Q18" s="14" t="s">
        <v>232</v>
      </c>
    </row>
    <row r="19" spans="1:17">
      <c r="A19" s="449"/>
      <c r="B19" s="449"/>
      <c r="C19" s="449"/>
      <c r="D19" s="449"/>
      <c r="E19" s="449"/>
      <c r="F19" s="449"/>
      <c r="G19" s="449"/>
      <c r="H19" s="449"/>
      <c r="I19" s="449"/>
      <c r="J19" s="449"/>
      <c r="K19" s="449"/>
      <c r="L19" s="449"/>
      <c r="M19" s="449"/>
      <c r="N19" s="449"/>
      <c r="P19" s="14" t="s">
        <v>233</v>
      </c>
      <c r="Q19" s="14" t="s">
        <v>160</v>
      </c>
    </row>
    <row r="20" spans="1:17">
      <c r="A20" s="449"/>
      <c r="B20" s="449"/>
      <c r="C20" s="449"/>
      <c r="D20" s="449"/>
      <c r="E20" s="449"/>
      <c r="F20" s="449"/>
      <c r="G20" s="449"/>
      <c r="H20" s="449"/>
      <c r="I20" s="449"/>
      <c r="J20" s="449"/>
      <c r="K20" s="449"/>
      <c r="L20" s="449"/>
      <c r="M20" s="449"/>
      <c r="N20" s="449"/>
      <c r="P20" s="14" t="s">
        <v>234</v>
      </c>
      <c r="Q20" s="14" t="s">
        <v>235</v>
      </c>
    </row>
    <row r="21" spans="1:17">
      <c r="A21" s="449"/>
      <c r="B21" s="449"/>
      <c r="C21" s="449"/>
      <c r="D21" s="449"/>
      <c r="E21" s="449"/>
      <c r="F21" s="449"/>
      <c r="G21" s="449"/>
      <c r="H21" s="449"/>
      <c r="I21" s="449"/>
      <c r="J21" s="449"/>
      <c r="K21" s="449"/>
      <c r="L21" s="449"/>
      <c r="M21" s="449"/>
      <c r="N21" s="449"/>
      <c r="P21" s="14" t="s">
        <v>236</v>
      </c>
      <c r="Q21" s="15" t="s">
        <v>128</v>
      </c>
    </row>
    <row r="22" spans="1:17">
      <c r="A22" s="449"/>
      <c r="B22" s="449"/>
      <c r="C22" s="449"/>
      <c r="D22" s="449"/>
      <c r="E22" s="449"/>
      <c r="F22" s="449"/>
      <c r="G22" s="449"/>
      <c r="H22" s="449"/>
      <c r="I22" s="449"/>
      <c r="J22" s="449"/>
      <c r="K22" s="449"/>
      <c r="L22" s="449"/>
      <c r="M22" s="449"/>
      <c r="N22" s="449"/>
      <c r="P22" s="14" t="s">
        <v>237</v>
      </c>
      <c r="Q22" s="16" t="s">
        <v>120</v>
      </c>
    </row>
    <row r="23" spans="1:17">
      <c r="A23" s="449"/>
      <c r="B23" s="449"/>
      <c r="C23" s="449"/>
      <c r="D23" s="449"/>
      <c r="E23" s="449"/>
      <c r="F23" s="449"/>
      <c r="G23" s="449"/>
      <c r="H23" s="449"/>
      <c r="I23" s="449"/>
      <c r="J23" s="449"/>
      <c r="K23" s="449"/>
      <c r="L23" s="449"/>
      <c r="M23" s="449"/>
      <c r="N23" s="449"/>
      <c r="P23" s="14" t="s">
        <v>68</v>
      </c>
      <c r="Q23" s="15" t="s">
        <v>110</v>
      </c>
    </row>
    <row r="24" spans="1:17">
      <c r="A24" s="449"/>
      <c r="B24" s="449"/>
      <c r="C24" s="449"/>
      <c r="D24" s="449"/>
      <c r="E24" s="449"/>
      <c r="F24" s="449"/>
      <c r="G24" s="449"/>
      <c r="H24" s="449"/>
      <c r="I24" s="449"/>
      <c r="J24" s="449"/>
      <c r="K24" s="449"/>
      <c r="L24" s="449"/>
      <c r="M24" s="449"/>
      <c r="N24" s="449"/>
      <c r="P24" s="14" t="s">
        <v>238</v>
      </c>
      <c r="Q24" s="16" t="s">
        <v>239</v>
      </c>
    </row>
    <row r="25" spans="1:17">
      <c r="A25" s="449"/>
      <c r="B25" s="449"/>
      <c r="C25" s="449"/>
      <c r="D25" s="449"/>
      <c r="E25" s="449"/>
      <c r="F25" s="449"/>
      <c r="G25" s="449"/>
      <c r="H25" s="449"/>
      <c r="I25" s="449"/>
      <c r="J25" s="449"/>
      <c r="K25" s="449"/>
      <c r="L25" s="449"/>
      <c r="M25" s="449"/>
      <c r="N25" s="449"/>
      <c r="P25" s="14" t="s">
        <v>70</v>
      </c>
      <c r="Q25" s="16" t="s">
        <v>240</v>
      </c>
    </row>
    <row r="26" spans="1:17">
      <c r="P26" s="14" t="s">
        <v>241</v>
      </c>
      <c r="Q26" s="16" t="s">
        <v>242</v>
      </c>
    </row>
    <row r="27" spans="1:17">
      <c r="P27" s="14" t="s">
        <v>243</v>
      </c>
      <c r="Q27" s="16" t="s">
        <v>242</v>
      </c>
    </row>
    <row r="28" spans="1:17">
      <c r="P28" s="14" t="s">
        <v>73</v>
      </c>
      <c r="Q28" s="16" t="s">
        <v>244</v>
      </c>
    </row>
    <row r="29" spans="1:17">
      <c r="P29" s="14" t="s">
        <v>245</v>
      </c>
      <c r="Q29" s="16" t="s">
        <v>246</v>
      </c>
    </row>
    <row r="30" spans="1:17">
      <c r="P30" s="14" t="s">
        <v>72</v>
      </c>
      <c r="Q30" s="16" t="s">
        <v>242</v>
      </c>
    </row>
    <row r="31" spans="1:17">
      <c r="P31" s="14" t="s">
        <v>247</v>
      </c>
      <c r="Q31" s="16" t="s">
        <v>242</v>
      </c>
    </row>
    <row r="32" spans="1:17">
      <c r="P32" s="14" t="s">
        <v>75</v>
      </c>
      <c r="Q32" s="564" t="s">
        <v>80</v>
      </c>
    </row>
    <row r="33" spans="16:17">
      <c r="P33" s="14" t="s">
        <v>248</v>
      </c>
      <c r="Q33" s="564" t="s">
        <v>501</v>
      </c>
    </row>
    <row r="34" spans="16:17">
      <c r="P34" s="14" t="s">
        <v>249</v>
      </c>
    </row>
    <row r="35" spans="16:17">
      <c r="P35" s="14" t="s">
        <v>74</v>
      </c>
    </row>
    <row r="36" spans="16:17">
      <c r="P36" s="14" t="s">
        <v>250</v>
      </c>
    </row>
    <row r="37" spans="16:17">
      <c r="P37" s="14" t="s">
        <v>251</v>
      </c>
    </row>
    <row r="38" spans="16:17">
      <c r="P38" s="14" t="s">
        <v>107</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B1:AR40"/>
  <sheetViews>
    <sheetView showGridLines="0" zoomScaleSheetLayoutView="100" workbookViewId="0">
      <pane xSplit="3" ySplit="8" topLeftCell="D21" activePane="bottomRight" state="frozen"/>
      <selection pane="topRight" activeCell="D1" sqref="D1"/>
      <selection pane="bottomLeft" activeCell="A9" sqref="A9"/>
      <selection pane="bottomRight" activeCell="D35" sqref="D35"/>
    </sheetView>
  </sheetViews>
  <sheetFormatPr defaultRowHeight="12"/>
  <cols>
    <col min="1" max="1" width="2.625" style="9" customWidth="1"/>
    <col min="2" max="2" width="5.875" style="9" customWidth="1"/>
    <col min="3" max="3" width="18.5" style="9" customWidth="1"/>
    <col min="4" max="39" width="6.25" style="9" customWidth="1"/>
    <col min="40" max="40" width="9.125" style="9" bestFit="1" customWidth="1"/>
    <col min="41" max="41" width="4.75" style="9" customWidth="1"/>
    <col min="42" max="16384" width="9" style="9"/>
  </cols>
  <sheetData>
    <row r="1" spans="2:44" ht="17.25" customHeight="1">
      <c r="B1" s="421" t="s">
        <v>129</v>
      </c>
      <c r="C1" s="422"/>
      <c r="N1" s="30"/>
      <c r="O1" s="30"/>
      <c r="Z1" s="30"/>
      <c r="AA1" s="30"/>
      <c r="AL1" s="30"/>
      <c r="AM1" s="30" t="s">
        <v>130</v>
      </c>
    </row>
    <row r="2" spans="2:44">
      <c r="B2" s="729" t="s">
        <v>131</v>
      </c>
      <c r="C2" s="729"/>
      <c r="D2" s="730">
        <v>1</v>
      </c>
      <c r="E2" s="730"/>
      <c r="F2" s="730"/>
      <c r="G2" s="724">
        <v>2</v>
      </c>
      <c r="H2" s="724"/>
      <c r="I2" s="724"/>
      <c r="J2" s="724">
        <v>3</v>
      </c>
      <c r="K2" s="724"/>
      <c r="L2" s="724"/>
      <c r="M2" s="724">
        <v>4</v>
      </c>
      <c r="N2" s="724"/>
      <c r="O2" s="724"/>
      <c r="P2" s="724">
        <v>5</v>
      </c>
      <c r="Q2" s="724"/>
      <c r="R2" s="724"/>
      <c r="S2" s="724">
        <v>6</v>
      </c>
      <c r="T2" s="724"/>
      <c r="U2" s="724"/>
      <c r="V2" s="724">
        <v>7</v>
      </c>
      <c r="W2" s="724"/>
      <c r="X2" s="724"/>
      <c r="Y2" s="724">
        <v>8</v>
      </c>
      <c r="Z2" s="724"/>
      <c r="AA2" s="724"/>
      <c r="AB2" s="724">
        <v>9</v>
      </c>
      <c r="AC2" s="724"/>
      <c r="AD2" s="724"/>
      <c r="AE2" s="724">
        <v>10</v>
      </c>
      <c r="AF2" s="724"/>
      <c r="AG2" s="724"/>
      <c r="AH2" s="724">
        <v>11</v>
      </c>
      <c r="AI2" s="724"/>
      <c r="AJ2" s="724"/>
      <c r="AK2" s="725">
        <v>12</v>
      </c>
      <c r="AL2" s="725"/>
      <c r="AM2" s="725"/>
      <c r="AN2" s="723" t="s">
        <v>132</v>
      </c>
    </row>
    <row r="3" spans="2:44">
      <c r="B3" s="729"/>
      <c r="C3" s="729"/>
      <c r="D3" s="31" t="s">
        <v>133</v>
      </c>
      <c r="E3" s="31" t="s">
        <v>134</v>
      </c>
      <c r="F3" s="31" t="s">
        <v>135</v>
      </c>
      <c r="G3" s="31" t="s">
        <v>133</v>
      </c>
      <c r="H3" s="31" t="s">
        <v>134</v>
      </c>
      <c r="I3" s="31" t="s">
        <v>135</v>
      </c>
      <c r="J3" s="31" t="s">
        <v>133</v>
      </c>
      <c r="K3" s="31" t="s">
        <v>134</v>
      </c>
      <c r="L3" s="31" t="s">
        <v>135</v>
      </c>
      <c r="M3" s="31" t="s">
        <v>133</v>
      </c>
      <c r="N3" s="31" t="s">
        <v>134</v>
      </c>
      <c r="O3" s="31" t="s">
        <v>135</v>
      </c>
      <c r="P3" s="32" t="s">
        <v>133</v>
      </c>
      <c r="Q3" s="31" t="s">
        <v>134</v>
      </c>
      <c r="R3" s="31" t="s">
        <v>135</v>
      </c>
      <c r="S3" s="31" t="s">
        <v>133</v>
      </c>
      <c r="T3" s="31" t="s">
        <v>134</v>
      </c>
      <c r="U3" s="31" t="s">
        <v>135</v>
      </c>
      <c r="V3" s="31" t="s">
        <v>133</v>
      </c>
      <c r="W3" s="31" t="s">
        <v>134</v>
      </c>
      <c r="X3" s="31" t="s">
        <v>135</v>
      </c>
      <c r="Y3" s="31" t="s">
        <v>133</v>
      </c>
      <c r="Z3" s="31" t="s">
        <v>134</v>
      </c>
      <c r="AA3" s="31" t="s">
        <v>135</v>
      </c>
      <c r="AB3" s="32" t="s">
        <v>133</v>
      </c>
      <c r="AC3" s="31" t="s">
        <v>134</v>
      </c>
      <c r="AD3" s="31" t="s">
        <v>135</v>
      </c>
      <c r="AE3" s="31" t="s">
        <v>133</v>
      </c>
      <c r="AF3" s="31" t="s">
        <v>134</v>
      </c>
      <c r="AG3" s="31" t="s">
        <v>135</v>
      </c>
      <c r="AH3" s="31" t="s">
        <v>133</v>
      </c>
      <c r="AI3" s="31" t="s">
        <v>134</v>
      </c>
      <c r="AJ3" s="31" t="s">
        <v>135</v>
      </c>
      <c r="AK3" s="31" t="s">
        <v>133</v>
      </c>
      <c r="AL3" s="31" t="s">
        <v>134</v>
      </c>
      <c r="AM3" s="33" t="s">
        <v>135</v>
      </c>
      <c r="AN3" s="723"/>
    </row>
    <row r="4" spans="2:44" ht="13.5">
      <c r="B4" s="731" t="s">
        <v>277</v>
      </c>
      <c r="C4" s="726" t="s">
        <v>278</v>
      </c>
      <c r="D4" s="34"/>
      <c r="E4" s="35"/>
      <c r="F4" s="35"/>
      <c r="G4" s="35"/>
      <c r="H4" s="35"/>
      <c r="I4" s="36"/>
      <c r="J4" s="36"/>
      <c r="K4" s="35"/>
      <c r="L4" s="35"/>
      <c r="M4" s="35"/>
      <c r="N4" s="35"/>
      <c r="O4" s="35"/>
      <c r="P4" s="34"/>
      <c r="Q4" s="35"/>
      <c r="R4" s="35"/>
      <c r="S4" s="35"/>
      <c r="T4" s="35"/>
      <c r="U4" s="36"/>
      <c r="V4" s="36"/>
      <c r="W4" s="35"/>
      <c r="X4" s="35"/>
      <c r="Y4" s="35"/>
      <c r="Z4" s="35"/>
      <c r="AA4" s="35"/>
      <c r="AB4" s="34"/>
      <c r="AC4" s="35"/>
      <c r="AD4" s="35"/>
      <c r="AE4" s="35"/>
      <c r="AF4" s="35"/>
      <c r="AG4" s="36"/>
      <c r="AH4" s="36"/>
      <c r="AI4" s="35"/>
      <c r="AJ4" s="35"/>
      <c r="AK4" s="35"/>
      <c r="AL4" s="35"/>
      <c r="AM4" s="35"/>
      <c r="AN4" s="37"/>
      <c r="AP4" s="8"/>
      <c r="AQ4" s="8"/>
      <c r="AR4" s="8"/>
    </row>
    <row r="5" spans="2:44" ht="12" customHeight="1">
      <c r="B5" s="732"/>
      <c r="C5" s="727"/>
      <c r="D5" s="34" t="s">
        <v>136</v>
      </c>
      <c r="E5" s="35" t="s">
        <v>136</v>
      </c>
      <c r="F5" s="35" t="s">
        <v>136</v>
      </c>
      <c r="G5" s="35" t="s">
        <v>136</v>
      </c>
      <c r="H5" s="35" t="s">
        <v>136</v>
      </c>
      <c r="I5" s="35" t="s">
        <v>136</v>
      </c>
      <c r="J5" s="35" t="s">
        <v>137</v>
      </c>
      <c r="K5" s="35" t="s">
        <v>137</v>
      </c>
      <c r="L5" s="36" t="s">
        <v>137</v>
      </c>
      <c r="M5" s="35" t="s">
        <v>137</v>
      </c>
      <c r="N5" s="35" t="s">
        <v>137</v>
      </c>
      <c r="O5" s="35" t="s">
        <v>137</v>
      </c>
      <c r="P5" s="34" t="s">
        <v>137</v>
      </c>
      <c r="Q5" s="35" t="s">
        <v>137</v>
      </c>
      <c r="R5" s="35" t="s">
        <v>137</v>
      </c>
      <c r="S5" s="35" t="s">
        <v>137</v>
      </c>
      <c r="T5" s="35" t="s">
        <v>137</v>
      </c>
      <c r="U5" s="35" t="s">
        <v>137</v>
      </c>
      <c r="V5" s="35"/>
      <c r="W5" s="35"/>
      <c r="X5" s="36"/>
      <c r="Y5" s="35"/>
      <c r="Z5" s="35"/>
      <c r="AA5" s="35"/>
      <c r="AB5" s="34"/>
      <c r="AC5" s="35"/>
      <c r="AD5" s="35"/>
      <c r="AE5" s="35"/>
      <c r="AF5" s="35"/>
      <c r="AG5" s="35"/>
      <c r="AH5" s="35"/>
      <c r="AI5" s="35"/>
      <c r="AJ5" s="35" t="s">
        <v>567</v>
      </c>
      <c r="AK5" s="35" t="s">
        <v>136</v>
      </c>
      <c r="AL5" s="35" t="s">
        <v>136</v>
      </c>
      <c r="AM5" s="35" t="s">
        <v>136</v>
      </c>
      <c r="AN5" s="37"/>
      <c r="AP5" s="8"/>
      <c r="AQ5" s="8"/>
      <c r="AR5" s="8"/>
    </row>
    <row r="6" spans="2:44" ht="12" customHeight="1">
      <c r="B6" s="732"/>
      <c r="C6" s="727"/>
      <c r="D6" s="35" t="s">
        <v>597</v>
      </c>
      <c r="E6" s="35"/>
      <c r="F6" s="35" t="s">
        <v>597</v>
      </c>
      <c r="G6" s="35"/>
      <c r="H6" s="35" t="s">
        <v>597</v>
      </c>
      <c r="I6" s="36"/>
      <c r="J6" s="35" t="s">
        <v>597</v>
      </c>
      <c r="K6" s="36"/>
      <c r="L6" s="35" t="s">
        <v>597</v>
      </c>
      <c r="M6" s="35"/>
      <c r="N6" s="35" t="s">
        <v>597</v>
      </c>
      <c r="O6" s="35"/>
      <c r="P6" s="35" t="s">
        <v>597</v>
      </c>
      <c r="Q6" s="35"/>
      <c r="R6" s="35" t="s">
        <v>597</v>
      </c>
      <c r="S6" s="35"/>
      <c r="T6" s="35" t="s">
        <v>597</v>
      </c>
      <c r="U6" s="36"/>
      <c r="V6" s="36"/>
      <c r="W6" s="36"/>
      <c r="X6" s="35"/>
      <c r="Y6" s="35"/>
      <c r="Z6" s="35"/>
      <c r="AA6" s="35"/>
      <c r="AB6" s="35"/>
      <c r="AC6" s="35"/>
      <c r="AD6" s="35"/>
      <c r="AE6" s="35"/>
      <c r="AF6" s="35"/>
      <c r="AG6" s="35"/>
      <c r="AH6" s="35"/>
      <c r="AI6" s="35" t="s">
        <v>597</v>
      </c>
      <c r="AJ6" s="35"/>
      <c r="AK6" s="35"/>
      <c r="AL6" s="35" t="s">
        <v>597</v>
      </c>
      <c r="AM6" s="35"/>
      <c r="AN6" s="37"/>
      <c r="AP6" s="8"/>
      <c r="AQ6" s="8"/>
      <c r="AR6" s="8"/>
    </row>
    <row r="7" spans="2:44" ht="12" customHeight="1">
      <c r="B7" s="732"/>
      <c r="C7" s="727"/>
      <c r="D7" s="34" t="s">
        <v>138</v>
      </c>
      <c r="E7" s="35" t="s">
        <v>138</v>
      </c>
      <c r="F7" s="35" t="s">
        <v>138</v>
      </c>
      <c r="G7" s="35" t="s">
        <v>138</v>
      </c>
      <c r="H7" s="35" t="s">
        <v>138</v>
      </c>
      <c r="I7" s="35" t="s">
        <v>138</v>
      </c>
      <c r="J7" s="35" t="s">
        <v>138</v>
      </c>
      <c r="K7" s="35" t="s">
        <v>138</v>
      </c>
      <c r="L7" s="35"/>
      <c r="M7" s="35"/>
      <c r="N7" s="35"/>
      <c r="O7" s="35"/>
      <c r="P7" s="34"/>
      <c r="Q7" s="35"/>
      <c r="R7" s="35"/>
      <c r="S7" s="35"/>
      <c r="T7" s="35"/>
      <c r="U7" s="35"/>
      <c r="V7" s="35"/>
      <c r="W7" s="35"/>
      <c r="X7" s="35"/>
      <c r="Y7" s="35"/>
      <c r="Z7" s="35"/>
      <c r="AA7" s="35"/>
      <c r="AB7" s="34"/>
      <c r="AC7" s="35"/>
      <c r="AD7" s="35"/>
      <c r="AE7" s="35"/>
      <c r="AF7" s="35"/>
      <c r="AG7" s="35"/>
      <c r="AH7" s="35"/>
      <c r="AI7" s="35"/>
      <c r="AJ7" s="35" t="s">
        <v>138</v>
      </c>
      <c r="AK7" s="35" t="s">
        <v>138</v>
      </c>
      <c r="AL7" s="35" t="s">
        <v>138</v>
      </c>
      <c r="AM7" s="35" t="s">
        <v>138</v>
      </c>
      <c r="AN7" s="37"/>
      <c r="AP7" s="8"/>
      <c r="AQ7" s="8"/>
      <c r="AR7" s="8"/>
    </row>
    <row r="8" spans="2:44" ht="12" customHeight="1">
      <c r="B8" s="733"/>
      <c r="C8" s="728"/>
      <c r="D8" s="666" t="s">
        <v>598</v>
      </c>
      <c r="E8" s="39"/>
      <c r="F8" s="39"/>
      <c r="G8" s="666" t="s">
        <v>598</v>
      </c>
      <c r="H8" s="39"/>
      <c r="I8" s="39"/>
      <c r="J8" s="666" t="s">
        <v>598</v>
      </c>
      <c r="K8" s="39"/>
      <c r="L8" s="39"/>
      <c r="M8" s="666" t="s">
        <v>598</v>
      </c>
      <c r="N8" s="39"/>
      <c r="O8" s="39"/>
      <c r="P8" s="666" t="s">
        <v>598</v>
      </c>
      <c r="Q8" s="39"/>
      <c r="R8" s="39"/>
      <c r="S8" s="666" t="s">
        <v>598</v>
      </c>
      <c r="T8" s="39"/>
      <c r="U8" s="39"/>
      <c r="V8" s="39"/>
      <c r="W8" s="39"/>
      <c r="X8" s="39"/>
      <c r="Y8" s="39"/>
      <c r="Z8" s="39"/>
      <c r="AA8" s="39"/>
      <c r="AB8" s="38"/>
      <c r="AC8" s="39"/>
      <c r="AD8" s="39"/>
      <c r="AE8" s="39"/>
      <c r="AF8" s="39"/>
      <c r="AG8" s="39"/>
      <c r="AH8" s="39"/>
      <c r="AI8" s="39"/>
      <c r="AJ8" s="666" t="s">
        <v>598</v>
      </c>
      <c r="AK8" s="39"/>
      <c r="AL8" s="39"/>
      <c r="AM8" s="39"/>
      <c r="AN8" s="37"/>
      <c r="AP8" s="8"/>
      <c r="AQ8" s="8"/>
      <c r="AR8" s="8"/>
    </row>
    <row r="9" spans="2:44" ht="15" customHeight="1">
      <c r="B9" s="734" t="str">
        <f>①技術体系!A6</f>
        <v>ほ場準備</v>
      </c>
      <c r="C9" s="735"/>
      <c r="D9" s="358">
        <f>SUMPRODUCT((③労働時間!$A$5:$A$155=作業体系表!$B9)*(③労働時間!$B$5:$B$155="1月上旬")*(③労働時間!$J$5:$J$155))</f>
        <v>0</v>
      </c>
      <c r="E9" s="358">
        <f>SUMPRODUCT((③労働時間!$A$5:$A$155=作業体系表!$B9)*(③労働時間!$B$5:$B$155="1月中旬")*(③労働時間!$J$5:$J$155))</f>
        <v>0</v>
      </c>
      <c r="F9" s="358">
        <f>SUMPRODUCT((③労働時間!$A$5:$A$155=作業体系表!$B9)*(③労働時間!$B$5:$B$155="1月下旬")*(③労働時間!$J$5:$J$155))</f>
        <v>0</v>
      </c>
      <c r="G9" s="358">
        <f>SUMPRODUCT((③労働時間!$A$5:$A$155=作業体系表!$B9)*(③労働時間!$B$5:$B$155="2月上旬")*(③労働時間!$J$5:$J$155))</f>
        <v>0</v>
      </c>
      <c r="H9" s="358">
        <f>SUMPRODUCT((③労働時間!$A$5:$A$155=作業体系表!$B9)*(③労働時間!$B$5:$B$155="2月中旬")*(③労働時間!$J$5:$J$155))</f>
        <v>0</v>
      </c>
      <c r="I9" s="358">
        <f>SUMPRODUCT((③労働時間!$A$5:$A$155=作業体系表!$B9)*(③労働時間!$B$5:$B$155="2月下旬")*(③労働時間!$J$5:$J$155))</f>
        <v>0</v>
      </c>
      <c r="J9" s="358">
        <f>SUMPRODUCT((③労働時間!$A$5:$A$155=作業体系表!$B9)*(③労働時間!$B$5:$B$155="3月上旬")*(③労働時間!$J$5:$J$155))</f>
        <v>0</v>
      </c>
      <c r="K9" s="358">
        <f>SUMPRODUCT((③労働時間!$A$5:$A$155=作業体系表!$B9)*(③労働時間!$B$5:$B$155="3月中旬")*(③労働時間!$J$5:$J$155))</f>
        <v>0</v>
      </c>
      <c r="L9" s="358">
        <f>SUMPRODUCT((③労働時間!$A$5:$A$155=作業体系表!$B9)*(③労働時間!$B$5:$B$155="3月下旬")*(③労働時間!$J$5:$J$155))</f>
        <v>0</v>
      </c>
      <c r="M9" s="358">
        <f>SUMPRODUCT((③労働時間!$A$5:$A$155=作業体系表!$B9)*(③労働時間!$B$5:$B$155="4月上旬")*(③労働時間!$J$5:$J$155))</f>
        <v>0</v>
      </c>
      <c r="N9" s="358">
        <f>SUMPRODUCT((③労働時間!$A$5:$A$155=作業体系表!$B9)*(③労働時間!$B$5:$B$155="4月中旬")*(③労働時間!$J$5:$J$155))</f>
        <v>0</v>
      </c>
      <c r="O9" s="358">
        <f>SUMPRODUCT((③労働時間!$A$5:$A$155=作業体系表!$B9)*(③労働時間!$B$5:$B$155="4月下旬")*(③労働時間!$J$5:$J$155))</f>
        <v>0</v>
      </c>
      <c r="P9" s="359">
        <f>SUMPRODUCT((③労働時間!$A$5:$A$155=作業体系表!$B9)*(③労働時間!$B$5:$B$155="5月上旬")*(③労働時間!$J$5:$J$155))</f>
        <v>0</v>
      </c>
      <c r="Q9" s="358">
        <f>SUMPRODUCT((③労働時間!$A$5:$A$155=作業体系表!$B9)*(③労働時間!$B$5:$B$155="5月中旬")*(③労働時間!$J$5:$J$155))</f>
        <v>0</v>
      </c>
      <c r="R9" s="358">
        <f>SUMPRODUCT((③労働時間!$A$5:$A$155=作業体系表!$B9)*(③労働時間!$B$5:$B$155="5月下旬")*(③労働時間!$J$5:$J$155))</f>
        <v>0</v>
      </c>
      <c r="S9" s="358">
        <f>SUMPRODUCT((③労働時間!$A$5:$A$155=作業体系表!$B9)*(③労働時間!$B$5:$B$155="6月上旬")*(③労働時間!$J$5:$J$155))</f>
        <v>0</v>
      </c>
      <c r="T9" s="358">
        <f>SUMPRODUCT((③労働時間!$A$5:$A$155=作業体系表!$B9)*(③労働時間!$B$5:$B$155="6月中旬")*(③労働時間!$J$5:$J$155))</f>
        <v>0</v>
      </c>
      <c r="U9" s="358">
        <f>SUMPRODUCT((③労働時間!$A$5:$A$155=作業体系表!$B9)*(③労働時間!$B$5:$B$155="6月下旬")*(③労働時間!$J$5:$J$155))</f>
        <v>0</v>
      </c>
      <c r="V9" s="358">
        <f>SUMPRODUCT((③労働時間!$A$5:$A$155=作業体系表!$B9)*(③労働時間!$B$5:$B$155="7月上旬")*(③労働時間!$J$5:$J$155))</f>
        <v>0</v>
      </c>
      <c r="W9" s="358">
        <f>SUMPRODUCT((③労働時間!$A$5:$A$155=作業体系表!$B9)*(③労働時間!$B$5:$B$155="7月中旬")*(③労働時間!$J$5:$J$155))</f>
        <v>0</v>
      </c>
      <c r="X9" s="358">
        <f>SUMPRODUCT((③労働時間!$A$5:$A$155=作業体系表!$B9)*(③労働時間!$B$5:$B$155="7月下旬")*(③労働時間!$J$5:$J$155))</f>
        <v>0</v>
      </c>
      <c r="Y9" s="358">
        <f>SUMPRODUCT((③労働時間!$A$5:$A$155=作業体系表!$B9)*(③労働時間!$B$5:$B$155="8月上旬")*(③労働時間!$J$5:$J$155))</f>
        <v>0</v>
      </c>
      <c r="Z9" s="358">
        <f>SUMPRODUCT((③労働時間!$A$5:$A$155=作業体系表!$B9)*(③労働時間!$B$5:$B$155="8月中旬")*(③労働時間!$J$5:$J$155))</f>
        <v>0</v>
      </c>
      <c r="AA9" s="358">
        <f>SUMPRODUCT((③労働時間!$A$5:$A$155=作業体系表!$B9)*(③労働時間!$B$5:$B$155="8月下旬")*(③労働時間!$J$5:$J$155))</f>
        <v>0</v>
      </c>
      <c r="AB9" s="359">
        <f>SUMPRODUCT((③労働時間!$A$5:$A$155=作業体系表!$B9)*(③労働時間!$B$5:$B$155="9月上旬")*(③労働時間!$J$5:$J$155))</f>
        <v>0</v>
      </c>
      <c r="AC9" s="358">
        <f>SUMPRODUCT((③労働時間!$A$5:$A$155=作業体系表!$B9)*(③労働時間!$B$5:$B$155="9月中旬")*(③労働時間!$J$5:$J$155))</f>
        <v>0</v>
      </c>
      <c r="AD9" s="358">
        <f>SUMPRODUCT((③労働時間!$A$5:$A$155=作業体系表!$B9)*(③労働時間!$B$5:$B$155="9月下旬")*(③労働時間!$J$5:$J$155))</f>
        <v>0</v>
      </c>
      <c r="AE9" s="358">
        <f>SUMPRODUCT((③労働時間!$A$5:$A$155=作業体系表!$B9)*(③労働時間!$B$5:$B$155="10月上旬")*(③労働時間!$J$5:$J$155))</f>
        <v>0</v>
      </c>
      <c r="AF9" s="358">
        <f>SUMPRODUCT((③労働時間!$A$5:$A$155=作業体系表!$B9)*(③労働時間!$B$5:$B$155="10月中旬")*(③労働時間!$J$5:$J$155))</f>
        <v>0</v>
      </c>
      <c r="AG9" s="358">
        <f>SUMPRODUCT((③労働時間!$A$5:$A$155=作業体系表!$B9)*(③労働時間!$B$5:$B$155="10月下旬")*(③労働時間!$J$5:$J$155))</f>
        <v>0</v>
      </c>
      <c r="AH9" s="358">
        <f>SUMPRODUCT((③労働時間!$A$5:$A$155=作業体系表!$B9)*(③労働時間!$B$5:$B$155="11月上旬")*(③労働時間!$J$5:$J$155))</f>
        <v>0</v>
      </c>
      <c r="AI9" s="358">
        <f>SUMPRODUCT((③労働時間!$A$5:$A$155=作業体系表!$B9)*(③労働時間!$B$5:$B$155="11月中旬")*(③労働時間!$J$5:$J$155))</f>
        <v>20</v>
      </c>
      <c r="AJ9" s="358">
        <f>SUMPRODUCT((③労働時間!$A$5:$A$155=作業体系表!$B9)*(③労働時間!$B$5:$B$155="11月下旬")*(③労働時間!$J$5:$J$155))</f>
        <v>0</v>
      </c>
      <c r="AK9" s="358">
        <f>SUMPRODUCT((③労働時間!$A$5:$A$155=作業体系表!$B9)*(③労働時間!$B$5:$B$155="12月上旬")*(③労働時間!$J$5:$J$155))</f>
        <v>0</v>
      </c>
      <c r="AL9" s="358">
        <f>SUMPRODUCT((③労働時間!$A$5:$A$155=作業体系表!$B9)*(③労働時間!$B$5:$B$155="12月中旬")*(③労働時間!$J$5:$J$155))</f>
        <v>0</v>
      </c>
      <c r="AM9" s="360">
        <f>SUMPRODUCT((③労働時間!$A$5:$A$155=作業体系表!$B9)*(③労働時間!$B$5:$B$155="12月下旬")*(③労働時間!$J$5:$J$155))</f>
        <v>0</v>
      </c>
      <c r="AN9" s="361">
        <f>SUM(D9:AM9)</f>
        <v>20</v>
      </c>
      <c r="AP9" s="8"/>
      <c r="AQ9" s="8"/>
      <c r="AR9" s="8"/>
    </row>
    <row r="10" spans="2:44" ht="15" customHeight="1">
      <c r="B10" s="715" t="str">
        <f>①技術体系!A7</f>
        <v>ハウス管理</v>
      </c>
      <c r="C10" s="716"/>
      <c r="D10" s="362">
        <f>SUMPRODUCT((③労働時間!$A$5:$A$155=作業体系表!$B10)*(③労働時間!$B$5:$B$155="1月上旬")*(③労働時間!$J$5:$J$155))</f>
        <v>1</v>
      </c>
      <c r="E10" s="362">
        <f>SUMPRODUCT((③労働時間!$A$5:$A$155=作業体系表!$B10)*(③労働時間!$B$5:$B$155="1月中旬")*(③労働時間!$J$5:$J$155))</f>
        <v>1</v>
      </c>
      <c r="F10" s="362">
        <f>SUMPRODUCT((③労働時間!$A$5:$A$155=作業体系表!$B10)*(③労働時間!$B$5:$B$155="1月下旬")*(③労働時間!$J$5:$J$155))</f>
        <v>1</v>
      </c>
      <c r="G10" s="362">
        <f>SUMPRODUCT((③労働時間!$A$5:$A$155=作業体系表!$B10)*(③労働時間!$B$5:$B$155="2月上旬")*(③労働時間!$J$5:$J$155))</f>
        <v>1</v>
      </c>
      <c r="H10" s="362">
        <f>SUMPRODUCT((③労働時間!$A$5:$A$155=作業体系表!$B10)*(③労働時間!$B$5:$B$155="2月中旬")*(③労働時間!$J$5:$J$155))</f>
        <v>1</v>
      </c>
      <c r="I10" s="362">
        <f>SUMPRODUCT((③労働時間!$A$5:$A$155=作業体系表!$B10)*(③労働時間!$B$5:$B$155="2月下旬")*(③労働時間!$J$5:$J$155))</f>
        <v>1</v>
      </c>
      <c r="J10" s="362">
        <f>SUMPRODUCT((③労働時間!$A$5:$A$155=作業体系表!$B10)*(③労働時間!$B$5:$B$155="3月上旬")*(③労働時間!$J$5:$J$155))</f>
        <v>2</v>
      </c>
      <c r="K10" s="362">
        <f>SUMPRODUCT((③労働時間!$A$5:$A$155=作業体系表!$B10)*(③労働時間!$B$5:$B$155="3月中旬")*(③労働時間!$J$5:$J$155))</f>
        <v>2</v>
      </c>
      <c r="L10" s="362">
        <f>SUMPRODUCT((③労働時間!$A$5:$A$155=作業体系表!$B10)*(③労働時間!$B$5:$B$155="3月下旬")*(③労働時間!$J$5:$J$155))</f>
        <v>2</v>
      </c>
      <c r="M10" s="362">
        <f>SUMPRODUCT((③労働時間!$A$5:$A$155=作業体系表!$B10)*(③労働時間!$B$5:$B$155="4月上旬")*(③労働時間!$J$5:$J$155))</f>
        <v>2</v>
      </c>
      <c r="N10" s="362">
        <f>SUMPRODUCT((③労働時間!$A$5:$A$155=作業体系表!$B10)*(③労働時間!$B$5:$B$155="4月中旬")*(③労働時間!$J$5:$J$155))</f>
        <v>2</v>
      </c>
      <c r="O10" s="362">
        <f>SUMPRODUCT((③労働時間!$A$5:$A$155=作業体系表!$B10)*(③労働時間!$B$5:$B$155="4月下旬")*(③労働時間!$J$5:$J$155))</f>
        <v>2</v>
      </c>
      <c r="P10" s="363">
        <f>SUMPRODUCT((③労働時間!$A$5:$A$155=作業体系表!$B10)*(③労働時間!$B$5:$B$155="5月上旬")*(③労働時間!$J$5:$J$155))</f>
        <v>2</v>
      </c>
      <c r="Q10" s="362">
        <f>SUMPRODUCT((③労働時間!$A$5:$A$155=作業体系表!$B10)*(③労働時間!$B$5:$B$155="5月中旬")*(③労働時間!$J$5:$J$155))</f>
        <v>0</v>
      </c>
      <c r="R10" s="362">
        <f>SUMPRODUCT((③労働時間!$A$5:$A$155=作業体系表!$B10)*(③労働時間!$B$5:$B$155="5月下旬")*(③労働時間!$J$5:$J$155))</f>
        <v>0</v>
      </c>
      <c r="S10" s="362">
        <f>SUMPRODUCT((③労働時間!$A$5:$A$155=作業体系表!$B10)*(③労働時間!$B$5:$B$155="6月上旬")*(③労働時間!$J$5:$J$155))</f>
        <v>0</v>
      </c>
      <c r="T10" s="362">
        <f>SUMPRODUCT((③労働時間!$A$5:$A$155=作業体系表!$B10)*(③労働時間!$B$5:$B$155="6月中旬")*(③労働時間!$J$5:$J$155))</f>
        <v>0</v>
      </c>
      <c r="U10" s="362">
        <f>SUMPRODUCT((③労働時間!$A$5:$A$155=作業体系表!$B10)*(③労働時間!$B$5:$B$155="6月下旬")*(③労働時間!$J$5:$J$155))</f>
        <v>0</v>
      </c>
      <c r="V10" s="362">
        <f>SUMPRODUCT((③労働時間!$A$5:$A$155=作業体系表!$B10)*(③労働時間!$B$5:$B$155="7月上旬")*(③労働時間!$J$5:$J$155))</f>
        <v>0</v>
      </c>
      <c r="W10" s="362">
        <f>SUMPRODUCT((③労働時間!$A$5:$A$155=作業体系表!$B10)*(③労働時間!$B$5:$B$155="7月中旬")*(③労働時間!$J$5:$J$155))</f>
        <v>0</v>
      </c>
      <c r="X10" s="362">
        <f>SUMPRODUCT((③労働時間!$A$5:$A$155=作業体系表!$B10)*(③労働時間!$B$5:$B$155="7月下旬")*(③労働時間!$J$5:$J$155))</f>
        <v>0</v>
      </c>
      <c r="Y10" s="362">
        <f>SUMPRODUCT((③労働時間!$A$5:$A$155=作業体系表!$B10)*(③労働時間!$B$5:$B$155="8月上旬")*(③労働時間!$J$5:$J$155))</f>
        <v>0</v>
      </c>
      <c r="Z10" s="362">
        <f>SUMPRODUCT((③労働時間!$A$5:$A$155=作業体系表!$B10)*(③労働時間!$B$5:$B$155="8月中旬")*(③労働時間!$J$5:$J$155))</f>
        <v>0</v>
      </c>
      <c r="AA10" s="362">
        <f>SUMPRODUCT((③労働時間!$A$5:$A$155=作業体系表!$B10)*(③労働時間!$B$5:$B$155="8月下旬")*(③労働時間!$J$5:$J$155))</f>
        <v>0</v>
      </c>
      <c r="AB10" s="363">
        <f>SUMPRODUCT((③労働時間!$A$5:$A$155=作業体系表!$B10)*(③労働時間!$B$5:$B$155="9月上旬")*(③労働時間!$J$5:$J$155))</f>
        <v>0</v>
      </c>
      <c r="AC10" s="362">
        <f>SUMPRODUCT((③労働時間!$A$5:$A$155=作業体系表!$B10)*(③労働時間!$B$5:$B$155="9月中旬")*(③労働時間!$J$5:$J$155))</f>
        <v>0</v>
      </c>
      <c r="AD10" s="362">
        <f>SUMPRODUCT((③労働時間!$A$5:$A$155=作業体系表!$B10)*(③労働時間!$B$5:$B$155="9月下旬")*(③労働時間!$J$5:$J$155))</f>
        <v>0</v>
      </c>
      <c r="AE10" s="362">
        <f>SUMPRODUCT((③労働時間!$A$5:$A$155=作業体系表!$B10)*(③労働時間!$B$5:$B$155="10月上旬")*(③労働時間!$J$5:$J$155))</f>
        <v>0</v>
      </c>
      <c r="AF10" s="362">
        <f>SUMPRODUCT((③労働時間!$A$5:$A$155=作業体系表!$B10)*(③労働時間!$B$5:$B$155="10月中旬")*(③労働時間!$J$5:$J$155))</f>
        <v>0</v>
      </c>
      <c r="AG10" s="362">
        <f>SUMPRODUCT((③労働時間!$A$5:$A$155=作業体系表!$B10)*(③労働時間!$B$5:$B$155="10月下旬")*(③労働時間!$J$5:$J$155))</f>
        <v>0</v>
      </c>
      <c r="AH10" s="362">
        <f>SUMPRODUCT((③労働時間!$A$5:$A$155=作業体系表!$B10)*(③労働時間!$B$5:$B$155="11月上旬")*(③労働時間!$J$5:$J$155))</f>
        <v>0</v>
      </c>
      <c r="AI10" s="362">
        <f>SUMPRODUCT((③労働時間!$A$5:$A$155=作業体系表!$B10)*(③労働時間!$B$5:$B$155="11月中旬")*(③労働時間!$J$5:$J$155))</f>
        <v>0</v>
      </c>
      <c r="AJ10" s="362">
        <f>SUMPRODUCT((③労働時間!$A$5:$A$155=作業体系表!$B10)*(③労働時間!$B$5:$B$155="11月下旬")*(③労働時間!$J$5:$J$155))</f>
        <v>0</v>
      </c>
      <c r="AK10" s="362">
        <f>SUMPRODUCT((③労働時間!$A$5:$A$155=作業体系表!$B10)*(③労働時間!$B$5:$B$155="12月上旬")*(③労働時間!$J$5:$J$155))</f>
        <v>1</v>
      </c>
      <c r="AL10" s="362">
        <f>SUMPRODUCT((③労働時間!$A$5:$A$155=作業体系表!$B10)*(③労働時間!$B$5:$B$155="12月中旬")*(③労働時間!$J$5:$J$155))</f>
        <v>1</v>
      </c>
      <c r="AM10" s="364">
        <f>SUMPRODUCT((③労働時間!$A$5:$A$155=作業体系表!$B10)*(③労働時間!$B$5:$B$155="12月下旬")*(③労働時間!$J$5:$J$155))</f>
        <v>1</v>
      </c>
      <c r="AN10" s="365">
        <f t="shared" ref="AN10:AN28" si="0">SUM(D10:AM10)</f>
        <v>23</v>
      </c>
      <c r="AP10" s="8"/>
      <c r="AQ10" s="8"/>
      <c r="AR10" s="8"/>
    </row>
    <row r="11" spans="2:44" ht="15" customHeight="1">
      <c r="B11" s="715" t="str">
        <f>①技術体系!A8</f>
        <v>肥培管理</v>
      </c>
      <c r="C11" s="716"/>
      <c r="D11" s="362">
        <f>SUMPRODUCT((③労働時間!$A$5:$A$155=作業体系表!$B11)*(③労働時間!$B$5:$B$155="1月上旬")*(③労働時間!$J$5:$J$155))</f>
        <v>1</v>
      </c>
      <c r="E11" s="362">
        <f>SUMPRODUCT((③労働時間!$A$5:$A$155=作業体系表!$B11)*(③労働時間!$B$5:$B$155="1月中旬")*(③労働時間!$J$5:$J$155))</f>
        <v>0</v>
      </c>
      <c r="F11" s="362">
        <f>SUMPRODUCT((③労働時間!$A$5:$A$155=作業体系表!$B11)*(③労働時間!$B$5:$B$155="1月下旬")*(③労働時間!$J$5:$J$155))</f>
        <v>0</v>
      </c>
      <c r="G11" s="362">
        <f>SUMPRODUCT((③労働時間!$A$5:$A$155=作業体系表!$B11)*(③労働時間!$B$5:$B$155="2月上旬")*(③労働時間!$J$5:$J$155))</f>
        <v>1</v>
      </c>
      <c r="H11" s="362">
        <f>SUMPRODUCT((③労働時間!$A$5:$A$155=作業体系表!$B11)*(③労働時間!$B$5:$B$155="2月中旬")*(③労働時間!$J$5:$J$155))</f>
        <v>0</v>
      </c>
      <c r="I11" s="362">
        <f>SUMPRODUCT((③労働時間!$A$5:$A$155=作業体系表!$B11)*(③労働時間!$B$5:$B$155="2月下旬")*(③労働時間!$J$5:$J$155))</f>
        <v>0</v>
      </c>
      <c r="J11" s="362">
        <f>SUMPRODUCT((③労働時間!$A$5:$A$155=作業体系表!$B11)*(③労働時間!$B$5:$B$155="3月上旬")*(③労働時間!$J$5:$J$155))</f>
        <v>1</v>
      </c>
      <c r="K11" s="362">
        <f>SUMPRODUCT((③労働時間!$A$5:$A$155=作業体系表!$B11)*(③労働時間!$B$5:$B$155="3月中旬")*(③労働時間!$J$5:$J$155))</f>
        <v>0</v>
      </c>
      <c r="L11" s="362">
        <f>SUMPRODUCT((③労働時間!$A$5:$A$155=作業体系表!$B11)*(③労働時間!$B$5:$B$155="3月下旬")*(③労働時間!$J$5:$J$155))</f>
        <v>0</v>
      </c>
      <c r="M11" s="362">
        <f>SUMPRODUCT((③労働時間!$A$5:$A$155=作業体系表!$B11)*(③労働時間!$B$5:$B$155="4月上旬")*(③労働時間!$J$5:$J$155))</f>
        <v>1</v>
      </c>
      <c r="N11" s="362">
        <f>SUMPRODUCT((③労働時間!$A$5:$A$155=作業体系表!$B11)*(③労働時間!$B$5:$B$155="4月中旬")*(③労働時間!$J$5:$J$155))</f>
        <v>0</v>
      </c>
      <c r="O11" s="362">
        <f>SUMPRODUCT((③労働時間!$A$5:$A$155=作業体系表!$B11)*(③労働時間!$B$5:$B$155="4月下旬")*(③労働時間!$J$5:$J$155))</f>
        <v>0</v>
      </c>
      <c r="P11" s="363">
        <f>SUMPRODUCT((③労働時間!$A$5:$A$155=作業体系表!$B11)*(③労働時間!$B$5:$B$155="5月上旬")*(③労働時間!$J$5:$J$155))</f>
        <v>1</v>
      </c>
      <c r="Q11" s="362">
        <f>SUMPRODUCT((③労働時間!$A$5:$A$155=作業体系表!$B11)*(③労働時間!$B$5:$B$155="5月中旬")*(③労働時間!$J$5:$J$155))</f>
        <v>0</v>
      </c>
      <c r="R11" s="362">
        <f>SUMPRODUCT((③労働時間!$A$5:$A$155=作業体系表!$B11)*(③労働時間!$B$5:$B$155="5月下旬")*(③労働時間!$J$5:$J$155))</f>
        <v>0</v>
      </c>
      <c r="S11" s="362">
        <f>SUMPRODUCT((③労働時間!$A$5:$A$155=作業体系表!$B11)*(③労働時間!$B$5:$B$155="6月上旬")*(③労働時間!$J$5:$J$155))</f>
        <v>1</v>
      </c>
      <c r="T11" s="362">
        <f>SUMPRODUCT((③労働時間!$A$5:$A$155=作業体系表!$B11)*(③労働時間!$B$5:$B$155="6月中旬")*(③労働時間!$J$5:$J$155))</f>
        <v>0</v>
      </c>
      <c r="U11" s="362">
        <f>SUMPRODUCT((③労働時間!$A$5:$A$155=作業体系表!$B11)*(③労働時間!$B$5:$B$155="6月下旬")*(③労働時間!$J$5:$J$155))</f>
        <v>0</v>
      </c>
      <c r="V11" s="362">
        <f>SUMPRODUCT((③労働時間!$A$5:$A$155=作業体系表!$B11)*(③労働時間!$B$5:$B$155="7月上旬")*(③労働時間!$J$5:$J$155))</f>
        <v>0</v>
      </c>
      <c r="W11" s="362">
        <f>SUMPRODUCT((③労働時間!$A$5:$A$155=作業体系表!$B11)*(③労働時間!$B$5:$B$155="7月中旬")*(③労働時間!$J$5:$J$155))</f>
        <v>0</v>
      </c>
      <c r="X11" s="362">
        <f>SUMPRODUCT((③労働時間!$A$5:$A$155=作業体系表!$B11)*(③労働時間!$B$5:$B$155="7月下旬")*(③労働時間!$J$5:$J$155))</f>
        <v>0</v>
      </c>
      <c r="Y11" s="362">
        <f>SUMPRODUCT((③労働時間!$A$5:$A$155=作業体系表!$B11)*(③労働時間!$B$5:$B$155="8月上旬")*(③労働時間!$J$5:$J$155))</f>
        <v>0</v>
      </c>
      <c r="Z11" s="362">
        <f>SUMPRODUCT((③労働時間!$A$5:$A$155=作業体系表!$B11)*(③労働時間!$B$5:$B$155="8月中旬")*(③労働時間!$J$5:$J$155))</f>
        <v>0</v>
      </c>
      <c r="AA11" s="362">
        <f>SUMPRODUCT((③労働時間!$A$5:$A$155=作業体系表!$B11)*(③労働時間!$B$5:$B$155="8月下旬")*(③労働時間!$J$5:$J$155))</f>
        <v>0</v>
      </c>
      <c r="AB11" s="363">
        <f>SUMPRODUCT((③労働時間!$A$5:$A$155=作業体系表!$B11)*(③労働時間!$B$5:$B$155="9月上旬")*(③労働時間!$J$5:$J$155))</f>
        <v>0</v>
      </c>
      <c r="AC11" s="362">
        <f>SUMPRODUCT((③労働時間!$A$5:$A$155=作業体系表!$B11)*(③労働時間!$B$5:$B$155="9月中旬")*(③労働時間!$J$5:$J$155))</f>
        <v>0</v>
      </c>
      <c r="AD11" s="362">
        <f>SUMPRODUCT((③労働時間!$A$5:$A$155=作業体系表!$B11)*(③労働時間!$B$5:$B$155="9月下旬")*(③労働時間!$J$5:$J$155))</f>
        <v>0</v>
      </c>
      <c r="AE11" s="362">
        <f>SUMPRODUCT((③労働時間!$A$5:$A$155=作業体系表!$B11)*(③労働時間!$B$5:$B$155="10月上旬")*(③労働時間!$J$5:$J$155))</f>
        <v>0</v>
      </c>
      <c r="AF11" s="362">
        <f>SUMPRODUCT((③労働時間!$A$5:$A$155=作業体系表!$B11)*(③労働時間!$B$5:$B$155="10月中旬")*(③労働時間!$J$5:$J$155))</f>
        <v>0</v>
      </c>
      <c r="AG11" s="362">
        <f>SUMPRODUCT((③労働時間!$A$5:$A$155=作業体系表!$B11)*(③労働時間!$B$5:$B$155="10月下旬")*(③労働時間!$J$5:$J$155))</f>
        <v>0</v>
      </c>
      <c r="AH11" s="362">
        <f>SUMPRODUCT((③労働時間!$A$5:$A$155=作業体系表!$B11)*(③労働時間!$B$5:$B$155="11月上旬")*(③労働時間!$J$5:$J$155))</f>
        <v>0</v>
      </c>
      <c r="AI11" s="362">
        <f>SUMPRODUCT((③労働時間!$A$5:$A$155=作業体系表!$B11)*(③労働時間!$B$5:$B$155="11月中旬")*(③労働時間!$J$5:$J$155))</f>
        <v>0</v>
      </c>
      <c r="AJ11" s="362">
        <f>SUMPRODUCT((③労働時間!$A$5:$A$155=作業体系表!$B11)*(③労働時間!$B$5:$B$155="11月下旬")*(③労働時間!$J$5:$J$155))</f>
        <v>1</v>
      </c>
      <c r="AK11" s="362">
        <f>SUMPRODUCT((③労働時間!$A$5:$A$155=作業体系表!$B11)*(③労働時間!$B$5:$B$155="12月上旬")*(③労働時間!$J$5:$J$155))</f>
        <v>0</v>
      </c>
      <c r="AL11" s="362">
        <f>SUMPRODUCT((③労働時間!$A$5:$A$155=作業体系表!$B11)*(③労働時間!$B$5:$B$155="12月中旬")*(③労働時間!$J$5:$J$155))</f>
        <v>0</v>
      </c>
      <c r="AM11" s="364">
        <f>SUMPRODUCT((③労働時間!$A$5:$A$155=作業体系表!$B11)*(③労働時間!$B$5:$B$155="12月下旬")*(③労働時間!$J$5:$J$155))</f>
        <v>0</v>
      </c>
      <c r="AN11" s="365">
        <f t="shared" si="0"/>
        <v>7</v>
      </c>
      <c r="AP11" s="8"/>
      <c r="AQ11" s="8"/>
      <c r="AR11" s="8"/>
    </row>
    <row r="12" spans="2:44" ht="15" customHeight="1">
      <c r="B12" s="715" t="str">
        <f>①技術体系!A9</f>
        <v>定植</v>
      </c>
      <c r="C12" s="716"/>
      <c r="D12" s="362">
        <f>SUMPRODUCT((③労働時間!$A$5:$A$155=作業体系表!$B12)*(③労働時間!$B$5:$B$155="1月上旬")*(③労働時間!$J$5:$J$155))</f>
        <v>0</v>
      </c>
      <c r="E12" s="362">
        <f>SUMPRODUCT((③労働時間!$A$5:$A$155=作業体系表!$B12)*(③労働時間!$B$5:$B$155="1月中旬")*(③労働時間!$J$5:$J$155))</f>
        <v>0</v>
      </c>
      <c r="F12" s="362">
        <f>SUMPRODUCT((③労働時間!$A$5:$A$155=作業体系表!$B12)*(③労働時間!$B$5:$B$155="1月下旬")*(③労働時間!$J$5:$J$155))</f>
        <v>0</v>
      </c>
      <c r="G12" s="362">
        <f>SUMPRODUCT((③労働時間!$A$5:$A$155=作業体系表!$B12)*(③労働時間!$B$5:$B$155="2月上旬")*(③労働時間!$J$5:$J$155))</f>
        <v>0</v>
      </c>
      <c r="H12" s="362">
        <f>SUMPRODUCT((③労働時間!$A$5:$A$155=作業体系表!$B12)*(③労働時間!$B$5:$B$155="2月中旬")*(③労働時間!$J$5:$J$155))</f>
        <v>0</v>
      </c>
      <c r="I12" s="362">
        <f>SUMPRODUCT((③労働時間!$A$5:$A$155=作業体系表!$B12)*(③労働時間!$B$5:$B$155="2月下旬")*(③労働時間!$J$5:$J$155))</f>
        <v>0</v>
      </c>
      <c r="J12" s="362">
        <f>SUMPRODUCT((③労働時間!$A$5:$A$155=作業体系表!$B12)*(③労働時間!$B$5:$B$155="3月上旬")*(③労働時間!$J$5:$J$155))</f>
        <v>0</v>
      </c>
      <c r="K12" s="362">
        <f>SUMPRODUCT((③労働時間!$A$5:$A$155=作業体系表!$B12)*(③労働時間!$B$5:$B$155="3月中旬")*(③労働時間!$J$5:$J$155))</f>
        <v>0</v>
      </c>
      <c r="L12" s="362">
        <f>SUMPRODUCT((③労働時間!$A$5:$A$155=作業体系表!$B12)*(③労働時間!$B$5:$B$155="3月下旬")*(③労働時間!$J$5:$J$155))</f>
        <v>0</v>
      </c>
      <c r="M12" s="362">
        <f>SUMPRODUCT((③労働時間!$A$5:$A$155=作業体系表!$B12)*(③労働時間!$B$5:$B$155="4月上旬")*(③労働時間!$J$5:$J$155))</f>
        <v>0</v>
      </c>
      <c r="N12" s="362">
        <f>SUMPRODUCT((③労働時間!$A$5:$A$155=作業体系表!$B12)*(③労働時間!$B$5:$B$155="4月中旬")*(③労働時間!$J$5:$J$155))</f>
        <v>0</v>
      </c>
      <c r="O12" s="362">
        <f>SUMPRODUCT((③労働時間!$A$5:$A$155=作業体系表!$B12)*(③労働時間!$B$5:$B$155="4月下旬")*(③労働時間!$J$5:$J$155))</f>
        <v>0</v>
      </c>
      <c r="P12" s="363">
        <f>SUMPRODUCT((③労働時間!$A$5:$A$155=作業体系表!$B12)*(③労働時間!$B$5:$B$155="5月上旬")*(③労働時間!$J$5:$J$155))</f>
        <v>0</v>
      </c>
      <c r="Q12" s="362">
        <f>SUMPRODUCT((③労働時間!$A$5:$A$155=作業体系表!$B12)*(③労働時間!$B$5:$B$155="5月中旬")*(③労働時間!$J$5:$J$155))</f>
        <v>0</v>
      </c>
      <c r="R12" s="362">
        <f>SUMPRODUCT((③労働時間!$A$5:$A$155=作業体系表!$B12)*(③労働時間!$B$5:$B$155="5月下旬")*(③労働時間!$J$5:$J$155))</f>
        <v>0</v>
      </c>
      <c r="S12" s="362">
        <f>SUMPRODUCT((③労働時間!$A$5:$A$155=作業体系表!$B12)*(③労働時間!$B$5:$B$155="6月上旬")*(③労働時間!$J$5:$J$155))</f>
        <v>0</v>
      </c>
      <c r="T12" s="362">
        <f>SUMPRODUCT((③労働時間!$A$5:$A$155=作業体系表!$B12)*(③労働時間!$B$5:$B$155="6月中旬")*(③労働時間!$J$5:$J$155))</f>
        <v>0</v>
      </c>
      <c r="U12" s="362">
        <f>SUMPRODUCT((③労働時間!$A$5:$A$155=作業体系表!$B12)*(③労働時間!$B$5:$B$155="6月下旬")*(③労働時間!$J$5:$J$155))</f>
        <v>0</v>
      </c>
      <c r="V12" s="362">
        <f>SUMPRODUCT((③労働時間!$A$5:$A$155=作業体系表!$B12)*(③労働時間!$B$5:$B$155="7月上旬")*(③労働時間!$J$5:$J$155))</f>
        <v>0</v>
      </c>
      <c r="W12" s="362">
        <f>SUMPRODUCT((③労働時間!$A$5:$A$155=作業体系表!$B12)*(③労働時間!$B$5:$B$155="7月中旬")*(③労働時間!$J$5:$J$155))</f>
        <v>0</v>
      </c>
      <c r="X12" s="362">
        <f>SUMPRODUCT((③労働時間!$A$5:$A$155=作業体系表!$B12)*(③労働時間!$B$5:$B$155="7月下旬")*(③労働時間!$J$5:$J$155))</f>
        <v>0</v>
      </c>
      <c r="Y12" s="362">
        <f>SUMPRODUCT((③労働時間!$A$5:$A$155=作業体系表!$B12)*(③労働時間!$B$5:$B$155="8月上旬")*(③労働時間!$J$5:$J$155))</f>
        <v>0</v>
      </c>
      <c r="Z12" s="362">
        <f>SUMPRODUCT((③労働時間!$A$5:$A$155=作業体系表!$B12)*(③労働時間!$B$5:$B$155="8月中旬")*(③労働時間!$J$5:$J$155))</f>
        <v>0</v>
      </c>
      <c r="AA12" s="362">
        <f>SUMPRODUCT((③労働時間!$A$5:$A$155=作業体系表!$B12)*(③労働時間!$B$5:$B$155="8月下旬")*(③労働時間!$J$5:$J$155))</f>
        <v>0</v>
      </c>
      <c r="AB12" s="363">
        <f>SUMPRODUCT((③労働時間!$A$5:$A$155=作業体系表!$B12)*(③労働時間!$B$5:$B$155="9月上旬")*(③労働時間!$J$5:$J$155))</f>
        <v>0</v>
      </c>
      <c r="AC12" s="362">
        <f>SUMPRODUCT((③労働時間!$A$5:$A$155=作業体系表!$B12)*(③労働時間!$B$5:$B$155="9月中旬")*(③労働時間!$J$5:$J$155))</f>
        <v>0</v>
      </c>
      <c r="AD12" s="362">
        <f>SUMPRODUCT((③労働時間!$A$5:$A$155=作業体系表!$B12)*(③労働時間!$B$5:$B$155="9月下旬")*(③労働時間!$J$5:$J$155))</f>
        <v>0</v>
      </c>
      <c r="AE12" s="362">
        <f>SUMPRODUCT((③労働時間!$A$5:$A$155=作業体系表!$B12)*(③労働時間!$B$5:$B$155="10月上旬")*(③労働時間!$J$5:$J$155))</f>
        <v>0</v>
      </c>
      <c r="AF12" s="362">
        <f>SUMPRODUCT((③労働時間!$A$5:$A$155=作業体系表!$B12)*(③労働時間!$B$5:$B$155="10月中旬")*(③労働時間!$J$5:$J$155))</f>
        <v>0</v>
      </c>
      <c r="AG12" s="362">
        <f>SUMPRODUCT((③労働時間!$A$5:$A$155=作業体系表!$B12)*(③労働時間!$B$5:$B$155="10月下旬")*(③労働時間!$J$5:$J$155))</f>
        <v>0</v>
      </c>
      <c r="AH12" s="362">
        <f>SUMPRODUCT((③労働時間!$A$5:$A$155=作業体系表!$B12)*(③労働時間!$B$5:$B$155="11月上旬")*(③労働時間!$J$5:$J$155))</f>
        <v>0</v>
      </c>
      <c r="AI12" s="362">
        <f>SUMPRODUCT((③労働時間!$A$5:$A$155=作業体系表!$B12)*(③労働時間!$B$5:$B$155="11月中旬")*(③労働時間!$J$5:$J$155))</f>
        <v>0</v>
      </c>
      <c r="AJ12" s="362">
        <f>SUMPRODUCT((③労働時間!$A$5:$A$155=作業体系表!$B12)*(③労働時間!$B$5:$B$155="11月下旬")*(③労働時間!$J$5:$J$155))</f>
        <v>8</v>
      </c>
      <c r="AK12" s="362">
        <f>SUMPRODUCT((③労働時間!$A$5:$A$155=作業体系表!$B12)*(③労働時間!$B$5:$B$155="12月上旬")*(③労働時間!$J$5:$J$155))</f>
        <v>0</v>
      </c>
      <c r="AL12" s="362">
        <f>SUMPRODUCT((③労働時間!$A$5:$A$155=作業体系表!$B12)*(③労働時間!$B$5:$B$155="12月中旬")*(③労働時間!$J$5:$J$155))</f>
        <v>0</v>
      </c>
      <c r="AM12" s="364">
        <f>SUMPRODUCT((③労働時間!$A$5:$A$155=作業体系表!$B12)*(③労働時間!$B$5:$B$155="12月下旬")*(③労働時間!$J$5:$J$155))</f>
        <v>0</v>
      </c>
      <c r="AN12" s="365">
        <f t="shared" si="0"/>
        <v>8</v>
      </c>
    </row>
    <row r="13" spans="2:44" ht="15" customHeight="1">
      <c r="B13" s="715" t="str">
        <f>①技術体系!A10</f>
        <v>誘引</v>
      </c>
      <c r="C13" s="716"/>
      <c r="D13" s="362">
        <f>SUMPRODUCT((③労働時間!$A$5:$A$155=作業体系表!$B13)*(③労働時間!$B$5:$B$155="1月上旬")*(③労働時間!$J$5:$J$155))</f>
        <v>7</v>
      </c>
      <c r="E13" s="362">
        <f>SUMPRODUCT((③労働時間!$A$5:$A$155=作業体系表!$B13)*(③労働時間!$B$5:$B$155="1月中旬")*(③労働時間!$J$5:$J$155))</f>
        <v>7</v>
      </c>
      <c r="F13" s="362">
        <f>SUMPRODUCT((③労働時間!$A$5:$A$155=作業体系表!$B13)*(③労働時間!$B$5:$B$155="1月下旬")*(③労働時間!$J$5:$J$155))</f>
        <v>7</v>
      </c>
      <c r="G13" s="362">
        <f>SUMPRODUCT((③労働時間!$A$5:$A$155=作業体系表!$B13)*(③労働時間!$B$5:$B$155="2月上旬")*(③労働時間!$J$5:$J$155))</f>
        <v>7</v>
      </c>
      <c r="H13" s="362">
        <f>SUMPRODUCT((③労働時間!$A$5:$A$155=作業体系表!$B13)*(③労働時間!$B$5:$B$155="2月中旬")*(③労働時間!$J$5:$J$155))</f>
        <v>7</v>
      </c>
      <c r="I13" s="362">
        <f>SUMPRODUCT((③労働時間!$A$5:$A$155=作業体系表!$B13)*(③労働時間!$B$5:$B$155="2月下旬")*(③労働時間!$J$5:$J$155))</f>
        <v>7</v>
      </c>
      <c r="J13" s="362">
        <f>SUMPRODUCT((③労働時間!$A$5:$A$155=作業体系表!$B13)*(③労働時間!$B$5:$B$155="3月上旬")*(③労働時間!$J$5:$J$155))</f>
        <v>10</v>
      </c>
      <c r="K13" s="362">
        <f>SUMPRODUCT((③労働時間!$A$5:$A$155=作業体系表!$B13)*(③労働時間!$B$5:$B$155="3月中旬")*(③労働時間!$J$5:$J$155))</f>
        <v>10</v>
      </c>
      <c r="L13" s="362">
        <f>SUMPRODUCT((③労働時間!$A$5:$A$155=作業体系表!$B13)*(③労働時間!$B$5:$B$155="3月下旬")*(③労働時間!$J$5:$J$155))</f>
        <v>10</v>
      </c>
      <c r="M13" s="362">
        <f>SUMPRODUCT((③労働時間!$A$5:$A$155=作業体系表!$B13)*(③労働時間!$B$5:$B$155="4月上旬")*(③労働時間!$J$5:$J$155))</f>
        <v>13</v>
      </c>
      <c r="N13" s="362">
        <f>SUMPRODUCT((③労働時間!$A$5:$A$155=作業体系表!$B13)*(③労働時間!$B$5:$B$155="4月中旬")*(③労働時間!$J$5:$J$155))</f>
        <v>13</v>
      </c>
      <c r="O13" s="362">
        <f>SUMPRODUCT((③労働時間!$A$5:$A$155=作業体系表!$B13)*(③労働時間!$B$5:$B$155="4月下旬")*(③労働時間!$J$5:$J$155))</f>
        <v>13</v>
      </c>
      <c r="P13" s="363">
        <f>SUMPRODUCT((③労働時間!$A$5:$A$155=作業体系表!$B13)*(③労働時間!$B$5:$B$155="5月上旬")*(③労働時間!$J$5:$J$155))</f>
        <v>13</v>
      </c>
      <c r="Q13" s="362">
        <f>SUMPRODUCT((③労働時間!$A$5:$A$155=作業体系表!$B13)*(③労働時間!$B$5:$B$155="5月中旬")*(③労働時間!$J$5:$J$155))</f>
        <v>13</v>
      </c>
      <c r="R13" s="362">
        <f>SUMPRODUCT((③労働時間!$A$5:$A$155=作業体系表!$B13)*(③労働時間!$B$5:$B$155="5月下旬")*(③労働時間!$J$5:$J$155))</f>
        <v>13</v>
      </c>
      <c r="S13" s="362">
        <f>SUMPRODUCT((③労働時間!$A$5:$A$155=作業体系表!$B13)*(③労働時間!$B$5:$B$155="6月上旬")*(③労働時間!$J$5:$J$155))</f>
        <v>10</v>
      </c>
      <c r="T13" s="362">
        <f>SUMPRODUCT((③労働時間!$A$5:$A$155=作業体系表!$B13)*(③労働時間!$B$5:$B$155="6月中旬")*(③労働時間!$J$5:$J$155))</f>
        <v>0</v>
      </c>
      <c r="U13" s="362">
        <f>SUMPRODUCT((③労働時間!$A$5:$A$155=作業体系表!$B13)*(③労働時間!$B$5:$B$155="6月下旬")*(③労働時間!$J$5:$J$155))</f>
        <v>0</v>
      </c>
      <c r="V13" s="362">
        <f>SUMPRODUCT((③労働時間!$A$5:$A$155=作業体系表!$B13)*(③労働時間!$B$5:$B$155="7月上旬")*(③労働時間!$J$5:$J$155))</f>
        <v>0</v>
      </c>
      <c r="W13" s="362">
        <f>SUMPRODUCT((③労働時間!$A$5:$A$155=作業体系表!$B13)*(③労働時間!$B$5:$B$155="7月中旬")*(③労働時間!$J$5:$J$155))</f>
        <v>0</v>
      </c>
      <c r="X13" s="362">
        <f>SUMPRODUCT((③労働時間!$A$5:$A$155=作業体系表!$B13)*(③労働時間!$B$5:$B$155="7月下旬")*(③労働時間!$J$5:$J$155))</f>
        <v>0</v>
      </c>
      <c r="Y13" s="362">
        <f>SUMPRODUCT((③労働時間!$A$5:$A$155=作業体系表!$B13)*(③労働時間!$B$5:$B$155="8月上旬")*(③労働時間!$J$5:$J$155))</f>
        <v>0</v>
      </c>
      <c r="Z13" s="362">
        <f>SUMPRODUCT((③労働時間!$A$5:$A$155=作業体系表!$B13)*(③労働時間!$B$5:$B$155="8月中旬")*(③労働時間!$J$5:$J$155))</f>
        <v>0</v>
      </c>
      <c r="AA13" s="362">
        <f>SUMPRODUCT((③労働時間!$A$5:$A$155=作業体系表!$B13)*(③労働時間!$B$5:$B$155="8月下旬")*(③労働時間!$J$5:$J$155))</f>
        <v>0</v>
      </c>
      <c r="AB13" s="363">
        <f>SUMPRODUCT((③労働時間!$A$5:$A$155=作業体系表!$B13)*(③労働時間!$B$5:$B$155="9月上旬")*(③労働時間!$J$5:$J$155))</f>
        <v>0</v>
      </c>
      <c r="AC13" s="362">
        <f>SUMPRODUCT((③労働時間!$A$5:$A$155=作業体系表!$B13)*(③労働時間!$B$5:$B$155="9月中旬")*(③労働時間!$J$5:$J$155))</f>
        <v>0</v>
      </c>
      <c r="AD13" s="362">
        <f>SUMPRODUCT((③労働時間!$A$5:$A$155=作業体系表!$B13)*(③労働時間!$B$5:$B$155="9月下旬")*(③労働時間!$J$5:$J$155))</f>
        <v>0</v>
      </c>
      <c r="AE13" s="362">
        <f>SUMPRODUCT((③労働時間!$A$5:$A$155=作業体系表!$B13)*(③労働時間!$B$5:$B$155="10月上旬")*(③労働時間!$J$5:$J$155))</f>
        <v>0</v>
      </c>
      <c r="AF13" s="362">
        <f>SUMPRODUCT((③労働時間!$A$5:$A$155=作業体系表!$B13)*(③労働時間!$B$5:$B$155="10月中旬")*(③労働時間!$J$5:$J$155))</f>
        <v>0</v>
      </c>
      <c r="AG13" s="362">
        <f>SUMPRODUCT((③労働時間!$A$5:$A$155=作業体系表!$B13)*(③労働時間!$B$5:$B$155="10月下旬")*(③労働時間!$J$5:$J$155))</f>
        <v>0</v>
      </c>
      <c r="AH13" s="362">
        <f>SUMPRODUCT((③労働時間!$A$5:$A$155=作業体系表!$B13)*(③労働時間!$B$5:$B$155="11月上旬")*(③労働時間!$J$5:$J$155))</f>
        <v>0</v>
      </c>
      <c r="AI13" s="362">
        <f>SUMPRODUCT((③労働時間!$A$5:$A$155=作業体系表!$B13)*(③労働時間!$B$5:$B$155="11月中旬")*(③労働時間!$J$5:$J$155))</f>
        <v>0</v>
      </c>
      <c r="AJ13" s="362">
        <f>SUMPRODUCT((③労働時間!$A$5:$A$155=作業体系表!$B13)*(③労働時間!$B$5:$B$155="11月下旬")*(③労働時間!$J$5:$J$155))</f>
        <v>7</v>
      </c>
      <c r="AK13" s="362">
        <f>SUMPRODUCT((③労働時間!$A$5:$A$155=作業体系表!$B13)*(③労働時間!$B$5:$B$155="12月上旬")*(③労働時間!$J$5:$J$155))</f>
        <v>0</v>
      </c>
      <c r="AL13" s="362">
        <f>SUMPRODUCT((③労働時間!$A$5:$A$155=作業体系表!$B13)*(③労働時間!$B$5:$B$155="12月中旬")*(③労働時間!$J$5:$J$155))</f>
        <v>7</v>
      </c>
      <c r="AM13" s="364">
        <f>SUMPRODUCT((③労働時間!$A$5:$A$155=作業体系表!$B13)*(③労働時間!$B$5:$B$155="12月下旬")*(③労働時間!$J$5:$J$155))</f>
        <v>7</v>
      </c>
      <c r="AN13" s="365">
        <f t="shared" si="0"/>
        <v>181</v>
      </c>
    </row>
    <row r="14" spans="2:44" ht="15" customHeight="1">
      <c r="B14" s="715" t="str">
        <f>①技術体系!A12</f>
        <v>芽かぎ、葉かぎ</v>
      </c>
      <c r="C14" s="716"/>
      <c r="D14" s="362">
        <f>SUMPRODUCT((③労働時間!$A$5:$A$155=作業体系表!$B14)*(③労働時間!$B$5:$B$155="1月上旬")*(③労働時間!$J$5:$J$155))</f>
        <v>3</v>
      </c>
      <c r="E14" s="362">
        <f>SUMPRODUCT((③労働時間!$A$5:$A$155=作業体系表!$B14)*(③労働時間!$B$5:$B$155="1月中旬")*(③労働時間!$J$5:$J$155))</f>
        <v>3</v>
      </c>
      <c r="F14" s="362">
        <f>SUMPRODUCT((③労働時間!$A$5:$A$155=作業体系表!$B14)*(③労働時間!$B$5:$B$155="1月下旬")*(③労働時間!$J$5:$J$155))</f>
        <v>3</v>
      </c>
      <c r="G14" s="362">
        <f>SUMPRODUCT((③労働時間!$A$5:$A$155=作業体系表!$B14)*(③労働時間!$B$5:$B$155="2月上旬")*(③労働時間!$J$5:$J$155))</f>
        <v>3</v>
      </c>
      <c r="H14" s="362">
        <f>SUMPRODUCT((③労働時間!$A$5:$A$155=作業体系表!$B14)*(③労働時間!$B$5:$B$155="2月中旬")*(③労働時間!$J$5:$J$155))</f>
        <v>3</v>
      </c>
      <c r="I14" s="362">
        <f>SUMPRODUCT((③労働時間!$A$5:$A$155=作業体系表!$B14)*(③労働時間!$B$5:$B$155="2月下旬")*(③労働時間!$J$5:$J$155))</f>
        <v>3</v>
      </c>
      <c r="J14" s="362">
        <f>SUMPRODUCT((③労働時間!$A$5:$A$155=作業体系表!$B14)*(③労働時間!$B$5:$B$155="3月上旬")*(③労働時間!$J$5:$J$155))</f>
        <v>5</v>
      </c>
      <c r="K14" s="362">
        <f>SUMPRODUCT((③労働時間!$A$5:$A$155=作業体系表!$B14)*(③労働時間!$B$5:$B$155="3月中旬")*(③労働時間!$J$5:$J$155))</f>
        <v>9</v>
      </c>
      <c r="L14" s="362">
        <f>SUMPRODUCT((③労働時間!$A$5:$A$155=作業体系表!$B14)*(③労働時間!$B$5:$B$155="3月下旬")*(③労働時間!$J$5:$J$155))</f>
        <v>3</v>
      </c>
      <c r="M14" s="362">
        <f>SUMPRODUCT((③労働時間!$A$5:$A$155=作業体系表!$B14)*(③労働時間!$B$5:$B$155="4月上旬")*(③労働時間!$J$5:$J$155))</f>
        <v>7</v>
      </c>
      <c r="N14" s="362">
        <f>SUMPRODUCT((③労働時間!$A$5:$A$155=作業体系表!$B14)*(③労働時間!$B$5:$B$155="4月中旬")*(③労働時間!$J$5:$J$155))</f>
        <v>3</v>
      </c>
      <c r="O14" s="362">
        <f>SUMPRODUCT((③労働時間!$A$5:$A$155=作業体系表!$B14)*(③労働時間!$B$5:$B$155="4月下旬")*(③労働時間!$J$5:$J$155))</f>
        <v>7</v>
      </c>
      <c r="P14" s="363">
        <f>SUMPRODUCT((③労働時間!$A$5:$A$155=作業体系表!$B14)*(③労働時間!$B$5:$B$155="5月上旬")*(③労働時間!$J$5:$J$155))</f>
        <v>3</v>
      </c>
      <c r="Q14" s="362">
        <f>SUMPRODUCT((③労働時間!$A$5:$A$155=作業体系表!$B14)*(③労働時間!$B$5:$B$155="5月中旬")*(③労働時間!$J$5:$J$155))</f>
        <v>7</v>
      </c>
      <c r="R14" s="362">
        <f>SUMPRODUCT((③労働時間!$A$5:$A$155=作業体系表!$B14)*(③労働時間!$B$5:$B$155="5月下旬")*(③労働時間!$J$5:$J$155))</f>
        <v>3</v>
      </c>
      <c r="S14" s="362">
        <f>SUMPRODUCT((③労働時間!$A$5:$A$155=作業体系表!$B14)*(③労働時間!$B$5:$B$155="6月上旬")*(③労働時間!$J$5:$J$155))</f>
        <v>0</v>
      </c>
      <c r="T14" s="362">
        <f>SUMPRODUCT((③労働時間!$A$5:$A$155=作業体系表!$B14)*(③労働時間!$B$5:$B$155="6月中旬")*(③労働時間!$J$5:$J$155))</f>
        <v>0</v>
      </c>
      <c r="U14" s="362">
        <f>SUMPRODUCT((③労働時間!$A$5:$A$155=作業体系表!$B14)*(③労働時間!$B$5:$B$155="6月下旬")*(③労働時間!$J$5:$J$155))</f>
        <v>0</v>
      </c>
      <c r="V14" s="362">
        <f>SUMPRODUCT((③労働時間!$A$5:$A$155=作業体系表!$B14)*(③労働時間!$B$5:$B$155="7月上旬")*(③労働時間!$J$5:$J$155))</f>
        <v>0</v>
      </c>
      <c r="W14" s="362">
        <f>SUMPRODUCT((③労働時間!$A$5:$A$155=作業体系表!$B14)*(③労働時間!$B$5:$B$155="7月中旬")*(③労働時間!$J$5:$J$155))</f>
        <v>0</v>
      </c>
      <c r="X14" s="362">
        <f>SUMPRODUCT((③労働時間!$A$5:$A$155=作業体系表!$B14)*(③労働時間!$B$5:$B$155="7月下旬")*(③労働時間!$J$5:$J$155))</f>
        <v>0</v>
      </c>
      <c r="Y14" s="362">
        <f>SUMPRODUCT((③労働時間!$A$5:$A$155=作業体系表!$B14)*(③労働時間!$B$5:$B$155="8月上旬")*(③労働時間!$J$5:$J$155))</f>
        <v>0</v>
      </c>
      <c r="Z14" s="362">
        <f>SUMPRODUCT((③労働時間!$A$5:$A$155=作業体系表!$B14)*(③労働時間!$B$5:$B$155="8月中旬")*(③労働時間!$J$5:$J$155))</f>
        <v>0</v>
      </c>
      <c r="AA14" s="362">
        <f>SUMPRODUCT((③労働時間!$A$5:$A$155=作業体系表!$B14)*(③労働時間!$B$5:$B$155="8月下旬")*(③労働時間!$J$5:$J$155))</f>
        <v>0</v>
      </c>
      <c r="AB14" s="363">
        <f>SUMPRODUCT((③労働時間!$A$5:$A$155=作業体系表!$B14)*(③労働時間!$B$5:$B$155="9月上旬")*(③労働時間!$J$5:$J$155))</f>
        <v>0</v>
      </c>
      <c r="AC14" s="362">
        <f>SUMPRODUCT((③労働時間!$A$5:$A$155=作業体系表!$B14)*(③労働時間!$B$5:$B$155="9月中旬")*(③労働時間!$J$5:$J$155))</f>
        <v>0</v>
      </c>
      <c r="AD14" s="362">
        <f>SUMPRODUCT((③労働時間!$A$5:$A$155=作業体系表!$B14)*(③労働時間!$B$5:$B$155="9月下旬")*(③労働時間!$J$5:$J$155))</f>
        <v>0</v>
      </c>
      <c r="AE14" s="362">
        <f>SUMPRODUCT((③労働時間!$A$5:$A$155=作業体系表!$B14)*(③労働時間!$B$5:$B$155="10月上旬")*(③労働時間!$J$5:$J$155))</f>
        <v>0</v>
      </c>
      <c r="AF14" s="362">
        <f>SUMPRODUCT((③労働時間!$A$5:$A$155=作業体系表!$B14)*(③労働時間!$B$5:$B$155="10月中旬")*(③労働時間!$J$5:$J$155))</f>
        <v>0</v>
      </c>
      <c r="AG14" s="362">
        <f>SUMPRODUCT((③労働時間!$A$5:$A$155=作業体系表!$B14)*(③労働時間!$B$5:$B$155="10月下旬")*(③労働時間!$J$5:$J$155))</f>
        <v>0</v>
      </c>
      <c r="AH14" s="362">
        <f>SUMPRODUCT((③労働時間!$A$5:$A$155=作業体系表!$B14)*(③労働時間!$B$5:$B$155="11月上旬")*(③労働時間!$J$5:$J$155))</f>
        <v>0</v>
      </c>
      <c r="AI14" s="362">
        <f>SUMPRODUCT((③労働時間!$A$5:$A$155=作業体系表!$B14)*(③労働時間!$B$5:$B$155="11月中旬")*(③労働時間!$J$5:$J$155))</f>
        <v>0</v>
      </c>
      <c r="AJ14" s="362">
        <f>SUMPRODUCT((③労働時間!$A$5:$A$155=作業体系表!$B14)*(③労働時間!$B$5:$B$155="11月下旬")*(③労働時間!$J$5:$J$155))</f>
        <v>0</v>
      </c>
      <c r="AK14" s="362">
        <f>SUMPRODUCT((③労働時間!$A$5:$A$155=作業体系表!$B14)*(③労働時間!$B$5:$B$155="12月上旬")*(③労働時間!$J$5:$J$155))</f>
        <v>0</v>
      </c>
      <c r="AL14" s="362">
        <f>SUMPRODUCT((③労働時間!$A$5:$A$155=作業体系表!$B14)*(③労働時間!$B$5:$B$155="12月中旬")*(③労働時間!$J$5:$J$155))</f>
        <v>8</v>
      </c>
      <c r="AM14" s="364">
        <f>SUMPRODUCT((③労働時間!$A$5:$A$155=作業体系表!$B14)*(③労働時間!$B$5:$B$155="12月下旬")*(③労働時間!$J$5:$J$155))</f>
        <v>3</v>
      </c>
      <c r="AN14" s="365">
        <f t="shared" si="0"/>
        <v>76</v>
      </c>
    </row>
    <row r="15" spans="2:44" ht="15" customHeight="1">
      <c r="B15" s="715" t="str">
        <f>①技術体系!A11</f>
        <v>交配</v>
      </c>
      <c r="C15" s="716"/>
      <c r="D15" s="362">
        <f>SUMPRODUCT((③労働時間!$A$5:$A$155=作業体系表!$B15)*(③労働時間!$B$5:$B$155="1月上旬")*(③労働時間!$J$5:$J$155))</f>
        <v>6</v>
      </c>
      <c r="E15" s="362">
        <f>SUMPRODUCT((③労働時間!$A$5:$A$155=作業体系表!$B15)*(③労働時間!$B$5:$B$155="1月中旬")*(③労働時間!$J$5:$J$155))</f>
        <v>6</v>
      </c>
      <c r="F15" s="362">
        <f>SUMPRODUCT((③労働時間!$A$5:$A$155=作業体系表!$B15)*(③労働時間!$B$5:$B$155="1月下旬")*(③労働時間!$J$5:$J$155))</f>
        <v>6</v>
      </c>
      <c r="G15" s="362">
        <f>SUMPRODUCT((③労働時間!$A$5:$A$155=作業体系表!$B15)*(③労働時間!$B$5:$B$155="2月上旬")*(③労働時間!$J$5:$J$155))</f>
        <v>6</v>
      </c>
      <c r="H15" s="362">
        <f>SUMPRODUCT((③労働時間!$A$5:$A$155=作業体系表!$B15)*(③労働時間!$B$5:$B$155="2月中旬")*(③労働時間!$J$5:$J$155))</f>
        <v>6</v>
      </c>
      <c r="I15" s="362">
        <f>SUMPRODUCT((③労働時間!$A$5:$A$155=作業体系表!$B15)*(③労働時間!$B$5:$B$155="2月下旬")*(③労働時間!$J$5:$J$155))</f>
        <v>6</v>
      </c>
      <c r="J15" s="362">
        <f>SUMPRODUCT((③労働時間!$A$5:$A$155=作業体系表!$B15)*(③労働時間!$B$5:$B$155="3月上旬")*(③労働時間!$J$5:$J$155))</f>
        <v>6</v>
      </c>
      <c r="K15" s="362">
        <f>SUMPRODUCT((③労働時間!$A$5:$A$155=作業体系表!$B15)*(③労働時間!$B$5:$B$155="3月中旬")*(③労働時間!$J$5:$J$155))</f>
        <v>6</v>
      </c>
      <c r="L15" s="362">
        <f>SUMPRODUCT((③労働時間!$A$5:$A$155=作業体系表!$B15)*(③労働時間!$B$5:$B$155="3月下旬")*(③労働時間!$J$5:$J$155))</f>
        <v>6</v>
      </c>
      <c r="M15" s="362">
        <f>SUMPRODUCT((③労働時間!$A$5:$A$155=作業体系表!$B15)*(③労働時間!$B$5:$B$155="4月上旬")*(③労働時間!$J$5:$J$155))</f>
        <v>6</v>
      </c>
      <c r="N15" s="362">
        <f>SUMPRODUCT((③労働時間!$A$5:$A$155=作業体系表!$B15)*(③労働時間!$B$5:$B$155="4月中旬")*(③労働時間!$J$5:$J$155))</f>
        <v>6</v>
      </c>
      <c r="O15" s="362">
        <f>SUMPRODUCT((③労働時間!$A$5:$A$155=作業体系表!$B15)*(③労働時間!$B$5:$B$155="4月下旬")*(③労働時間!$J$5:$J$155))</f>
        <v>6</v>
      </c>
      <c r="P15" s="363">
        <f>SUMPRODUCT((③労働時間!$A$5:$A$155=作業体系表!$B15)*(③労働時間!$B$5:$B$155="5月上旬")*(③労働時間!$J$5:$J$155))</f>
        <v>6</v>
      </c>
      <c r="Q15" s="362">
        <f>SUMPRODUCT((③労働時間!$A$5:$A$155=作業体系表!$B15)*(③労働時間!$B$5:$B$155="5月中旬")*(③労働時間!$J$5:$J$155))</f>
        <v>0</v>
      </c>
      <c r="R15" s="362">
        <f>SUMPRODUCT((③労働時間!$A$5:$A$155=作業体系表!$B15)*(③労働時間!$B$5:$B$155="5月下旬")*(③労働時間!$J$5:$J$155))</f>
        <v>0</v>
      </c>
      <c r="S15" s="362">
        <f>SUMPRODUCT((③労働時間!$A$5:$A$155=作業体系表!$B15)*(③労働時間!$B$5:$B$155="6月上旬")*(③労働時間!$J$5:$J$155))</f>
        <v>0</v>
      </c>
      <c r="T15" s="362">
        <f>SUMPRODUCT((③労働時間!$A$5:$A$155=作業体系表!$B15)*(③労働時間!$B$5:$B$155="6月中旬")*(③労働時間!$J$5:$J$155))</f>
        <v>0</v>
      </c>
      <c r="U15" s="362">
        <f>SUMPRODUCT((③労働時間!$A$5:$A$155=作業体系表!$B15)*(③労働時間!$B$5:$B$155="6月下旬")*(③労働時間!$J$5:$J$155))</f>
        <v>0</v>
      </c>
      <c r="V15" s="362">
        <f>SUMPRODUCT((③労働時間!$A$5:$A$155=作業体系表!$B15)*(③労働時間!$B$5:$B$155="7月上旬")*(③労働時間!$J$5:$J$155))</f>
        <v>0</v>
      </c>
      <c r="W15" s="362">
        <f>SUMPRODUCT((③労働時間!$A$5:$A$155=作業体系表!$B15)*(③労働時間!$B$5:$B$155="7月中旬")*(③労働時間!$J$5:$J$155))</f>
        <v>0</v>
      </c>
      <c r="X15" s="362">
        <f>SUMPRODUCT((③労働時間!$A$5:$A$155=作業体系表!$B15)*(③労働時間!$B$5:$B$155="7月下旬")*(③労働時間!$J$5:$J$155))</f>
        <v>0</v>
      </c>
      <c r="Y15" s="362">
        <f>SUMPRODUCT((③労働時間!$A$5:$A$155=作業体系表!$B15)*(③労働時間!$B$5:$B$155="8月上旬")*(③労働時間!$J$5:$J$155))</f>
        <v>0</v>
      </c>
      <c r="Z15" s="362">
        <f>SUMPRODUCT((③労働時間!$A$5:$A$155=作業体系表!$B15)*(③労働時間!$B$5:$B$155="8月中旬")*(③労働時間!$J$5:$J$155))</f>
        <v>0</v>
      </c>
      <c r="AA15" s="362">
        <f>SUMPRODUCT((③労働時間!$A$5:$A$155=作業体系表!$B15)*(③労働時間!$B$5:$B$155="8月下旬")*(③労働時間!$J$5:$J$155))</f>
        <v>0</v>
      </c>
      <c r="AB15" s="363">
        <f>SUMPRODUCT((③労働時間!$A$5:$A$155=作業体系表!$B15)*(③労働時間!$B$5:$B$155="9月上旬")*(③労働時間!$J$5:$J$155))</f>
        <v>0</v>
      </c>
      <c r="AC15" s="362">
        <f>SUMPRODUCT((③労働時間!$A$5:$A$155=作業体系表!$B15)*(③労働時間!$B$5:$B$155="9月中旬")*(③労働時間!$J$5:$J$155))</f>
        <v>0</v>
      </c>
      <c r="AD15" s="362">
        <f>SUMPRODUCT((③労働時間!$A$5:$A$155=作業体系表!$B15)*(③労働時間!$B$5:$B$155="9月下旬")*(③労働時間!$J$5:$J$155))</f>
        <v>0</v>
      </c>
      <c r="AE15" s="362">
        <f>SUMPRODUCT((③労働時間!$A$5:$A$155=作業体系表!$B15)*(③労働時間!$B$5:$B$155="10月上旬")*(③労働時間!$J$5:$J$155))</f>
        <v>0</v>
      </c>
      <c r="AF15" s="362">
        <f>SUMPRODUCT((③労働時間!$A$5:$A$155=作業体系表!$B15)*(③労働時間!$B$5:$B$155="10月中旬")*(③労働時間!$J$5:$J$155))</f>
        <v>0</v>
      </c>
      <c r="AG15" s="362">
        <f>SUMPRODUCT((③労働時間!$A$5:$A$155=作業体系表!$B15)*(③労働時間!$B$5:$B$155="10月下旬")*(③労働時間!$J$5:$J$155))</f>
        <v>0</v>
      </c>
      <c r="AH15" s="362">
        <f>SUMPRODUCT((③労働時間!$A$5:$A$155=作業体系表!$B15)*(③労働時間!$B$5:$B$155="11月上旬")*(③労働時間!$J$5:$J$155))</f>
        <v>0</v>
      </c>
      <c r="AI15" s="362">
        <f>SUMPRODUCT((③労働時間!$A$5:$A$155=作業体系表!$B15)*(③労働時間!$B$5:$B$155="11月中旬")*(③労働時間!$J$5:$J$155))</f>
        <v>0</v>
      </c>
      <c r="AJ15" s="362">
        <f>SUMPRODUCT((③労働時間!$A$5:$A$155=作業体系表!$B15)*(③労働時間!$B$5:$B$155="11月下旬")*(③労働時間!$J$5:$J$155))</f>
        <v>0</v>
      </c>
      <c r="AK15" s="362">
        <f>SUMPRODUCT((③労働時間!$A$5:$A$155=作業体系表!$B15)*(③労働時間!$B$5:$B$155="12月上旬")*(③労働時間!$J$5:$J$155))</f>
        <v>0</v>
      </c>
      <c r="AL15" s="362">
        <f>SUMPRODUCT((③労働時間!$A$5:$A$155=作業体系表!$B15)*(③労働時間!$B$5:$B$155="12月中旬")*(③労働時間!$J$5:$J$155))</f>
        <v>6</v>
      </c>
      <c r="AM15" s="364">
        <f>SUMPRODUCT((③労働時間!$A$5:$A$155=作業体系表!$B15)*(③労働時間!$B$5:$B$155="12月下旬")*(③労働時間!$J$5:$J$155))</f>
        <v>6</v>
      </c>
      <c r="AN15" s="365">
        <f t="shared" si="0"/>
        <v>90</v>
      </c>
    </row>
    <row r="16" spans="2:44" ht="15" customHeight="1">
      <c r="B16" s="715" t="str">
        <f>①技術体系!A13</f>
        <v>摘果</v>
      </c>
      <c r="C16" s="716"/>
      <c r="D16" s="362">
        <f>SUMPRODUCT((③労働時間!$A$5:$A$155=作業体系表!$B16)*(③労働時間!$B$5:$B$155="1月上旬")*(③労働時間!$J$5:$J$155))</f>
        <v>6</v>
      </c>
      <c r="E16" s="362">
        <f>SUMPRODUCT((③労働時間!$A$5:$A$155=作業体系表!$B16)*(③労働時間!$B$5:$B$155="1月中旬")*(③労働時間!$J$5:$J$155))</f>
        <v>6</v>
      </c>
      <c r="F16" s="362">
        <f>SUMPRODUCT((③労働時間!$A$5:$A$155=作業体系表!$B16)*(③労働時間!$B$5:$B$155="1月下旬")*(③労働時間!$J$5:$J$155))</f>
        <v>6</v>
      </c>
      <c r="G16" s="362">
        <f>SUMPRODUCT((③労働時間!$A$5:$A$155=作業体系表!$B16)*(③労働時間!$B$5:$B$155="2月上旬")*(③労働時間!$J$5:$J$155))</f>
        <v>6</v>
      </c>
      <c r="H16" s="362">
        <f>SUMPRODUCT((③労働時間!$A$5:$A$155=作業体系表!$B16)*(③労働時間!$B$5:$B$155="2月中旬")*(③労働時間!$J$5:$J$155))</f>
        <v>6</v>
      </c>
      <c r="I16" s="362">
        <f>SUMPRODUCT((③労働時間!$A$5:$A$155=作業体系表!$B16)*(③労働時間!$B$5:$B$155="2月下旬")*(③労働時間!$J$5:$J$155))</f>
        <v>6</v>
      </c>
      <c r="J16" s="362">
        <f>SUMPRODUCT((③労働時間!$A$5:$A$155=作業体系表!$B16)*(③労働時間!$B$5:$B$155="3月上旬")*(③労働時間!$J$5:$J$155))</f>
        <v>6</v>
      </c>
      <c r="K16" s="362">
        <f>SUMPRODUCT((③労働時間!$A$5:$A$155=作業体系表!$B16)*(③労働時間!$B$5:$B$155="3月中旬")*(③労働時間!$J$5:$J$155))</f>
        <v>8</v>
      </c>
      <c r="L16" s="362">
        <f>SUMPRODUCT((③労働時間!$A$5:$A$155=作業体系表!$B16)*(③労働時間!$B$5:$B$155="3月下旬")*(③労働時間!$J$5:$J$155))</f>
        <v>8</v>
      </c>
      <c r="M16" s="362">
        <f>SUMPRODUCT((③労働時間!$A$5:$A$155=作業体系表!$B16)*(③労働時間!$B$5:$B$155="4月上旬")*(③労働時間!$J$5:$J$155))</f>
        <v>8</v>
      </c>
      <c r="N16" s="362">
        <f>SUMPRODUCT((③労働時間!$A$5:$A$155=作業体系表!$B16)*(③労働時間!$B$5:$B$155="4月中旬")*(③労働時間!$J$5:$J$155))</f>
        <v>8</v>
      </c>
      <c r="O16" s="362">
        <f>SUMPRODUCT((③労働時間!$A$5:$A$155=作業体系表!$B16)*(③労働時間!$B$5:$B$155="4月下旬")*(③労働時間!$J$5:$J$155))</f>
        <v>8</v>
      </c>
      <c r="P16" s="363">
        <f>SUMPRODUCT((③労働時間!$A$5:$A$155=作業体系表!$B16)*(③労働時間!$B$5:$B$155="5月上旬")*(③労働時間!$J$5:$J$155))</f>
        <v>8</v>
      </c>
      <c r="Q16" s="362">
        <f>SUMPRODUCT((③労働時間!$A$5:$A$155=作業体系表!$B16)*(③労働時間!$B$5:$B$155="5月中旬")*(③労働時間!$J$5:$J$155))</f>
        <v>8</v>
      </c>
      <c r="R16" s="362">
        <f>SUMPRODUCT((③労働時間!$A$5:$A$155=作業体系表!$B16)*(③労働時間!$B$5:$B$155="5月下旬")*(③労働時間!$J$5:$J$155))</f>
        <v>8</v>
      </c>
      <c r="S16" s="362">
        <f>SUMPRODUCT((③労働時間!$A$5:$A$155=作業体系表!$B16)*(③労働時間!$B$5:$B$155="6月上旬")*(③労働時間!$J$5:$J$155))</f>
        <v>6</v>
      </c>
      <c r="T16" s="362">
        <f>SUMPRODUCT((③労働時間!$A$5:$A$155=作業体系表!$B16)*(③労働時間!$B$5:$B$155="6月中旬")*(③労働時間!$J$5:$J$155))</f>
        <v>0</v>
      </c>
      <c r="U16" s="362">
        <f>SUMPRODUCT((③労働時間!$A$5:$A$155=作業体系表!$B16)*(③労働時間!$B$5:$B$155="6月下旬")*(③労働時間!$J$5:$J$155))</f>
        <v>0</v>
      </c>
      <c r="V16" s="362">
        <f>SUMPRODUCT((③労働時間!$A$5:$A$155=作業体系表!$B16)*(③労働時間!$B$5:$B$155="7月上旬")*(③労働時間!$J$5:$J$155))</f>
        <v>0</v>
      </c>
      <c r="W16" s="362">
        <f>SUMPRODUCT((③労働時間!$A$5:$A$155=作業体系表!$B16)*(③労働時間!$B$5:$B$155="7月中旬")*(③労働時間!$J$5:$J$155))</f>
        <v>0</v>
      </c>
      <c r="X16" s="362">
        <f>SUMPRODUCT((③労働時間!$A$5:$A$155=作業体系表!$B16)*(③労働時間!$B$5:$B$155="7月下旬")*(③労働時間!$J$5:$J$155))</f>
        <v>0</v>
      </c>
      <c r="Y16" s="362">
        <f>SUMPRODUCT((③労働時間!$A$5:$A$155=作業体系表!$B16)*(③労働時間!$B$5:$B$155="8月上旬")*(③労働時間!$J$5:$J$155))</f>
        <v>0</v>
      </c>
      <c r="Z16" s="362">
        <f>SUMPRODUCT((③労働時間!$A$5:$A$155=作業体系表!$B16)*(③労働時間!$B$5:$B$155="8月中旬")*(③労働時間!$J$5:$J$155))</f>
        <v>0</v>
      </c>
      <c r="AA16" s="362">
        <f>SUMPRODUCT((③労働時間!$A$5:$A$155=作業体系表!$B16)*(③労働時間!$B$5:$B$155="8月下旬")*(③労働時間!$J$5:$J$155))</f>
        <v>0</v>
      </c>
      <c r="AB16" s="363">
        <f>SUMPRODUCT((③労働時間!$A$5:$A$155=作業体系表!$B16)*(③労働時間!$B$5:$B$155="9月上旬")*(③労働時間!$J$5:$J$155))</f>
        <v>0</v>
      </c>
      <c r="AC16" s="362">
        <f>SUMPRODUCT((③労働時間!$A$5:$A$155=作業体系表!$B16)*(③労働時間!$B$5:$B$155="9月中旬")*(③労働時間!$J$5:$J$155))</f>
        <v>0</v>
      </c>
      <c r="AD16" s="362">
        <f>SUMPRODUCT((③労働時間!$A$5:$A$155=作業体系表!$B16)*(③労働時間!$B$5:$B$155="9月下旬")*(③労働時間!$J$5:$J$155))</f>
        <v>0</v>
      </c>
      <c r="AE16" s="362">
        <f>SUMPRODUCT((③労働時間!$A$5:$A$155=作業体系表!$B16)*(③労働時間!$B$5:$B$155="10月上旬")*(③労働時間!$J$5:$J$155))</f>
        <v>0</v>
      </c>
      <c r="AF16" s="362">
        <f>SUMPRODUCT((③労働時間!$A$5:$A$155=作業体系表!$B16)*(③労働時間!$B$5:$B$155="10月中旬")*(③労働時間!$J$5:$J$155))</f>
        <v>0</v>
      </c>
      <c r="AG16" s="362">
        <f>SUMPRODUCT((③労働時間!$A$5:$A$155=作業体系表!$B16)*(③労働時間!$B$5:$B$155="10月下旬")*(③労働時間!$J$5:$J$155))</f>
        <v>0</v>
      </c>
      <c r="AH16" s="362">
        <f>SUMPRODUCT((③労働時間!$A$5:$A$155=作業体系表!$B16)*(③労働時間!$B$5:$B$155="11月上旬")*(③労働時間!$J$5:$J$155))</f>
        <v>0</v>
      </c>
      <c r="AI16" s="362">
        <f>SUMPRODUCT((③労働時間!$A$5:$A$155=作業体系表!$B16)*(③労働時間!$B$5:$B$155="11月中旬")*(③労働時間!$J$5:$J$155))</f>
        <v>0</v>
      </c>
      <c r="AJ16" s="362">
        <f>SUMPRODUCT((③労働時間!$A$5:$A$155=作業体系表!$B16)*(③労働時間!$B$5:$B$155="11月下旬")*(③労働時間!$J$5:$J$155))</f>
        <v>0</v>
      </c>
      <c r="AK16" s="362">
        <f>SUMPRODUCT((③労働時間!$A$5:$A$155=作業体系表!$B16)*(③労働時間!$B$5:$B$155="12月上旬")*(③労働時間!$J$5:$J$155))</f>
        <v>6</v>
      </c>
      <c r="AL16" s="362">
        <f>SUMPRODUCT((③労働時間!$A$5:$A$155=作業体系表!$B16)*(③労働時間!$B$5:$B$155="12月中旬")*(③労働時間!$J$5:$J$155))</f>
        <v>0</v>
      </c>
      <c r="AM16" s="364">
        <f>SUMPRODUCT((③労働時間!$A$5:$A$155=作業体系表!$B16)*(③労働時間!$B$5:$B$155="12月下旬")*(③労働時間!$J$5:$J$155))</f>
        <v>0</v>
      </c>
      <c r="AN16" s="365">
        <f t="shared" si="0"/>
        <v>118</v>
      </c>
    </row>
    <row r="17" spans="2:40" ht="15" customHeight="1">
      <c r="B17" s="715" t="str">
        <f>①技術体系!A14</f>
        <v>防除</v>
      </c>
      <c r="C17" s="716"/>
      <c r="D17" s="362">
        <f>SUMPRODUCT((③労働時間!$A$5:$A$155=作業体系表!$B17)*(③労働時間!$B$5:$B$155="1月上旬")*(③労働時間!$J$5:$J$155))</f>
        <v>2</v>
      </c>
      <c r="E17" s="362">
        <f>SUMPRODUCT((③労働時間!$A$5:$A$155=作業体系表!$B17)*(③労働時間!$B$5:$B$155="1月中旬")*(③労働時間!$J$5:$J$155))</f>
        <v>0</v>
      </c>
      <c r="F17" s="362">
        <f>SUMPRODUCT((③労働時間!$A$5:$A$155=作業体系表!$B17)*(③労働時間!$B$5:$B$155="1月下旬")*(③労働時間!$J$5:$J$155))</f>
        <v>2</v>
      </c>
      <c r="G17" s="362">
        <f>SUMPRODUCT((③労働時間!$A$5:$A$155=作業体系表!$B17)*(③労働時間!$B$5:$B$155="2月上旬")*(③労働時間!$J$5:$J$155))</f>
        <v>0</v>
      </c>
      <c r="H17" s="362">
        <f>SUMPRODUCT((③労働時間!$A$5:$A$155=作業体系表!$B17)*(③労働時間!$B$5:$B$155="2月中旬")*(③労働時間!$J$5:$J$155))</f>
        <v>2</v>
      </c>
      <c r="I17" s="362">
        <f>SUMPRODUCT((③労働時間!$A$5:$A$155=作業体系表!$B17)*(③労働時間!$B$5:$B$155="2月下旬")*(③労働時間!$J$5:$J$155))</f>
        <v>0</v>
      </c>
      <c r="J17" s="362">
        <f>SUMPRODUCT((③労働時間!$A$5:$A$155=作業体系表!$B17)*(③労働時間!$B$5:$B$155="3月上旬")*(③労働時間!$J$5:$J$155))</f>
        <v>2</v>
      </c>
      <c r="K17" s="362">
        <f>SUMPRODUCT((③労働時間!$A$5:$A$155=作業体系表!$B17)*(③労働時間!$B$5:$B$155="3月中旬")*(③労働時間!$J$5:$J$155))</f>
        <v>0</v>
      </c>
      <c r="L17" s="362">
        <f>SUMPRODUCT((③労働時間!$A$5:$A$155=作業体系表!$B17)*(③労働時間!$B$5:$B$155="3月下旬")*(③労働時間!$J$5:$J$155))</f>
        <v>2</v>
      </c>
      <c r="M17" s="362">
        <f>SUMPRODUCT((③労働時間!$A$5:$A$155=作業体系表!$B17)*(③労働時間!$B$5:$B$155="4月上旬")*(③労働時間!$J$5:$J$155))</f>
        <v>0</v>
      </c>
      <c r="N17" s="362">
        <f>SUMPRODUCT((③労働時間!$A$5:$A$155=作業体系表!$B17)*(③労働時間!$B$5:$B$155="4月中旬")*(③労働時間!$J$5:$J$155))</f>
        <v>2</v>
      </c>
      <c r="O17" s="362">
        <f>SUMPRODUCT((③労働時間!$A$5:$A$155=作業体系表!$B17)*(③労働時間!$B$5:$B$155="4月下旬")*(③労働時間!$J$5:$J$155))</f>
        <v>0</v>
      </c>
      <c r="P17" s="363">
        <f>SUMPRODUCT((③労働時間!$A$5:$A$155=作業体系表!$B17)*(③労働時間!$B$5:$B$155="5月上旬")*(③労働時間!$J$5:$J$155))</f>
        <v>2</v>
      </c>
      <c r="Q17" s="362">
        <f>SUMPRODUCT((③労働時間!$A$5:$A$155=作業体系表!$B17)*(③労働時間!$B$5:$B$155="5月中旬")*(③労働時間!$J$5:$J$155))</f>
        <v>0</v>
      </c>
      <c r="R17" s="362">
        <f>SUMPRODUCT((③労働時間!$A$5:$A$155=作業体系表!$B17)*(③労働時間!$B$5:$B$155="5月下旬")*(③労働時間!$J$5:$J$155))</f>
        <v>2</v>
      </c>
      <c r="S17" s="362">
        <f>SUMPRODUCT((③労働時間!$A$5:$A$155=作業体系表!$B17)*(③労働時間!$B$5:$B$155="6月上旬")*(③労働時間!$J$5:$J$155))</f>
        <v>0</v>
      </c>
      <c r="T17" s="362">
        <f>SUMPRODUCT((③労働時間!$A$5:$A$155=作業体系表!$B17)*(③労働時間!$B$5:$B$155="6月中旬")*(③労働時間!$J$5:$J$155))</f>
        <v>2</v>
      </c>
      <c r="U17" s="362">
        <f>SUMPRODUCT((③労働時間!$A$5:$A$155=作業体系表!$B17)*(③労働時間!$B$5:$B$155="6月下旬")*(③労働時間!$J$5:$J$155))</f>
        <v>0</v>
      </c>
      <c r="V17" s="362">
        <f>SUMPRODUCT((③労働時間!$A$5:$A$155=作業体系表!$B17)*(③労働時間!$B$5:$B$155="7月上旬")*(③労働時間!$J$5:$J$155))</f>
        <v>0</v>
      </c>
      <c r="W17" s="362">
        <f>SUMPRODUCT((③労働時間!$A$5:$A$155=作業体系表!$B17)*(③労働時間!$B$5:$B$155="7月中旬")*(③労働時間!$J$5:$J$155))</f>
        <v>0</v>
      </c>
      <c r="X17" s="362">
        <f>SUMPRODUCT((③労働時間!$A$5:$A$155=作業体系表!$B17)*(③労働時間!$B$5:$B$155="7月下旬")*(③労働時間!$J$5:$J$155))</f>
        <v>0</v>
      </c>
      <c r="Y17" s="362">
        <f>SUMPRODUCT((③労働時間!$A$5:$A$155=作業体系表!$B17)*(③労働時間!$B$5:$B$155="8月上旬")*(③労働時間!$J$5:$J$155))</f>
        <v>0</v>
      </c>
      <c r="Z17" s="362">
        <f>SUMPRODUCT((③労働時間!$A$5:$A$155=作業体系表!$B17)*(③労働時間!$B$5:$B$155="8月中旬")*(③労働時間!$J$5:$J$155))</f>
        <v>0</v>
      </c>
      <c r="AA17" s="362">
        <f>SUMPRODUCT((③労働時間!$A$5:$A$155=作業体系表!$B17)*(③労働時間!$B$5:$B$155="8月下旬")*(③労働時間!$J$5:$J$155))</f>
        <v>0</v>
      </c>
      <c r="AB17" s="363">
        <f>SUMPRODUCT((③労働時間!$A$5:$A$155=作業体系表!$B17)*(③労働時間!$B$5:$B$155="9月上旬")*(③労働時間!$J$5:$J$155))</f>
        <v>0</v>
      </c>
      <c r="AC17" s="362">
        <f>SUMPRODUCT((③労働時間!$A$5:$A$155=作業体系表!$B17)*(③労働時間!$B$5:$B$155="9月中旬")*(③労働時間!$J$5:$J$155))</f>
        <v>0</v>
      </c>
      <c r="AD17" s="362">
        <f>SUMPRODUCT((③労働時間!$A$5:$A$155=作業体系表!$B17)*(③労働時間!$B$5:$B$155="9月下旬")*(③労働時間!$J$5:$J$155))</f>
        <v>0</v>
      </c>
      <c r="AE17" s="362">
        <f>SUMPRODUCT((③労働時間!$A$5:$A$155=作業体系表!$B17)*(③労働時間!$B$5:$B$155="10月上旬")*(③労働時間!$J$5:$J$155))</f>
        <v>0</v>
      </c>
      <c r="AF17" s="362">
        <f>SUMPRODUCT((③労働時間!$A$5:$A$155=作業体系表!$B17)*(③労働時間!$B$5:$B$155="10月中旬")*(③労働時間!$J$5:$J$155))</f>
        <v>0</v>
      </c>
      <c r="AG17" s="362">
        <f>SUMPRODUCT((③労働時間!$A$5:$A$155=作業体系表!$B17)*(③労働時間!$B$5:$B$155="10月下旬")*(③労働時間!$J$5:$J$155))</f>
        <v>0</v>
      </c>
      <c r="AH17" s="362">
        <f>SUMPRODUCT((③労働時間!$A$5:$A$155=作業体系表!$B17)*(③労働時間!$B$5:$B$155="11月上旬")*(③労働時間!$J$5:$J$155))</f>
        <v>0</v>
      </c>
      <c r="AI17" s="362">
        <f>SUMPRODUCT((③労働時間!$A$5:$A$155=作業体系表!$B17)*(③労働時間!$B$5:$B$155="11月中旬")*(③労働時間!$J$5:$J$155))</f>
        <v>5</v>
      </c>
      <c r="AJ17" s="362">
        <f>SUMPRODUCT((③労働時間!$A$5:$A$155=作業体系表!$B17)*(③労働時間!$B$5:$B$155="11月下旬")*(③労働時間!$J$5:$J$155))</f>
        <v>0</v>
      </c>
      <c r="AK17" s="362">
        <f>SUMPRODUCT((③労働時間!$A$5:$A$155=作業体系表!$B17)*(③労働時間!$B$5:$B$155="12月上旬")*(③労働時間!$J$5:$J$155))</f>
        <v>0</v>
      </c>
      <c r="AL17" s="362">
        <f>SUMPRODUCT((③労働時間!$A$5:$A$155=作業体系表!$B17)*(③労働時間!$B$5:$B$155="12月中旬")*(③労働時間!$J$5:$J$155))</f>
        <v>2</v>
      </c>
      <c r="AM17" s="364">
        <f>SUMPRODUCT((③労働時間!$A$5:$A$155=作業体系表!$B17)*(③労働時間!$B$5:$B$155="12月下旬")*(③労働時間!$J$5:$J$155))</f>
        <v>0</v>
      </c>
      <c r="AN17" s="365">
        <f t="shared" si="0"/>
        <v>25</v>
      </c>
    </row>
    <row r="18" spans="2:40" ht="15" customHeight="1">
      <c r="B18" s="715" t="str">
        <f>①技術体系!A15</f>
        <v>収穫</v>
      </c>
      <c r="C18" s="716"/>
      <c r="D18" s="362">
        <f>SUMPRODUCT((③労働時間!$A$5:$A$155=作業体系表!$B18)*(③労働時間!$B$5:$B$155="1月上旬")*(③労働時間!$J$5:$J$155))</f>
        <v>0</v>
      </c>
      <c r="E18" s="362">
        <f>SUMPRODUCT((③労働時間!$A$5:$A$155=作業体系表!$B18)*(③労働時間!$B$5:$B$155="1月中旬")*(③労働時間!$J$5:$J$155))</f>
        <v>0</v>
      </c>
      <c r="F18" s="362">
        <f>SUMPRODUCT((③労働時間!$A$5:$A$155=作業体系表!$B18)*(③労働時間!$B$5:$B$155="1月下旬")*(③労働時間!$J$5:$J$155))</f>
        <v>0</v>
      </c>
      <c r="G18" s="362">
        <f>SUMPRODUCT((③労働時間!$A$5:$A$155=作業体系表!$B18)*(③労働時間!$B$5:$B$155="2月上旬")*(③労働時間!$J$5:$J$155))</f>
        <v>0</v>
      </c>
      <c r="H18" s="362">
        <f>SUMPRODUCT((③労働時間!$A$5:$A$155=作業体系表!$B18)*(③労働時間!$B$5:$B$155="2月中旬")*(③労働時間!$J$5:$J$155))</f>
        <v>0</v>
      </c>
      <c r="I18" s="362">
        <f>SUMPRODUCT((③労働時間!$A$5:$A$155=作業体系表!$B18)*(③労働時間!$B$5:$B$155="2月下旬")*(③労働時間!$J$5:$J$155))</f>
        <v>0</v>
      </c>
      <c r="J18" s="362">
        <f>SUMPRODUCT((③労働時間!$A$5:$A$155=作業体系表!$B18)*(③労働時間!$B$5:$B$155="3月上旬")*(③労働時間!$J$5:$J$155))</f>
        <v>20</v>
      </c>
      <c r="K18" s="362">
        <f>SUMPRODUCT((③労働時間!$A$5:$A$155=作業体系表!$B18)*(③労働時間!$B$5:$B$155="3月中旬")*(③労働時間!$J$5:$J$155))</f>
        <v>20</v>
      </c>
      <c r="L18" s="362">
        <f>SUMPRODUCT((③労働時間!$A$5:$A$155=作業体系表!$B18)*(③労働時間!$B$5:$B$155="3月下旬")*(③労働時間!$J$5:$J$155))</f>
        <v>30</v>
      </c>
      <c r="M18" s="362">
        <f>SUMPRODUCT((③労働時間!$A$5:$A$155=作業体系表!$B18)*(③労働時間!$B$5:$B$155="4月上旬")*(③労働時間!$J$5:$J$155))</f>
        <v>30</v>
      </c>
      <c r="N18" s="362">
        <f>SUMPRODUCT((③労働時間!$A$5:$A$155=作業体系表!$B18)*(③労働時間!$B$5:$B$155="4月中旬")*(③労働時間!$J$5:$J$155))</f>
        <v>30</v>
      </c>
      <c r="O18" s="362">
        <f>SUMPRODUCT((③労働時間!$A$5:$A$155=作業体系表!$B18)*(③労働時間!$B$5:$B$155="4月下旬")*(③労働時間!$J$5:$J$155))</f>
        <v>30</v>
      </c>
      <c r="P18" s="363">
        <f>SUMPRODUCT((③労働時間!$A$5:$A$155=作業体系表!$B18)*(③労働時間!$B$5:$B$155="5月上旬")*(③労働時間!$J$5:$J$155))</f>
        <v>30</v>
      </c>
      <c r="Q18" s="362">
        <f>SUMPRODUCT((③労働時間!$A$5:$A$155=作業体系表!$B18)*(③労働時間!$B$5:$B$155="5月中旬")*(③労働時間!$J$5:$J$155))</f>
        <v>30</v>
      </c>
      <c r="R18" s="362">
        <f>SUMPRODUCT((③労働時間!$A$5:$A$155=作業体系表!$B18)*(③労働時間!$B$5:$B$155="5月下旬")*(③労働時間!$J$5:$J$155))</f>
        <v>35</v>
      </c>
      <c r="S18" s="362">
        <f>SUMPRODUCT((③労働時間!$A$5:$A$155=作業体系表!$B18)*(③労働時間!$B$5:$B$155="6月上旬")*(③労働時間!$J$5:$J$155))</f>
        <v>40</v>
      </c>
      <c r="T18" s="362">
        <f>SUMPRODUCT((③労働時間!$A$5:$A$155=作業体系表!$B18)*(③労働時間!$B$5:$B$155="6月中旬")*(③労働時間!$J$5:$J$155))</f>
        <v>40</v>
      </c>
      <c r="U18" s="362">
        <f>SUMPRODUCT((③労働時間!$A$5:$A$155=作業体系表!$B18)*(③労働時間!$B$5:$B$155="6月下旬")*(③労働時間!$J$5:$J$155))</f>
        <v>40</v>
      </c>
      <c r="V18" s="362">
        <f>SUMPRODUCT((③労働時間!$A$5:$A$155=作業体系表!$B18)*(③労働時間!$B$5:$B$155="7月上旬")*(③労働時間!$J$5:$J$155))</f>
        <v>0</v>
      </c>
      <c r="W18" s="362">
        <f>SUMPRODUCT((③労働時間!$A$5:$A$155=作業体系表!$B18)*(③労働時間!$B$5:$B$155="7月中旬")*(③労働時間!$J$5:$J$155))</f>
        <v>0</v>
      </c>
      <c r="X18" s="362">
        <f>SUMPRODUCT((③労働時間!$A$5:$A$155=作業体系表!$B18)*(③労働時間!$B$5:$B$155="7月下旬")*(③労働時間!$J$5:$J$155))</f>
        <v>0</v>
      </c>
      <c r="Y18" s="362">
        <f>SUMPRODUCT((③労働時間!$A$5:$A$155=作業体系表!$B18)*(③労働時間!$B$5:$B$155="8月上旬")*(③労働時間!$J$5:$J$155))</f>
        <v>0</v>
      </c>
      <c r="Z18" s="362">
        <f>SUMPRODUCT((③労働時間!$A$5:$A$155=作業体系表!$B18)*(③労働時間!$B$5:$B$155="8月中旬")*(③労働時間!$J$5:$J$155))</f>
        <v>0</v>
      </c>
      <c r="AA18" s="362">
        <f>SUMPRODUCT((③労働時間!$A$5:$A$155=作業体系表!$B18)*(③労働時間!$B$5:$B$155="8月下旬")*(③労働時間!$J$5:$J$155))</f>
        <v>0</v>
      </c>
      <c r="AB18" s="363">
        <f>SUMPRODUCT((③労働時間!$A$5:$A$155=作業体系表!$B18)*(③労働時間!$B$5:$B$155="9月上旬")*(③労働時間!$J$5:$J$155))</f>
        <v>0</v>
      </c>
      <c r="AC18" s="362">
        <f>SUMPRODUCT((③労働時間!$A$5:$A$155=作業体系表!$B18)*(③労働時間!$B$5:$B$155="9月中旬")*(③労働時間!$J$5:$J$155))</f>
        <v>0</v>
      </c>
      <c r="AD18" s="362">
        <f>SUMPRODUCT((③労働時間!$A$5:$A$155=作業体系表!$B18)*(③労働時間!$B$5:$B$155="9月下旬")*(③労働時間!$J$5:$J$155))</f>
        <v>0</v>
      </c>
      <c r="AE18" s="362">
        <f>SUMPRODUCT((③労働時間!$A$5:$A$155=作業体系表!$B18)*(③労働時間!$B$5:$B$155="10月上旬")*(③労働時間!$J$5:$J$155))</f>
        <v>0</v>
      </c>
      <c r="AF18" s="362">
        <f>SUMPRODUCT((③労働時間!$A$5:$A$155=作業体系表!$B18)*(③労働時間!$B$5:$B$155="10月中旬")*(③労働時間!$J$5:$J$155))</f>
        <v>0</v>
      </c>
      <c r="AG18" s="362">
        <f>SUMPRODUCT((③労働時間!$A$5:$A$155=作業体系表!$B18)*(③労働時間!$B$5:$B$155="10月下旬")*(③労働時間!$J$5:$J$155))</f>
        <v>0</v>
      </c>
      <c r="AH18" s="362">
        <f>SUMPRODUCT((③労働時間!$A$5:$A$155=作業体系表!$B18)*(③労働時間!$B$5:$B$155="11月上旬")*(③労働時間!$J$5:$J$155))</f>
        <v>0</v>
      </c>
      <c r="AI18" s="362">
        <f>SUMPRODUCT((③労働時間!$A$5:$A$155=作業体系表!$B18)*(③労働時間!$B$5:$B$155="11月中旬")*(③労働時間!$J$5:$J$155))</f>
        <v>0</v>
      </c>
      <c r="AJ18" s="362">
        <f>SUMPRODUCT((③労働時間!$A$5:$A$155=作業体系表!$B18)*(③労働時間!$B$5:$B$155="11月下旬")*(③労働時間!$J$5:$J$155))</f>
        <v>0</v>
      </c>
      <c r="AK18" s="362">
        <f>SUMPRODUCT((③労働時間!$A$5:$A$155=作業体系表!$B18)*(③労働時間!$B$5:$B$155="12月上旬")*(③労働時間!$J$5:$J$155))</f>
        <v>0</v>
      </c>
      <c r="AL18" s="362">
        <f>SUMPRODUCT((③労働時間!$A$5:$A$155=作業体系表!$B18)*(③労働時間!$B$5:$B$155="12月中旬")*(③労働時間!$J$5:$J$155))</f>
        <v>0</v>
      </c>
      <c r="AM18" s="364">
        <f>SUMPRODUCT((③労働時間!$A$5:$A$155=作業体系表!$B18)*(③労働時間!$B$5:$B$155="12月下旬")*(③労働時間!$J$5:$J$155))</f>
        <v>0</v>
      </c>
      <c r="AN18" s="365">
        <f t="shared" si="0"/>
        <v>375</v>
      </c>
    </row>
    <row r="19" spans="2:40" ht="15" customHeight="1">
      <c r="B19" s="715" t="str">
        <f>①技術体系!A16</f>
        <v>選果、出荷</v>
      </c>
      <c r="C19" s="716"/>
      <c r="D19" s="362">
        <f>SUMPRODUCT((③労働時間!$A$5:$A$155=作業体系表!$B19)*(③労働時間!$B$5:$B$155="1月上旬")*(③労働時間!$J$5:$J$155))</f>
        <v>0</v>
      </c>
      <c r="E19" s="362">
        <f>SUMPRODUCT((③労働時間!$A$5:$A$155=作業体系表!$B19)*(③労働時間!$B$5:$B$155="1月中旬")*(③労働時間!$J$5:$J$155))</f>
        <v>0</v>
      </c>
      <c r="F19" s="362">
        <f>SUMPRODUCT((③労働時間!$A$5:$A$155=作業体系表!$B19)*(③労働時間!$B$5:$B$155="1月下旬")*(③労働時間!$J$5:$J$155))</f>
        <v>0</v>
      </c>
      <c r="G19" s="362">
        <f>SUMPRODUCT((③労働時間!$A$5:$A$155=作業体系表!$B19)*(③労働時間!$B$5:$B$155="2月上旬")*(③労働時間!$J$5:$J$155))</f>
        <v>0</v>
      </c>
      <c r="H19" s="362">
        <f>SUMPRODUCT((③労働時間!$A$5:$A$155=作業体系表!$B19)*(③労働時間!$B$5:$B$155="2月中旬")*(③労働時間!$J$5:$J$155))</f>
        <v>0</v>
      </c>
      <c r="I19" s="362">
        <f>SUMPRODUCT((③労働時間!$A$5:$A$155=作業体系表!$B19)*(③労働時間!$B$5:$B$155="2月下旬")*(③労働時間!$J$5:$J$155))</f>
        <v>0</v>
      </c>
      <c r="J19" s="362">
        <f>SUMPRODUCT((③労働時間!$A$5:$A$155=作業体系表!$B19)*(③労働時間!$B$5:$B$155="3月上旬")*(③労働時間!$J$5:$J$155))</f>
        <v>20</v>
      </c>
      <c r="K19" s="362">
        <f>SUMPRODUCT((③労働時間!$A$5:$A$155=作業体系表!$B19)*(③労働時間!$B$5:$B$155="3月中旬")*(③労働時間!$J$5:$J$155))</f>
        <v>20</v>
      </c>
      <c r="L19" s="362">
        <f>SUMPRODUCT((③労働時間!$A$5:$A$155=作業体系表!$B19)*(③労働時間!$B$5:$B$155="3月下旬")*(③労働時間!$J$5:$J$155))</f>
        <v>30</v>
      </c>
      <c r="M19" s="362">
        <f>SUMPRODUCT((③労働時間!$A$5:$A$155=作業体系表!$B19)*(③労働時間!$B$5:$B$155="4月上旬")*(③労働時間!$J$5:$J$155))</f>
        <v>30</v>
      </c>
      <c r="N19" s="362">
        <f>SUMPRODUCT((③労働時間!$A$5:$A$155=作業体系表!$B19)*(③労働時間!$B$5:$B$155="4月中旬")*(③労働時間!$J$5:$J$155))</f>
        <v>30</v>
      </c>
      <c r="O19" s="362">
        <f>SUMPRODUCT((③労働時間!$A$5:$A$155=作業体系表!$B19)*(③労働時間!$B$5:$B$155="4月下旬")*(③労働時間!$J$5:$J$155))</f>
        <v>30</v>
      </c>
      <c r="P19" s="363">
        <f>SUMPRODUCT((③労働時間!$A$5:$A$155=作業体系表!$B19)*(③労働時間!$B$5:$B$155="5月上旬")*(③労働時間!$J$5:$J$155))</f>
        <v>30</v>
      </c>
      <c r="Q19" s="362">
        <f>SUMPRODUCT((③労働時間!$A$5:$A$155=作業体系表!$B19)*(③労働時間!$B$5:$B$155="5月中旬")*(③労働時間!$J$5:$J$155))</f>
        <v>30</v>
      </c>
      <c r="R19" s="362">
        <f>SUMPRODUCT((③労働時間!$A$5:$A$155=作業体系表!$B19)*(③労働時間!$B$5:$B$155="5月下旬")*(③労働時間!$J$5:$J$155))</f>
        <v>35</v>
      </c>
      <c r="S19" s="362">
        <f>SUMPRODUCT((③労働時間!$A$5:$A$155=作業体系表!$B19)*(③労働時間!$B$5:$B$155="6月上旬")*(③労働時間!$J$5:$J$155))</f>
        <v>40</v>
      </c>
      <c r="T19" s="362">
        <f>SUMPRODUCT((③労働時間!$A$5:$A$155=作業体系表!$B19)*(③労働時間!$B$5:$B$155="6月中旬")*(③労働時間!$J$5:$J$155))</f>
        <v>40</v>
      </c>
      <c r="U19" s="362">
        <f>SUMPRODUCT((③労働時間!$A$5:$A$155=作業体系表!$B19)*(③労働時間!$B$5:$B$155="6月下旬")*(③労働時間!$J$5:$J$155))</f>
        <v>40</v>
      </c>
      <c r="V19" s="362">
        <f>SUMPRODUCT((③労働時間!$A$5:$A$155=作業体系表!$B19)*(③労働時間!$B$5:$B$155="7月上旬")*(③労働時間!$J$5:$J$155))</f>
        <v>0</v>
      </c>
      <c r="W19" s="362">
        <f>SUMPRODUCT((③労働時間!$A$5:$A$155=作業体系表!$B19)*(③労働時間!$B$5:$B$155="7月中旬")*(③労働時間!$J$5:$J$155))</f>
        <v>0</v>
      </c>
      <c r="X19" s="362">
        <f>SUMPRODUCT((③労働時間!$A$5:$A$155=作業体系表!$B19)*(③労働時間!$B$5:$B$155="7月下旬")*(③労働時間!$J$5:$J$155))</f>
        <v>0</v>
      </c>
      <c r="Y19" s="362">
        <f>SUMPRODUCT((③労働時間!$A$5:$A$155=作業体系表!$B19)*(③労働時間!$B$5:$B$155="8月上旬")*(③労働時間!$J$5:$J$155))</f>
        <v>0</v>
      </c>
      <c r="Z19" s="362">
        <f>SUMPRODUCT((③労働時間!$A$5:$A$155=作業体系表!$B19)*(③労働時間!$B$5:$B$155="8月中旬")*(③労働時間!$J$5:$J$155))</f>
        <v>0</v>
      </c>
      <c r="AA19" s="362">
        <f>SUMPRODUCT((③労働時間!$A$5:$A$155=作業体系表!$B19)*(③労働時間!$B$5:$B$155="8月下旬")*(③労働時間!$J$5:$J$155))</f>
        <v>0</v>
      </c>
      <c r="AB19" s="363">
        <f>SUMPRODUCT((③労働時間!$A$5:$A$155=作業体系表!$B19)*(③労働時間!$B$5:$B$155="9月上旬")*(③労働時間!$J$5:$J$155))</f>
        <v>0</v>
      </c>
      <c r="AC19" s="362">
        <f>SUMPRODUCT((③労働時間!$A$5:$A$155=作業体系表!$B19)*(③労働時間!$B$5:$B$155="9月中旬")*(③労働時間!$J$5:$J$155))</f>
        <v>0</v>
      </c>
      <c r="AD19" s="362">
        <f>SUMPRODUCT((③労働時間!$A$5:$A$155=作業体系表!$B19)*(③労働時間!$B$5:$B$155="9月下旬")*(③労働時間!$J$5:$J$155))</f>
        <v>0</v>
      </c>
      <c r="AE19" s="362">
        <f>SUMPRODUCT((③労働時間!$A$5:$A$155=作業体系表!$B19)*(③労働時間!$B$5:$B$155="10月上旬")*(③労働時間!$J$5:$J$155))</f>
        <v>0</v>
      </c>
      <c r="AF19" s="362">
        <f>SUMPRODUCT((③労働時間!$A$5:$A$155=作業体系表!$B19)*(③労働時間!$B$5:$B$155="10月中旬")*(③労働時間!$J$5:$J$155))</f>
        <v>0</v>
      </c>
      <c r="AG19" s="362">
        <f>SUMPRODUCT((③労働時間!$A$5:$A$155=作業体系表!$B19)*(③労働時間!$B$5:$B$155="10月下旬")*(③労働時間!$J$5:$J$155))</f>
        <v>0</v>
      </c>
      <c r="AH19" s="362">
        <f>SUMPRODUCT((③労働時間!$A$5:$A$155=作業体系表!$B19)*(③労働時間!$B$5:$B$155="11月上旬")*(③労働時間!$J$5:$J$155))</f>
        <v>0</v>
      </c>
      <c r="AI19" s="362">
        <f>SUMPRODUCT((③労働時間!$A$5:$A$155=作業体系表!$B19)*(③労働時間!$B$5:$B$155="11月中旬")*(③労働時間!$J$5:$J$155))</f>
        <v>0</v>
      </c>
      <c r="AJ19" s="362">
        <f>SUMPRODUCT((③労働時間!$A$5:$A$155=作業体系表!$B19)*(③労働時間!$B$5:$B$155="11月下旬")*(③労働時間!$J$5:$J$155))</f>
        <v>0</v>
      </c>
      <c r="AK19" s="362">
        <f>SUMPRODUCT((③労働時間!$A$5:$A$155=作業体系表!$B19)*(③労働時間!$B$5:$B$155="12月上旬")*(③労働時間!$J$5:$J$155))</f>
        <v>0</v>
      </c>
      <c r="AL19" s="362">
        <f>SUMPRODUCT((③労働時間!$A$5:$A$155=作業体系表!$B19)*(③労働時間!$B$5:$B$155="12月中旬")*(③労働時間!$J$5:$J$155))</f>
        <v>0</v>
      </c>
      <c r="AM19" s="364">
        <f>SUMPRODUCT((③労働時間!$A$5:$A$155=作業体系表!$B19)*(③労働時間!$B$5:$B$155="12月下旬")*(③労働時間!$J$5:$J$155))</f>
        <v>0</v>
      </c>
      <c r="AN19" s="365">
        <f t="shared" si="0"/>
        <v>375</v>
      </c>
    </row>
    <row r="20" spans="2:40" ht="15" customHeight="1">
      <c r="B20" s="715" t="str">
        <f>①技術体系!A17</f>
        <v>後片付け</v>
      </c>
      <c r="C20" s="716"/>
      <c r="D20" s="362">
        <f>SUMPRODUCT((③労働時間!$A$5:$A$155=作業体系表!$B20)*(③労働時間!$B$5:$B$155="1月上旬")*(③労働時間!$J$5:$J$155))</f>
        <v>0</v>
      </c>
      <c r="E20" s="362">
        <f>SUMPRODUCT((③労働時間!$A$5:$A$155=作業体系表!$B20)*(③労働時間!$B$5:$B$155="1月中旬")*(③労働時間!$J$5:$J$155))</f>
        <v>0</v>
      </c>
      <c r="F20" s="362">
        <f>SUMPRODUCT((③労働時間!$A$5:$A$155=作業体系表!$B20)*(③労働時間!$B$5:$B$155="1月下旬")*(③労働時間!$J$5:$J$155))</f>
        <v>0</v>
      </c>
      <c r="G20" s="362">
        <f>SUMPRODUCT((③労働時間!$A$5:$A$155=作業体系表!$B20)*(③労働時間!$B$5:$B$155="2月上旬")*(③労働時間!$J$5:$J$155))</f>
        <v>0</v>
      </c>
      <c r="H20" s="362">
        <f>SUMPRODUCT((③労働時間!$A$5:$A$155=作業体系表!$B20)*(③労働時間!$B$5:$B$155="2月中旬")*(③労働時間!$J$5:$J$155))</f>
        <v>0</v>
      </c>
      <c r="I20" s="362">
        <f>SUMPRODUCT((③労働時間!$A$5:$A$155=作業体系表!$B20)*(③労働時間!$B$5:$B$155="2月下旬")*(③労働時間!$J$5:$J$155))</f>
        <v>0</v>
      </c>
      <c r="J20" s="362">
        <f>SUMPRODUCT((③労働時間!$A$5:$A$155=作業体系表!$B20)*(③労働時間!$B$5:$B$155="3月上旬")*(③労働時間!$J$5:$J$155))</f>
        <v>0</v>
      </c>
      <c r="K20" s="362">
        <f>SUMPRODUCT((③労働時間!$A$5:$A$155=作業体系表!$B20)*(③労働時間!$B$5:$B$155="3月中旬")*(③労働時間!$J$5:$J$155))</f>
        <v>0</v>
      </c>
      <c r="L20" s="362">
        <f>SUMPRODUCT((③労働時間!$A$5:$A$155=作業体系表!$B20)*(③労働時間!$B$5:$B$155="3月下旬")*(③労働時間!$J$5:$J$155))</f>
        <v>0</v>
      </c>
      <c r="M20" s="362">
        <f>SUMPRODUCT((③労働時間!$A$5:$A$155=作業体系表!$B20)*(③労働時間!$B$5:$B$155="4月上旬")*(③労働時間!$J$5:$J$155))</f>
        <v>0</v>
      </c>
      <c r="N20" s="362">
        <f>SUMPRODUCT((③労働時間!$A$5:$A$155=作業体系表!$B20)*(③労働時間!$B$5:$B$155="4月中旬")*(③労働時間!$J$5:$J$155))</f>
        <v>0</v>
      </c>
      <c r="O20" s="362">
        <f>SUMPRODUCT((③労働時間!$A$5:$A$155=作業体系表!$B20)*(③労働時間!$B$5:$B$155="4月下旬")*(③労働時間!$J$5:$J$155))</f>
        <v>0</v>
      </c>
      <c r="P20" s="363">
        <f>SUMPRODUCT((③労働時間!$A$5:$A$155=作業体系表!$B20)*(③労働時間!$B$5:$B$155="5月上旬")*(③労働時間!$J$5:$J$155))</f>
        <v>0</v>
      </c>
      <c r="Q20" s="362">
        <f>SUMPRODUCT((③労働時間!$A$5:$A$155=作業体系表!$B20)*(③労働時間!$B$5:$B$155="5月中旬")*(③労働時間!$J$5:$J$155))</f>
        <v>0</v>
      </c>
      <c r="R20" s="362">
        <f>SUMPRODUCT((③労働時間!$A$5:$A$155=作業体系表!$B20)*(③労働時間!$B$5:$B$155="5月下旬")*(③労働時間!$J$5:$J$155))</f>
        <v>0</v>
      </c>
      <c r="S20" s="362">
        <f>SUMPRODUCT((③労働時間!$A$5:$A$155=作業体系表!$B20)*(③労働時間!$B$5:$B$155="6月上旬")*(③労働時間!$J$5:$J$155))</f>
        <v>0</v>
      </c>
      <c r="T20" s="362">
        <f>SUMPRODUCT((③労働時間!$A$5:$A$155=作業体系表!$B20)*(③労働時間!$B$5:$B$155="6月中旬")*(③労働時間!$J$5:$J$155))</f>
        <v>0</v>
      </c>
      <c r="U20" s="362">
        <f>SUMPRODUCT((③労働時間!$A$5:$A$155=作業体系表!$B20)*(③労働時間!$B$5:$B$155="6月下旬")*(③労働時間!$J$5:$J$155))</f>
        <v>0</v>
      </c>
      <c r="V20" s="362">
        <f>SUMPRODUCT((③労働時間!$A$5:$A$155=作業体系表!$B20)*(③労働時間!$B$5:$B$155="7月上旬")*(③労働時間!$J$5:$J$155))</f>
        <v>25</v>
      </c>
      <c r="W20" s="362">
        <f>SUMPRODUCT((③労働時間!$A$5:$A$155=作業体系表!$B20)*(③労働時間!$B$5:$B$155="7月中旬")*(③労働時間!$J$5:$J$155))</f>
        <v>0</v>
      </c>
      <c r="X20" s="362">
        <f>SUMPRODUCT((③労働時間!$A$5:$A$155=作業体系表!$B20)*(③労働時間!$B$5:$B$155="7月下旬")*(③労働時間!$J$5:$J$155))</f>
        <v>0</v>
      </c>
      <c r="Y20" s="362">
        <f>SUMPRODUCT((③労働時間!$A$5:$A$155=作業体系表!$B20)*(③労働時間!$B$5:$B$155="8月上旬")*(③労働時間!$J$5:$J$155))</f>
        <v>0</v>
      </c>
      <c r="Z20" s="362">
        <f>SUMPRODUCT((③労働時間!$A$5:$A$155=作業体系表!$B20)*(③労働時間!$B$5:$B$155="8月中旬")*(③労働時間!$J$5:$J$155))</f>
        <v>0</v>
      </c>
      <c r="AA20" s="362">
        <f>SUMPRODUCT((③労働時間!$A$5:$A$155=作業体系表!$B20)*(③労働時間!$B$5:$B$155="8月下旬")*(③労働時間!$J$5:$J$155))</f>
        <v>0</v>
      </c>
      <c r="AB20" s="363">
        <f>SUMPRODUCT((③労働時間!$A$5:$A$155=作業体系表!$B20)*(③労働時間!$B$5:$B$155="9月上旬")*(③労働時間!$J$5:$J$155))</f>
        <v>0</v>
      </c>
      <c r="AC20" s="362">
        <f>SUMPRODUCT((③労働時間!$A$5:$A$155=作業体系表!$B20)*(③労働時間!$B$5:$B$155="9月中旬")*(③労働時間!$J$5:$J$155))</f>
        <v>0</v>
      </c>
      <c r="AD20" s="362">
        <f>SUMPRODUCT((③労働時間!$A$5:$A$155=作業体系表!$B20)*(③労働時間!$B$5:$B$155="9月下旬")*(③労働時間!$J$5:$J$155))</f>
        <v>0</v>
      </c>
      <c r="AE20" s="362">
        <f>SUMPRODUCT((③労働時間!$A$5:$A$155=作業体系表!$B20)*(③労働時間!$B$5:$B$155="10月上旬")*(③労働時間!$J$5:$J$155))</f>
        <v>0</v>
      </c>
      <c r="AF20" s="362">
        <f>SUMPRODUCT((③労働時間!$A$5:$A$155=作業体系表!$B20)*(③労働時間!$B$5:$B$155="10月中旬")*(③労働時間!$J$5:$J$155))</f>
        <v>0</v>
      </c>
      <c r="AG20" s="362">
        <f>SUMPRODUCT((③労働時間!$A$5:$A$155=作業体系表!$B20)*(③労働時間!$B$5:$B$155="10月下旬")*(③労働時間!$J$5:$J$155))</f>
        <v>0</v>
      </c>
      <c r="AH20" s="362">
        <f>SUMPRODUCT((③労働時間!$A$5:$A$155=作業体系表!$B20)*(③労働時間!$B$5:$B$155="11月上旬")*(③労働時間!$J$5:$J$155))</f>
        <v>0</v>
      </c>
      <c r="AI20" s="362">
        <f>SUMPRODUCT((③労働時間!$A$5:$A$155=作業体系表!$B20)*(③労働時間!$B$5:$B$155="11月中旬")*(③労働時間!$J$5:$J$155))</f>
        <v>0</v>
      </c>
      <c r="AJ20" s="362">
        <f>SUMPRODUCT((③労働時間!$A$5:$A$155=作業体系表!$B20)*(③労働時間!$B$5:$B$155="11月下旬")*(③労働時間!$J$5:$J$155))</f>
        <v>0</v>
      </c>
      <c r="AK20" s="362">
        <f>SUMPRODUCT((③労働時間!$A$5:$A$155=作業体系表!$B20)*(③労働時間!$B$5:$B$155="12月上旬")*(③労働時間!$J$5:$J$155))</f>
        <v>0</v>
      </c>
      <c r="AL20" s="362">
        <f>SUMPRODUCT((③労働時間!$A$5:$A$155=作業体系表!$B20)*(③労働時間!$B$5:$B$155="12月中旬")*(③労働時間!$J$5:$J$155))</f>
        <v>0</v>
      </c>
      <c r="AM20" s="364">
        <f>SUMPRODUCT((③労働時間!$A$5:$A$155=作業体系表!$B20)*(③労働時間!$B$5:$B$155="12月下旬")*(③労働時間!$J$5:$J$155))</f>
        <v>0</v>
      </c>
      <c r="AN20" s="365">
        <f t="shared" si="0"/>
        <v>25</v>
      </c>
    </row>
    <row r="21" spans="2:40" ht="15" customHeight="1">
      <c r="B21" s="715" t="str">
        <f>①技術体系!A18</f>
        <v>その他</v>
      </c>
      <c r="C21" s="716"/>
      <c r="D21" s="362">
        <f>SUMPRODUCT((③労働時間!$A$5:$A$155=作業体系表!$B21)*(③労働時間!$B$5:$B$155="1月上旬")*(③労働時間!$J$5:$J$155))</f>
        <v>0</v>
      </c>
      <c r="E21" s="362">
        <f>SUMPRODUCT((③労働時間!$A$5:$A$155=作業体系表!$B21)*(③労働時間!$B$5:$B$155="1月中旬")*(③労働時間!$J$5:$J$155))</f>
        <v>0</v>
      </c>
      <c r="F21" s="362">
        <f>SUMPRODUCT((③労働時間!$A$5:$A$155=作業体系表!$B21)*(③労働時間!$B$5:$B$155="1月下旬")*(③労働時間!$J$5:$J$155))</f>
        <v>0</v>
      </c>
      <c r="G21" s="362">
        <f>SUMPRODUCT((③労働時間!$A$5:$A$155=作業体系表!$B21)*(③労働時間!$B$5:$B$155="2月上旬")*(③労働時間!$J$5:$J$155))</f>
        <v>0</v>
      </c>
      <c r="H21" s="362">
        <f>SUMPRODUCT((③労働時間!$A$5:$A$155=作業体系表!$B21)*(③労働時間!$B$5:$B$155="2月中旬")*(③労働時間!$J$5:$J$155))</f>
        <v>0</v>
      </c>
      <c r="I21" s="362">
        <f>SUMPRODUCT((③労働時間!$A$5:$A$155=作業体系表!$B21)*(③労働時間!$B$5:$B$155="2月下旬")*(③労働時間!$J$5:$J$155))</f>
        <v>0</v>
      </c>
      <c r="J21" s="362">
        <f>SUMPRODUCT((③労働時間!$A$5:$A$155=作業体系表!$B21)*(③労働時間!$B$5:$B$155="3月上旬")*(③労働時間!$J$5:$J$155))</f>
        <v>0</v>
      </c>
      <c r="K21" s="362">
        <f>SUMPRODUCT((③労働時間!$A$5:$A$155=作業体系表!$B21)*(③労働時間!$B$5:$B$155="3月中旬")*(③労働時間!$J$5:$J$155))</f>
        <v>0</v>
      </c>
      <c r="L21" s="362">
        <f>SUMPRODUCT((③労働時間!$A$5:$A$155=作業体系表!$B21)*(③労働時間!$B$5:$B$155="3月下旬")*(③労働時間!$J$5:$J$155))</f>
        <v>0</v>
      </c>
      <c r="M21" s="362">
        <f>SUMPRODUCT((③労働時間!$A$5:$A$155=作業体系表!$B21)*(③労働時間!$B$5:$B$155="4月上旬")*(③労働時間!$J$5:$J$155))</f>
        <v>0</v>
      </c>
      <c r="N21" s="362">
        <f>SUMPRODUCT((③労働時間!$A$5:$A$155=作業体系表!$B21)*(③労働時間!$B$5:$B$155="4月中旬")*(③労働時間!$J$5:$J$155))</f>
        <v>0</v>
      </c>
      <c r="O21" s="362">
        <f>SUMPRODUCT((③労働時間!$A$5:$A$155=作業体系表!$B21)*(③労働時間!$B$5:$B$155="4月下旬")*(③労働時間!$J$5:$J$155))</f>
        <v>0</v>
      </c>
      <c r="P21" s="363">
        <f>SUMPRODUCT((③労働時間!$A$5:$A$155=作業体系表!$B21)*(③労働時間!$B$5:$B$155="5月上旬")*(③労働時間!$J$5:$J$155))</f>
        <v>0</v>
      </c>
      <c r="Q21" s="362">
        <f>SUMPRODUCT((③労働時間!$A$5:$A$155=作業体系表!$B21)*(③労働時間!$B$5:$B$155="5月中旬")*(③労働時間!$J$5:$J$155))</f>
        <v>0</v>
      </c>
      <c r="R21" s="362">
        <f>SUMPRODUCT((③労働時間!$A$5:$A$155=作業体系表!$B21)*(③労働時間!$B$5:$B$155="5月下旬")*(③労働時間!$J$5:$J$155))</f>
        <v>0</v>
      </c>
      <c r="S21" s="362">
        <f>SUMPRODUCT((③労働時間!$A$5:$A$155=作業体系表!$B21)*(③労働時間!$B$5:$B$155="6月上旬")*(③労働時間!$J$5:$J$155))</f>
        <v>0</v>
      </c>
      <c r="T21" s="362">
        <f>SUMPRODUCT((③労働時間!$A$5:$A$155=作業体系表!$B21)*(③労働時間!$B$5:$B$155="6月中旬")*(③労働時間!$J$5:$J$155))</f>
        <v>0</v>
      </c>
      <c r="U21" s="362">
        <f>SUMPRODUCT((③労働時間!$A$5:$A$155=作業体系表!$B21)*(③労働時間!$B$5:$B$155="6月下旬")*(③労働時間!$J$5:$J$155))</f>
        <v>0</v>
      </c>
      <c r="V21" s="362">
        <f>SUMPRODUCT((③労働時間!$A$5:$A$155=作業体系表!$B21)*(③労働時間!$B$5:$B$155="7月上旬")*(③労働時間!$J$5:$J$155))</f>
        <v>20</v>
      </c>
      <c r="W21" s="362">
        <f>SUMPRODUCT((③労働時間!$A$5:$A$155=作業体系表!$B21)*(③労働時間!$B$5:$B$155="7月中旬")*(③労働時間!$J$5:$J$155))</f>
        <v>0</v>
      </c>
      <c r="X21" s="362">
        <f>SUMPRODUCT((③労働時間!$A$5:$A$155=作業体系表!$B21)*(③労働時間!$B$5:$B$155="7月下旬")*(③労働時間!$J$5:$J$155))</f>
        <v>0</v>
      </c>
      <c r="Y21" s="362">
        <f>SUMPRODUCT((③労働時間!$A$5:$A$155=作業体系表!$B21)*(③労働時間!$B$5:$B$155="8月上旬")*(③労働時間!$J$5:$J$155))</f>
        <v>0</v>
      </c>
      <c r="Z21" s="362">
        <f>SUMPRODUCT((③労働時間!$A$5:$A$155=作業体系表!$B21)*(③労働時間!$B$5:$B$155="8月中旬")*(③労働時間!$J$5:$J$155))</f>
        <v>0</v>
      </c>
      <c r="AA21" s="362">
        <f>SUMPRODUCT((③労働時間!$A$5:$A$155=作業体系表!$B21)*(③労働時間!$B$5:$B$155="8月下旬")*(③労働時間!$J$5:$J$155))</f>
        <v>0</v>
      </c>
      <c r="AB21" s="363">
        <f>SUMPRODUCT((③労働時間!$A$5:$A$155=作業体系表!$B21)*(③労働時間!$B$5:$B$155="9月上旬")*(③労働時間!$J$5:$J$155))</f>
        <v>0</v>
      </c>
      <c r="AC21" s="362">
        <f>SUMPRODUCT((③労働時間!$A$5:$A$155=作業体系表!$B21)*(③労働時間!$B$5:$B$155="9月中旬")*(③労働時間!$J$5:$J$155))</f>
        <v>0</v>
      </c>
      <c r="AD21" s="362">
        <f>SUMPRODUCT((③労働時間!$A$5:$A$155=作業体系表!$B21)*(③労働時間!$B$5:$B$155="9月下旬")*(③労働時間!$J$5:$J$155))</f>
        <v>0</v>
      </c>
      <c r="AE21" s="362">
        <f>SUMPRODUCT((③労働時間!$A$5:$A$155=作業体系表!$B21)*(③労働時間!$B$5:$B$155="10月上旬")*(③労働時間!$J$5:$J$155))</f>
        <v>0</v>
      </c>
      <c r="AF21" s="362">
        <f>SUMPRODUCT((③労働時間!$A$5:$A$155=作業体系表!$B21)*(③労働時間!$B$5:$B$155="10月中旬")*(③労働時間!$J$5:$J$155))</f>
        <v>0</v>
      </c>
      <c r="AG21" s="362">
        <f>SUMPRODUCT((③労働時間!$A$5:$A$155=作業体系表!$B21)*(③労働時間!$B$5:$B$155="10月下旬")*(③労働時間!$J$5:$J$155))</f>
        <v>0</v>
      </c>
      <c r="AH21" s="362">
        <f>SUMPRODUCT((③労働時間!$A$5:$A$155=作業体系表!$B21)*(③労働時間!$B$5:$B$155="11月上旬")*(③労働時間!$J$5:$J$155))</f>
        <v>0</v>
      </c>
      <c r="AI21" s="362">
        <f>SUMPRODUCT((③労働時間!$A$5:$A$155=作業体系表!$B21)*(③労働時間!$B$5:$B$155="11月中旬")*(③労働時間!$J$5:$J$155))</f>
        <v>0</v>
      </c>
      <c r="AJ21" s="362">
        <f>SUMPRODUCT((③労働時間!$A$5:$A$155=作業体系表!$B21)*(③労働時間!$B$5:$B$155="11月下旬")*(③労働時間!$J$5:$J$155))</f>
        <v>0</v>
      </c>
      <c r="AK21" s="362">
        <f>SUMPRODUCT((③労働時間!$A$5:$A$155=作業体系表!$B21)*(③労働時間!$B$5:$B$155="12月上旬")*(③労働時間!$J$5:$J$155))</f>
        <v>0</v>
      </c>
      <c r="AL21" s="362">
        <f>SUMPRODUCT((③労働時間!$A$5:$A$155=作業体系表!$B21)*(③労働時間!$B$5:$B$155="12月中旬")*(③労働時間!$J$5:$J$155))</f>
        <v>0</v>
      </c>
      <c r="AM21" s="364">
        <f>SUMPRODUCT((③労働時間!$A$5:$A$155=作業体系表!$B21)*(③労働時間!$B$5:$B$155="12月下旬")*(③労働時間!$J$5:$J$155))</f>
        <v>0</v>
      </c>
      <c r="AN21" s="365">
        <f t="shared" si="0"/>
        <v>20</v>
      </c>
    </row>
    <row r="22" spans="2:40" ht="15" customHeight="1">
      <c r="B22" s="715">
        <f>①技術体系!A19</f>
        <v>0</v>
      </c>
      <c r="C22" s="716"/>
      <c r="D22" s="362">
        <f>SUMPRODUCT((③労働時間!$A$5:$A$155=作業体系表!$B22)*(③労働時間!$B$5:$B$155="1月上旬")*(③労働時間!$J$5:$J$155))</f>
        <v>0</v>
      </c>
      <c r="E22" s="362">
        <f>SUMPRODUCT((③労働時間!$A$5:$A$155=作業体系表!$B22)*(③労働時間!$B$5:$B$155="1月中旬")*(③労働時間!$J$5:$J$155))</f>
        <v>0</v>
      </c>
      <c r="F22" s="362">
        <f>SUMPRODUCT((③労働時間!$A$5:$A$155=作業体系表!$B22)*(③労働時間!$B$5:$B$155="1月下旬")*(③労働時間!$J$5:$J$155))</f>
        <v>0</v>
      </c>
      <c r="G22" s="362">
        <f>SUMPRODUCT((③労働時間!$A$5:$A$155=作業体系表!$B22)*(③労働時間!$B$5:$B$155="2月上旬")*(③労働時間!$J$5:$J$155))</f>
        <v>0</v>
      </c>
      <c r="H22" s="362">
        <f>SUMPRODUCT((③労働時間!$A$5:$A$155=作業体系表!$B22)*(③労働時間!$B$5:$B$155="2月中旬")*(③労働時間!$J$5:$J$155))</f>
        <v>0</v>
      </c>
      <c r="I22" s="362">
        <f>SUMPRODUCT((③労働時間!$A$5:$A$155=作業体系表!$B22)*(③労働時間!$B$5:$B$155="2月下旬")*(③労働時間!$J$5:$J$155))</f>
        <v>0</v>
      </c>
      <c r="J22" s="362">
        <f>SUMPRODUCT((③労働時間!$A$5:$A$155=作業体系表!$B22)*(③労働時間!$B$5:$B$155="3月上旬")*(③労働時間!$J$5:$J$155))</f>
        <v>0</v>
      </c>
      <c r="K22" s="362">
        <f>SUMPRODUCT((③労働時間!$A$5:$A$155=作業体系表!$B22)*(③労働時間!$B$5:$B$155="3月中旬")*(③労働時間!$J$5:$J$155))</f>
        <v>0</v>
      </c>
      <c r="L22" s="362">
        <f>SUMPRODUCT((③労働時間!$A$5:$A$155=作業体系表!$B22)*(③労働時間!$B$5:$B$155="3月下旬")*(③労働時間!$J$5:$J$155))</f>
        <v>0</v>
      </c>
      <c r="M22" s="362">
        <f>SUMPRODUCT((③労働時間!$A$5:$A$155=作業体系表!$B22)*(③労働時間!$B$5:$B$155="4月上旬")*(③労働時間!$J$5:$J$155))</f>
        <v>0</v>
      </c>
      <c r="N22" s="362">
        <f>SUMPRODUCT((③労働時間!$A$5:$A$155=作業体系表!$B22)*(③労働時間!$B$5:$B$155="4月中旬")*(③労働時間!$J$5:$J$155))</f>
        <v>0</v>
      </c>
      <c r="O22" s="362">
        <f>SUMPRODUCT((③労働時間!$A$5:$A$155=作業体系表!$B22)*(③労働時間!$B$5:$B$155="4月下旬")*(③労働時間!$J$5:$J$155))</f>
        <v>0</v>
      </c>
      <c r="P22" s="363">
        <f>SUMPRODUCT((③労働時間!$A$5:$A$155=作業体系表!$B22)*(③労働時間!$B$5:$B$155="5月上旬")*(③労働時間!$J$5:$J$155))</f>
        <v>0</v>
      </c>
      <c r="Q22" s="362">
        <f>SUMPRODUCT((③労働時間!$A$5:$A$155=作業体系表!$B22)*(③労働時間!$B$5:$B$155="5月中旬")*(③労働時間!$J$5:$J$155))</f>
        <v>0</v>
      </c>
      <c r="R22" s="362">
        <f>SUMPRODUCT((③労働時間!$A$5:$A$155=作業体系表!$B22)*(③労働時間!$B$5:$B$155="5月下旬")*(③労働時間!$J$5:$J$155))</f>
        <v>0</v>
      </c>
      <c r="S22" s="362">
        <f>SUMPRODUCT((③労働時間!$A$5:$A$155=作業体系表!$B22)*(③労働時間!$B$5:$B$155="6月上旬")*(③労働時間!$J$5:$J$155))</f>
        <v>0</v>
      </c>
      <c r="T22" s="362">
        <f>SUMPRODUCT((③労働時間!$A$5:$A$155=作業体系表!$B22)*(③労働時間!$B$5:$B$155="6月中旬")*(③労働時間!$J$5:$J$155))</f>
        <v>0</v>
      </c>
      <c r="U22" s="362">
        <f>SUMPRODUCT((③労働時間!$A$5:$A$155=作業体系表!$B22)*(③労働時間!$B$5:$B$155="6月下旬")*(③労働時間!$J$5:$J$155))</f>
        <v>0</v>
      </c>
      <c r="V22" s="362">
        <f>SUMPRODUCT((③労働時間!$A$5:$A$155=作業体系表!$B22)*(③労働時間!$B$5:$B$155="7月上旬")*(③労働時間!$J$5:$J$155))</f>
        <v>0</v>
      </c>
      <c r="W22" s="362">
        <f>SUMPRODUCT((③労働時間!$A$5:$A$155=作業体系表!$B22)*(③労働時間!$B$5:$B$155="7月中旬")*(③労働時間!$J$5:$J$155))</f>
        <v>0</v>
      </c>
      <c r="X22" s="362">
        <f>SUMPRODUCT((③労働時間!$A$5:$A$155=作業体系表!$B22)*(③労働時間!$B$5:$B$155="7月下旬")*(③労働時間!$J$5:$J$155))</f>
        <v>0</v>
      </c>
      <c r="Y22" s="362">
        <f>SUMPRODUCT((③労働時間!$A$5:$A$155=作業体系表!$B22)*(③労働時間!$B$5:$B$155="8月上旬")*(③労働時間!$J$5:$J$155))</f>
        <v>0</v>
      </c>
      <c r="Z22" s="362">
        <f>SUMPRODUCT((③労働時間!$A$5:$A$155=作業体系表!$B22)*(③労働時間!$B$5:$B$155="8月中旬")*(③労働時間!$J$5:$J$155))</f>
        <v>0</v>
      </c>
      <c r="AA22" s="362">
        <f>SUMPRODUCT((③労働時間!$A$5:$A$155=作業体系表!$B22)*(③労働時間!$B$5:$B$155="8月下旬")*(③労働時間!$J$5:$J$155))</f>
        <v>0</v>
      </c>
      <c r="AB22" s="363">
        <f>SUMPRODUCT((③労働時間!$A$5:$A$155=作業体系表!$B22)*(③労働時間!$B$5:$B$155="9月上旬")*(③労働時間!$J$5:$J$155))</f>
        <v>0</v>
      </c>
      <c r="AC22" s="362">
        <f>SUMPRODUCT((③労働時間!$A$5:$A$155=作業体系表!$B22)*(③労働時間!$B$5:$B$155="9月中旬")*(③労働時間!$J$5:$J$155))</f>
        <v>0</v>
      </c>
      <c r="AD22" s="362">
        <f>SUMPRODUCT((③労働時間!$A$5:$A$155=作業体系表!$B22)*(③労働時間!$B$5:$B$155="9月下旬")*(③労働時間!$J$5:$J$155))</f>
        <v>0</v>
      </c>
      <c r="AE22" s="362">
        <f>SUMPRODUCT((③労働時間!$A$5:$A$155=作業体系表!$B22)*(③労働時間!$B$5:$B$155="10月上旬")*(③労働時間!$J$5:$J$155))</f>
        <v>0</v>
      </c>
      <c r="AF22" s="362">
        <f>SUMPRODUCT((③労働時間!$A$5:$A$155=作業体系表!$B22)*(③労働時間!$B$5:$B$155="10月中旬")*(③労働時間!$J$5:$J$155))</f>
        <v>0</v>
      </c>
      <c r="AG22" s="362">
        <f>SUMPRODUCT((③労働時間!$A$5:$A$155=作業体系表!$B22)*(③労働時間!$B$5:$B$155="10月下旬")*(③労働時間!$J$5:$J$155))</f>
        <v>0</v>
      </c>
      <c r="AH22" s="362">
        <f>SUMPRODUCT((③労働時間!$A$5:$A$155=作業体系表!$B22)*(③労働時間!$B$5:$B$155="11月上旬")*(③労働時間!$J$5:$J$155))</f>
        <v>0</v>
      </c>
      <c r="AI22" s="362">
        <f>SUMPRODUCT((③労働時間!$A$5:$A$155=作業体系表!$B22)*(③労働時間!$B$5:$B$155="11月中旬")*(③労働時間!$J$5:$J$155))</f>
        <v>0</v>
      </c>
      <c r="AJ22" s="362">
        <f>SUMPRODUCT((③労働時間!$A$5:$A$155=作業体系表!$B22)*(③労働時間!$B$5:$B$155="11月下旬")*(③労働時間!$J$5:$J$155))</f>
        <v>0</v>
      </c>
      <c r="AK22" s="362">
        <f>SUMPRODUCT((③労働時間!$A$5:$A$155=作業体系表!$B22)*(③労働時間!$B$5:$B$155="12月上旬")*(③労働時間!$J$5:$J$155))</f>
        <v>0</v>
      </c>
      <c r="AL22" s="362">
        <f>SUMPRODUCT((③労働時間!$A$5:$A$155=作業体系表!$B22)*(③労働時間!$B$5:$B$155="12月中旬")*(③労働時間!$J$5:$J$155))</f>
        <v>0</v>
      </c>
      <c r="AM22" s="364">
        <f>SUMPRODUCT((③労働時間!$A$5:$A$155=作業体系表!$B22)*(③労働時間!$B$5:$B$155="12月下旬")*(③労働時間!$J$5:$J$155))</f>
        <v>0</v>
      </c>
      <c r="AN22" s="365">
        <f t="shared" si="0"/>
        <v>0</v>
      </c>
    </row>
    <row r="23" spans="2:40" ht="15" customHeight="1">
      <c r="B23" s="715">
        <f>①技術体系!A20</f>
        <v>0</v>
      </c>
      <c r="C23" s="716"/>
      <c r="D23" s="362">
        <f>SUMPRODUCT((③労働時間!$A$5:$A$155=作業体系表!$B23)*(③労働時間!$B$5:$B$155="1月上旬")*(③労働時間!$J$5:$J$155))</f>
        <v>0</v>
      </c>
      <c r="E23" s="362">
        <f>SUMPRODUCT((③労働時間!$A$5:$A$155=作業体系表!$B23)*(③労働時間!$B$5:$B$155="1月中旬")*(③労働時間!$J$5:$J$155))</f>
        <v>0</v>
      </c>
      <c r="F23" s="362">
        <f>SUMPRODUCT((③労働時間!$A$5:$A$155=作業体系表!$B23)*(③労働時間!$B$5:$B$155="1月下旬")*(③労働時間!$J$5:$J$155))</f>
        <v>0</v>
      </c>
      <c r="G23" s="362">
        <f>SUMPRODUCT((③労働時間!$A$5:$A$155=作業体系表!$B23)*(③労働時間!$B$5:$B$155="2月上旬")*(③労働時間!$J$5:$J$155))</f>
        <v>0</v>
      </c>
      <c r="H23" s="362">
        <f>SUMPRODUCT((③労働時間!$A$5:$A$155=作業体系表!$B23)*(③労働時間!$B$5:$B$155="2月中旬")*(③労働時間!$J$5:$J$155))</f>
        <v>0</v>
      </c>
      <c r="I23" s="362">
        <f>SUMPRODUCT((③労働時間!$A$5:$A$155=作業体系表!$B23)*(③労働時間!$B$5:$B$155="2月下旬")*(③労働時間!$J$5:$J$155))</f>
        <v>0</v>
      </c>
      <c r="J23" s="362">
        <f>SUMPRODUCT((③労働時間!$A$5:$A$155=作業体系表!$B23)*(③労働時間!$B$5:$B$155="3月上旬")*(③労働時間!$J$5:$J$155))</f>
        <v>0</v>
      </c>
      <c r="K23" s="362">
        <f>SUMPRODUCT((③労働時間!$A$5:$A$155=作業体系表!$B23)*(③労働時間!$B$5:$B$155="3月中旬")*(③労働時間!$J$5:$J$155))</f>
        <v>0</v>
      </c>
      <c r="L23" s="362">
        <f>SUMPRODUCT((③労働時間!$A$5:$A$155=作業体系表!$B23)*(③労働時間!$B$5:$B$155="3月下旬")*(③労働時間!$J$5:$J$155))</f>
        <v>0</v>
      </c>
      <c r="M23" s="362">
        <f>SUMPRODUCT((③労働時間!$A$5:$A$155=作業体系表!$B23)*(③労働時間!$B$5:$B$155="4月上旬")*(③労働時間!$J$5:$J$155))</f>
        <v>0</v>
      </c>
      <c r="N23" s="362">
        <f>SUMPRODUCT((③労働時間!$A$5:$A$155=作業体系表!$B23)*(③労働時間!$B$5:$B$155="4月中旬")*(③労働時間!$J$5:$J$155))</f>
        <v>0</v>
      </c>
      <c r="O23" s="362">
        <f>SUMPRODUCT((③労働時間!$A$5:$A$155=作業体系表!$B23)*(③労働時間!$B$5:$B$155="4月下旬")*(③労働時間!$J$5:$J$155))</f>
        <v>0</v>
      </c>
      <c r="P23" s="363">
        <f>SUMPRODUCT((③労働時間!$A$5:$A$155=作業体系表!$B23)*(③労働時間!$B$5:$B$155="5月上旬")*(③労働時間!$J$5:$J$155))</f>
        <v>0</v>
      </c>
      <c r="Q23" s="362">
        <f>SUMPRODUCT((③労働時間!$A$5:$A$155=作業体系表!$B23)*(③労働時間!$B$5:$B$155="5月中旬")*(③労働時間!$J$5:$J$155))</f>
        <v>0</v>
      </c>
      <c r="R23" s="362">
        <f>SUMPRODUCT((③労働時間!$A$5:$A$155=作業体系表!$B23)*(③労働時間!$B$5:$B$155="5月下旬")*(③労働時間!$J$5:$J$155))</f>
        <v>0</v>
      </c>
      <c r="S23" s="362">
        <f>SUMPRODUCT((③労働時間!$A$5:$A$155=作業体系表!$B23)*(③労働時間!$B$5:$B$155="6月上旬")*(③労働時間!$J$5:$J$155))</f>
        <v>0</v>
      </c>
      <c r="T23" s="362">
        <f>SUMPRODUCT((③労働時間!$A$5:$A$155=作業体系表!$B23)*(③労働時間!$B$5:$B$155="6月中旬")*(③労働時間!$J$5:$J$155))</f>
        <v>0</v>
      </c>
      <c r="U23" s="362">
        <f>SUMPRODUCT((③労働時間!$A$5:$A$155=作業体系表!$B23)*(③労働時間!$B$5:$B$155="6月下旬")*(③労働時間!$J$5:$J$155))</f>
        <v>0</v>
      </c>
      <c r="V23" s="362">
        <f>SUMPRODUCT((③労働時間!$A$5:$A$155=作業体系表!$B23)*(③労働時間!$B$5:$B$155="7月上旬")*(③労働時間!$J$5:$J$155))</f>
        <v>0</v>
      </c>
      <c r="W23" s="362">
        <f>SUMPRODUCT((③労働時間!$A$5:$A$155=作業体系表!$B23)*(③労働時間!$B$5:$B$155="7月中旬")*(③労働時間!$J$5:$J$155))</f>
        <v>0</v>
      </c>
      <c r="X23" s="362">
        <f>SUMPRODUCT((③労働時間!$A$5:$A$155=作業体系表!$B23)*(③労働時間!$B$5:$B$155="7月下旬")*(③労働時間!$J$5:$J$155))</f>
        <v>0</v>
      </c>
      <c r="Y23" s="362">
        <f>SUMPRODUCT((③労働時間!$A$5:$A$155=作業体系表!$B23)*(③労働時間!$B$5:$B$155="8月上旬")*(③労働時間!$J$5:$J$155))</f>
        <v>0</v>
      </c>
      <c r="Z23" s="362">
        <f>SUMPRODUCT((③労働時間!$A$5:$A$155=作業体系表!$B23)*(③労働時間!$B$5:$B$155="8月中旬")*(③労働時間!$J$5:$J$155))</f>
        <v>0</v>
      </c>
      <c r="AA23" s="362">
        <f>SUMPRODUCT((③労働時間!$A$5:$A$155=作業体系表!$B23)*(③労働時間!$B$5:$B$155="8月下旬")*(③労働時間!$J$5:$J$155))</f>
        <v>0</v>
      </c>
      <c r="AB23" s="363">
        <f>SUMPRODUCT((③労働時間!$A$5:$A$155=作業体系表!$B23)*(③労働時間!$B$5:$B$155="9月上旬")*(③労働時間!$J$5:$J$155))</f>
        <v>0</v>
      </c>
      <c r="AC23" s="362">
        <f>SUMPRODUCT((③労働時間!$A$5:$A$155=作業体系表!$B23)*(③労働時間!$B$5:$B$155="9月中旬")*(③労働時間!$J$5:$J$155))</f>
        <v>0</v>
      </c>
      <c r="AD23" s="362">
        <f>SUMPRODUCT((③労働時間!$A$5:$A$155=作業体系表!$B23)*(③労働時間!$B$5:$B$155="9月下旬")*(③労働時間!$J$5:$J$155))</f>
        <v>0</v>
      </c>
      <c r="AE23" s="362">
        <f>SUMPRODUCT((③労働時間!$A$5:$A$155=作業体系表!$B23)*(③労働時間!$B$5:$B$155="10月上旬")*(③労働時間!$J$5:$J$155))</f>
        <v>0</v>
      </c>
      <c r="AF23" s="362">
        <f>SUMPRODUCT((③労働時間!$A$5:$A$155=作業体系表!$B23)*(③労働時間!$B$5:$B$155="10月中旬")*(③労働時間!$J$5:$J$155))</f>
        <v>0</v>
      </c>
      <c r="AG23" s="362">
        <f>SUMPRODUCT((③労働時間!$A$5:$A$155=作業体系表!$B23)*(③労働時間!$B$5:$B$155="10月下旬")*(③労働時間!$J$5:$J$155))</f>
        <v>0</v>
      </c>
      <c r="AH23" s="362">
        <f>SUMPRODUCT((③労働時間!$A$5:$A$155=作業体系表!$B23)*(③労働時間!$B$5:$B$155="11月上旬")*(③労働時間!$J$5:$J$155))</f>
        <v>0</v>
      </c>
      <c r="AI23" s="362">
        <f>SUMPRODUCT((③労働時間!$A$5:$A$155=作業体系表!$B23)*(③労働時間!$B$5:$B$155="11月中旬")*(③労働時間!$J$5:$J$155))</f>
        <v>0</v>
      </c>
      <c r="AJ23" s="362">
        <f>SUMPRODUCT((③労働時間!$A$5:$A$155=作業体系表!$B23)*(③労働時間!$B$5:$B$155="11月下旬")*(③労働時間!$J$5:$J$155))</f>
        <v>0</v>
      </c>
      <c r="AK23" s="362">
        <f>SUMPRODUCT((③労働時間!$A$5:$A$155=作業体系表!$B23)*(③労働時間!$B$5:$B$155="12月上旬")*(③労働時間!$J$5:$J$155))</f>
        <v>0</v>
      </c>
      <c r="AL23" s="362">
        <f>SUMPRODUCT((③労働時間!$A$5:$A$155=作業体系表!$B23)*(③労働時間!$B$5:$B$155="12月中旬")*(③労働時間!$J$5:$J$155))</f>
        <v>0</v>
      </c>
      <c r="AM23" s="364">
        <f>SUMPRODUCT((③労働時間!$A$5:$A$155=作業体系表!$B23)*(③労働時間!$B$5:$B$155="12月下旬")*(③労働時間!$J$5:$J$155))</f>
        <v>0</v>
      </c>
      <c r="AN23" s="365">
        <f t="shared" si="0"/>
        <v>0</v>
      </c>
    </row>
    <row r="24" spans="2:40" ht="15" customHeight="1">
      <c r="B24" s="715">
        <f>①技術体系!A21</f>
        <v>0</v>
      </c>
      <c r="C24" s="716"/>
      <c r="D24" s="362">
        <f>SUMPRODUCT((③労働時間!$A$5:$A$155=作業体系表!$B24)*(③労働時間!$B$5:$B$155="1月上旬")*(③労働時間!$J$5:$J$155))</f>
        <v>0</v>
      </c>
      <c r="E24" s="362">
        <f>SUMPRODUCT((③労働時間!$A$5:$A$155=作業体系表!$B24)*(③労働時間!$B$5:$B$155="1月中旬")*(③労働時間!$J$5:$J$155))</f>
        <v>0</v>
      </c>
      <c r="F24" s="362">
        <f>SUMPRODUCT((③労働時間!$A$5:$A$155=作業体系表!$B24)*(③労働時間!$B$5:$B$155="1月下旬")*(③労働時間!$J$5:$J$155))</f>
        <v>0</v>
      </c>
      <c r="G24" s="362">
        <f>SUMPRODUCT((③労働時間!$A$5:$A$155=作業体系表!$B24)*(③労働時間!$B$5:$B$155="2月上旬")*(③労働時間!$J$5:$J$155))</f>
        <v>0</v>
      </c>
      <c r="H24" s="362">
        <f>SUMPRODUCT((③労働時間!$A$5:$A$155=作業体系表!$B24)*(③労働時間!$B$5:$B$155="2月中旬")*(③労働時間!$J$5:$J$155))</f>
        <v>0</v>
      </c>
      <c r="I24" s="362">
        <f>SUMPRODUCT((③労働時間!$A$5:$A$155=作業体系表!$B24)*(③労働時間!$B$5:$B$155="2月下旬")*(③労働時間!$J$5:$J$155))</f>
        <v>0</v>
      </c>
      <c r="J24" s="362">
        <f>SUMPRODUCT((③労働時間!$A$5:$A$155=作業体系表!$B24)*(③労働時間!$B$5:$B$155="3月上旬")*(③労働時間!$J$5:$J$155))</f>
        <v>0</v>
      </c>
      <c r="K24" s="362">
        <f>SUMPRODUCT((③労働時間!$A$5:$A$155=作業体系表!$B24)*(③労働時間!$B$5:$B$155="3月中旬")*(③労働時間!$J$5:$J$155))</f>
        <v>0</v>
      </c>
      <c r="L24" s="362">
        <f>SUMPRODUCT((③労働時間!$A$5:$A$155=作業体系表!$B24)*(③労働時間!$B$5:$B$155="3月下旬")*(③労働時間!$J$5:$J$155))</f>
        <v>0</v>
      </c>
      <c r="M24" s="362">
        <f>SUMPRODUCT((③労働時間!$A$5:$A$155=作業体系表!$B24)*(③労働時間!$B$5:$B$155="4月上旬")*(③労働時間!$J$5:$J$155))</f>
        <v>0</v>
      </c>
      <c r="N24" s="362">
        <f>SUMPRODUCT((③労働時間!$A$5:$A$155=作業体系表!$B24)*(③労働時間!$B$5:$B$155="4月中旬")*(③労働時間!$J$5:$J$155))</f>
        <v>0</v>
      </c>
      <c r="O24" s="362">
        <f>SUMPRODUCT((③労働時間!$A$5:$A$155=作業体系表!$B24)*(③労働時間!$B$5:$B$155="4月下旬")*(③労働時間!$J$5:$J$155))</f>
        <v>0</v>
      </c>
      <c r="P24" s="363">
        <f>SUMPRODUCT((③労働時間!$A$5:$A$155=作業体系表!$B24)*(③労働時間!$B$5:$B$155="5月上旬")*(③労働時間!$J$5:$J$155))</f>
        <v>0</v>
      </c>
      <c r="Q24" s="362">
        <f>SUMPRODUCT((③労働時間!$A$5:$A$155=作業体系表!$B24)*(③労働時間!$B$5:$B$155="5月中旬")*(③労働時間!$J$5:$J$155))</f>
        <v>0</v>
      </c>
      <c r="R24" s="362">
        <f>SUMPRODUCT((③労働時間!$A$5:$A$155=作業体系表!$B24)*(③労働時間!$B$5:$B$155="5月下旬")*(③労働時間!$J$5:$J$155))</f>
        <v>0</v>
      </c>
      <c r="S24" s="362">
        <f>SUMPRODUCT((③労働時間!$A$5:$A$155=作業体系表!$B24)*(③労働時間!$B$5:$B$155="6月上旬")*(③労働時間!$J$5:$J$155))</f>
        <v>0</v>
      </c>
      <c r="T24" s="362">
        <f>SUMPRODUCT((③労働時間!$A$5:$A$155=作業体系表!$B24)*(③労働時間!$B$5:$B$155="6月中旬")*(③労働時間!$J$5:$J$155))</f>
        <v>0</v>
      </c>
      <c r="U24" s="362">
        <f>SUMPRODUCT((③労働時間!$A$5:$A$155=作業体系表!$B24)*(③労働時間!$B$5:$B$155="6月下旬")*(③労働時間!$J$5:$J$155))</f>
        <v>0</v>
      </c>
      <c r="V24" s="362">
        <f>SUMPRODUCT((③労働時間!$A$5:$A$155=作業体系表!$B24)*(③労働時間!$B$5:$B$155="7月上旬")*(③労働時間!$J$5:$J$155))</f>
        <v>0</v>
      </c>
      <c r="W24" s="362">
        <f>SUMPRODUCT((③労働時間!$A$5:$A$155=作業体系表!$B24)*(③労働時間!$B$5:$B$155="7月中旬")*(③労働時間!$J$5:$J$155))</f>
        <v>0</v>
      </c>
      <c r="X24" s="362">
        <f>SUMPRODUCT((③労働時間!$A$5:$A$155=作業体系表!$B24)*(③労働時間!$B$5:$B$155="7月下旬")*(③労働時間!$J$5:$J$155))</f>
        <v>0</v>
      </c>
      <c r="Y24" s="362">
        <f>SUMPRODUCT((③労働時間!$A$5:$A$155=作業体系表!$B24)*(③労働時間!$B$5:$B$155="8月上旬")*(③労働時間!$J$5:$J$155))</f>
        <v>0</v>
      </c>
      <c r="Z24" s="362">
        <f>SUMPRODUCT((③労働時間!$A$5:$A$155=作業体系表!$B24)*(③労働時間!$B$5:$B$155="8月中旬")*(③労働時間!$J$5:$J$155))</f>
        <v>0</v>
      </c>
      <c r="AA24" s="362">
        <f>SUMPRODUCT((③労働時間!$A$5:$A$155=作業体系表!$B24)*(③労働時間!$B$5:$B$155="8月下旬")*(③労働時間!$J$5:$J$155))</f>
        <v>0</v>
      </c>
      <c r="AB24" s="363">
        <f>SUMPRODUCT((③労働時間!$A$5:$A$155=作業体系表!$B24)*(③労働時間!$B$5:$B$155="9月上旬")*(③労働時間!$J$5:$J$155))</f>
        <v>0</v>
      </c>
      <c r="AC24" s="362">
        <f>SUMPRODUCT((③労働時間!$A$5:$A$155=作業体系表!$B24)*(③労働時間!$B$5:$B$155="9月中旬")*(③労働時間!$J$5:$J$155))</f>
        <v>0</v>
      </c>
      <c r="AD24" s="362">
        <f>SUMPRODUCT((③労働時間!$A$5:$A$155=作業体系表!$B24)*(③労働時間!$B$5:$B$155="9月下旬")*(③労働時間!$J$5:$J$155))</f>
        <v>0</v>
      </c>
      <c r="AE24" s="362">
        <f>SUMPRODUCT((③労働時間!$A$5:$A$155=作業体系表!$B24)*(③労働時間!$B$5:$B$155="10月上旬")*(③労働時間!$J$5:$J$155))</f>
        <v>0</v>
      </c>
      <c r="AF24" s="362">
        <f>SUMPRODUCT((③労働時間!$A$5:$A$155=作業体系表!$B24)*(③労働時間!$B$5:$B$155="10月中旬")*(③労働時間!$J$5:$J$155))</f>
        <v>0</v>
      </c>
      <c r="AG24" s="362">
        <f>SUMPRODUCT((③労働時間!$A$5:$A$155=作業体系表!$B24)*(③労働時間!$B$5:$B$155="10月下旬")*(③労働時間!$J$5:$J$155))</f>
        <v>0</v>
      </c>
      <c r="AH24" s="362">
        <f>SUMPRODUCT((③労働時間!$A$5:$A$155=作業体系表!$B24)*(③労働時間!$B$5:$B$155="11月上旬")*(③労働時間!$J$5:$J$155))</f>
        <v>0</v>
      </c>
      <c r="AI24" s="362">
        <f>SUMPRODUCT((③労働時間!$A$5:$A$155=作業体系表!$B24)*(③労働時間!$B$5:$B$155="11月中旬")*(③労働時間!$J$5:$J$155))</f>
        <v>0</v>
      </c>
      <c r="AJ24" s="362">
        <f>SUMPRODUCT((③労働時間!$A$5:$A$155=作業体系表!$B24)*(③労働時間!$B$5:$B$155="11月下旬")*(③労働時間!$J$5:$J$155))</f>
        <v>0</v>
      </c>
      <c r="AK24" s="362">
        <f>SUMPRODUCT((③労働時間!$A$5:$A$155=作業体系表!$B24)*(③労働時間!$B$5:$B$155="12月上旬")*(③労働時間!$J$5:$J$155))</f>
        <v>0</v>
      </c>
      <c r="AL24" s="362">
        <f>SUMPRODUCT((③労働時間!$A$5:$A$155=作業体系表!$B24)*(③労働時間!$B$5:$B$155="12月中旬")*(③労働時間!$J$5:$J$155))</f>
        <v>0</v>
      </c>
      <c r="AM24" s="364">
        <f>SUMPRODUCT((③労働時間!$A$5:$A$155=作業体系表!$B24)*(③労働時間!$B$5:$B$155="12月下旬")*(③労働時間!$J$5:$J$155))</f>
        <v>0</v>
      </c>
      <c r="AN24" s="365">
        <f t="shared" si="0"/>
        <v>0</v>
      </c>
    </row>
    <row r="25" spans="2:40" ht="15" customHeight="1">
      <c r="B25" s="715">
        <f>①技術体系!A22</f>
        <v>0</v>
      </c>
      <c r="C25" s="716"/>
      <c r="D25" s="362">
        <f>SUMPRODUCT((③労働時間!$A$5:$A$155=作業体系表!$B25)*(③労働時間!$B$5:$B$155="1月上旬")*(③労働時間!$J$5:$J$155))</f>
        <v>0</v>
      </c>
      <c r="E25" s="362">
        <f>SUMPRODUCT((③労働時間!$A$5:$A$155=作業体系表!$B25)*(③労働時間!$B$5:$B$155="1月中旬")*(③労働時間!$J$5:$J$155))</f>
        <v>0</v>
      </c>
      <c r="F25" s="362">
        <f>SUMPRODUCT((③労働時間!$A$5:$A$155=作業体系表!$B25)*(③労働時間!$B$5:$B$155="1月下旬")*(③労働時間!$J$5:$J$155))</f>
        <v>0</v>
      </c>
      <c r="G25" s="362">
        <f>SUMPRODUCT((③労働時間!$A$5:$A$155=作業体系表!$B25)*(③労働時間!$B$5:$B$155="2月上旬")*(③労働時間!$J$5:$J$155))</f>
        <v>0</v>
      </c>
      <c r="H25" s="362">
        <f>SUMPRODUCT((③労働時間!$A$5:$A$155=作業体系表!$B25)*(③労働時間!$B$5:$B$155="2月中旬")*(③労働時間!$J$5:$J$155))</f>
        <v>0</v>
      </c>
      <c r="I25" s="362">
        <f>SUMPRODUCT((③労働時間!$A$5:$A$155=作業体系表!$B25)*(③労働時間!$B$5:$B$155="2月下旬")*(③労働時間!$J$5:$J$155))</f>
        <v>0</v>
      </c>
      <c r="J25" s="362">
        <f>SUMPRODUCT((③労働時間!$A$5:$A$155=作業体系表!$B25)*(③労働時間!$B$5:$B$155="3月上旬")*(③労働時間!$J$5:$J$155))</f>
        <v>0</v>
      </c>
      <c r="K25" s="362">
        <f>SUMPRODUCT((③労働時間!$A$5:$A$155=作業体系表!$B25)*(③労働時間!$B$5:$B$155="3月中旬")*(③労働時間!$J$5:$J$155))</f>
        <v>0</v>
      </c>
      <c r="L25" s="362">
        <f>SUMPRODUCT((③労働時間!$A$5:$A$155=作業体系表!$B25)*(③労働時間!$B$5:$B$155="3月下旬")*(③労働時間!$J$5:$J$155))</f>
        <v>0</v>
      </c>
      <c r="M25" s="362">
        <f>SUMPRODUCT((③労働時間!$A$5:$A$155=作業体系表!$B25)*(③労働時間!$B$5:$B$155="4月上旬")*(③労働時間!$J$5:$J$155))</f>
        <v>0</v>
      </c>
      <c r="N25" s="362">
        <f>SUMPRODUCT((③労働時間!$A$5:$A$155=作業体系表!$B25)*(③労働時間!$B$5:$B$155="4月中旬")*(③労働時間!$J$5:$J$155))</f>
        <v>0</v>
      </c>
      <c r="O25" s="362">
        <f>SUMPRODUCT((③労働時間!$A$5:$A$155=作業体系表!$B25)*(③労働時間!$B$5:$B$155="4月下旬")*(③労働時間!$J$5:$J$155))</f>
        <v>0</v>
      </c>
      <c r="P25" s="363">
        <f>SUMPRODUCT((③労働時間!$A$5:$A$155=作業体系表!$B25)*(③労働時間!$B$5:$B$155="5月上旬")*(③労働時間!$J$5:$J$155))</f>
        <v>0</v>
      </c>
      <c r="Q25" s="362">
        <f>SUMPRODUCT((③労働時間!$A$5:$A$155=作業体系表!$B25)*(③労働時間!$B$5:$B$155="5月中旬")*(③労働時間!$J$5:$J$155))</f>
        <v>0</v>
      </c>
      <c r="R25" s="362">
        <f>SUMPRODUCT((③労働時間!$A$5:$A$155=作業体系表!$B25)*(③労働時間!$B$5:$B$155="5月下旬")*(③労働時間!$J$5:$J$155))</f>
        <v>0</v>
      </c>
      <c r="S25" s="362">
        <f>SUMPRODUCT((③労働時間!$A$5:$A$155=作業体系表!$B25)*(③労働時間!$B$5:$B$155="6月上旬")*(③労働時間!$J$5:$J$155))</f>
        <v>0</v>
      </c>
      <c r="T25" s="362">
        <f>SUMPRODUCT((③労働時間!$A$5:$A$155=作業体系表!$B25)*(③労働時間!$B$5:$B$155="6月中旬")*(③労働時間!$J$5:$J$155))</f>
        <v>0</v>
      </c>
      <c r="U25" s="362">
        <f>SUMPRODUCT((③労働時間!$A$5:$A$155=作業体系表!$B25)*(③労働時間!$B$5:$B$155="6月下旬")*(③労働時間!$J$5:$J$155))</f>
        <v>0</v>
      </c>
      <c r="V25" s="362">
        <f>SUMPRODUCT((③労働時間!$A$5:$A$155=作業体系表!$B25)*(③労働時間!$B$5:$B$155="7月上旬")*(③労働時間!$J$5:$J$155))</f>
        <v>0</v>
      </c>
      <c r="W25" s="362">
        <f>SUMPRODUCT((③労働時間!$A$5:$A$155=作業体系表!$B25)*(③労働時間!$B$5:$B$155="7月中旬")*(③労働時間!$J$5:$J$155))</f>
        <v>0</v>
      </c>
      <c r="X25" s="362">
        <f>SUMPRODUCT((③労働時間!$A$5:$A$155=作業体系表!$B25)*(③労働時間!$B$5:$B$155="7月下旬")*(③労働時間!$J$5:$J$155))</f>
        <v>0</v>
      </c>
      <c r="Y25" s="362">
        <f>SUMPRODUCT((③労働時間!$A$5:$A$155=作業体系表!$B25)*(③労働時間!$B$5:$B$155="8月上旬")*(③労働時間!$J$5:$J$155))</f>
        <v>0</v>
      </c>
      <c r="Z25" s="362">
        <f>SUMPRODUCT((③労働時間!$A$5:$A$155=作業体系表!$B25)*(③労働時間!$B$5:$B$155="8月中旬")*(③労働時間!$J$5:$J$155))</f>
        <v>0</v>
      </c>
      <c r="AA25" s="362">
        <f>SUMPRODUCT((③労働時間!$A$5:$A$155=作業体系表!$B25)*(③労働時間!$B$5:$B$155="8月下旬")*(③労働時間!$J$5:$J$155))</f>
        <v>0</v>
      </c>
      <c r="AB25" s="363">
        <f>SUMPRODUCT((③労働時間!$A$5:$A$155=作業体系表!$B25)*(③労働時間!$B$5:$B$155="9月上旬")*(③労働時間!$J$5:$J$155))</f>
        <v>0</v>
      </c>
      <c r="AC25" s="362">
        <f>SUMPRODUCT((③労働時間!$A$5:$A$155=作業体系表!$B25)*(③労働時間!$B$5:$B$155="9月中旬")*(③労働時間!$J$5:$J$155))</f>
        <v>0</v>
      </c>
      <c r="AD25" s="362">
        <f>SUMPRODUCT((③労働時間!$A$5:$A$155=作業体系表!$B25)*(③労働時間!$B$5:$B$155="9月下旬")*(③労働時間!$J$5:$J$155))</f>
        <v>0</v>
      </c>
      <c r="AE25" s="362">
        <f>SUMPRODUCT((③労働時間!$A$5:$A$155=作業体系表!$B25)*(③労働時間!$B$5:$B$155="10月上旬")*(③労働時間!$J$5:$J$155))</f>
        <v>0</v>
      </c>
      <c r="AF25" s="362">
        <f>SUMPRODUCT((③労働時間!$A$5:$A$155=作業体系表!$B25)*(③労働時間!$B$5:$B$155="10月中旬")*(③労働時間!$J$5:$J$155))</f>
        <v>0</v>
      </c>
      <c r="AG25" s="362">
        <f>SUMPRODUCT((③労働時間!$A$5:$A$155=作業体系表!$B25)*(③労働時間!$B$5:$B$155="10月下旬")*(③労働時間!$J$5:$J$155))</f>
        <v>0</v>
      </c>
      <c r="AH25" s="362">
        <f>SUMPRODUCT((③労働時間!$A$5:$A$155=作業体系表!$B25)*(③労働時間!$B$5:$B$155="11月上旬")*(③労働時間!$J$5:$J$155))</f>
        <v>0</v>
      </c>
      <c r="AI25" s="362">
        <f>SUMPRODUCT((③労働時間!$A$5:$A$155=作業体系表!$B25)*(③労働時間!$B$5:$B$155="11月中旬")*(③労働時間!$J$5:$J$155))</f>
        <v>0</v>
      </c>
      <c r="AJ25" s="362">
        <f>SUMPRODUCT((③労働時間!$A$5:$A$155=作業体系表!$B25)*(③労働時間!$B$5:$B$155="11月下旬")*(③労働時間!$J$5:$J$155))</f>
        <v>0</v>
      </c>
      <c r="AK25" s="362">
        <f>SUMPRODUCT((③労働時間!$A$5:$A$155=作業体系表!$B25)*(③労働時間!$B$5:$B$155="12月上旬")*(③労働時間!$J$5:$J$155))</f>
        <v>0</v>
      </c>
      <c r="AL25" s="362">
        <f>SUMPRODUCT((③労働時間!$A$5:$A$155=作業体系表!$B25)*(③労働時間!$B$5:$B$155="12月中旬")*(③労働時間!$J$5:$J$155))</f>
        <v>0</v>
      </c>
      <c r="AM25" s="364">
        <f>SUMPRODUCT((③労働時間!$A$5:$A$155=作業体系表!$B25)*(③労働時間!$B$5:$B$155="12月下旬")*(③労働時間!$J$5:$J$155))</f>
        <v>0</v>
      </c>
      <c r="AN25" s="365">
        <f t="shared" si="0"/>
        <v>0</v>
      </c>
    </row>
    <row r="26" spans="2:40" ht="15" customHeight="1">
      <c r="B26" s="715">
        <f>①技術体系!A23</f>
        <v>0</v>
      </c>
      <c r="C26" s="716"/>
      <c r="D26" s="362">
        <f>SUMPRODUCT((③労働時間!$A$5:$A$155=作業体系表!$B26)*(③労働時間!$B$5:$B$155="1月上旬")*(③労働時間!$J$5:$J$155))</f>
        <v>0</v>
      </c>
      <c r="E26" s="362">
        <f>SUMPRODUCT((③労働時間!$A$5:$A$155=作業体系表!$B26)*(③労働時間!$B$5:$B$155="1月中旬")*(③労働時間!$J$5:$J$155))</f>
        <v>0</v>
      </c>
      <c r="F26" s="362">
        <f>SUMPRODUCT((③労働時間!$A$5:$A$155=作業体系表!$B26)*(③労働時間!$B$5:$B$155="1月下旬")*(③労働時間!$J$5:$J$155))</f>
        <v>0</v>
      </c>
      <c r="G26" s="362">
        <f>SUMPRODUCT((③労働時間!$A$5:$A$155=作業体系表!$B26)*(③労働時間!$B$5:$B$155="2月上旬")*(③労働時間!$J$5:$J$155))</f>
        <v>0</v>
      </c>
      <c r="H26" s="362">
        <f>SUMPRODUCT((③労働時間!$A$5:$A$155=作業体系表!$B26)*(③労働時間!$B$5:$B$155="2月中旬")*(③労働時間!$J$5:$J$155))</f>
        <v>0</v>
      </c>
      <c r="I26" s="362">
        <f>SUMPRODUCT((③労働時間!$A$5:$A$155=作業体系表!$B26)*(③労働時間!$B$5:$B$155="2月下旬")*(③労働時間!$J$5:$J$155))</f>
        <v>0</v>
      </c>
      <c r="J26" s="362">
        <f>SUMPRODUCT((③労働時間!$A$5:$A$155=作業体系表!$B26)*(③労働時間!$B$5:$B$155="3月上旬")*(③労働時間!$J$5:$J$155))</f>
        <v>0</v>
      </c>
      <c r="K26" s="362">
        <f>SUMPRODUCT((③労働時間!$A$5:$A$155=作業体系表!$B26)*(③労働時間!$B$5:$B$155="3月中旬")*(③労働時間!$J$5:$J$155))</f>
        <v>0</v>
      </c>
      <c r="L26" s="362">
        <f>SUMPRODUCT((③労働時間!$A$5:$A$155=作業体系表!$B26)*(③労働時間!$B$5:$B$155="3月下旬")*(③労働時間!$J$5:$J$155))</f>
        <v>0</v>
      </c>
      <c r="M26" s="362">
        <f>SUMPRODUCT((③労働時間!$A$5:$A$155=作業体系表!$B26)*(③労働時間!$B$5:$B$155="4月上旬")*(③労働時間!$J$5:$J$155))</f>
        <v>0</v>
      </c>
      <c r="N26" s="362">
        <f>SUMPRODUCT((③労働時間!$A$5:$A$155=作業体系表!$B26)*(③労働時間!$B$5:$B$155="4月中旬")*(③労働時間!$J$5:$J$155))</f>
        <v>0</v>
      </c>
      <c r="O26" s="362">
        <f>SUMPRODUCT((③労働時間!$A$5:$A$155=作業体系表!$B26)*(③労働時間!$B$5:$B$155="4月下旬")*(③労働時間!$J$5:$J$155))</f>
        <v>0</v>
      </c>
      <c r="P26" s="363">
        <f>SUMPRODUCT((③労働時間!$A$5:$A$155=作業体系表!$B26)*(③労働時間!$B$5:$B$155="5月上旬")*(③労働時間!$J$5:$J$155))</f>
        <v>0</v>
      </c>
      <c r="Q26" s="362">
        <f>SUMPRODUCT((③労働時間!$A$5:$A$155=作業体系表!$B26)*(③労働時間!$B$5:$B$155="5月中旬")*(③労働時間!$J$5:$J$155))</f>
        <v>0</v>
      </c>
      <c r="R26" s="362">
        <f>SUMPRODUCT((③労働時間!$A$5:$A$155=作業体系表!$B26)*(③労働時間!$B$5:$B$155="5月下旬")*(③労働時間!$J$5:$J$155))</f>
        <v>0</v>
      </c>
      <c r="S26" s="362">
        <f>SUMPRODUCT((③労働時間!$A$5:$A$155=作業体系表!$B26)*(③労働時間!$B$5:$B$155="6月上旬")*(③労働時間!$J$5:$J$155))</f>
        <v>0</v>
      </c>
      <c r="T26" s="362">
        <f>SUMPRODUCT((③労働時間!$A$5:$A$155=作業体系表!$B26)*(③労働時間!$B$5:$B$155="6月中旬")*(③労働時間!$J$5:$J$155))</f>
        <v>0</v>
      </c>
      <c r="U26" s="362">
        <f>SUMPRODUCT((③労働時間!$A$5:$A$155=作業体系表!$B26)*(③労働時間!$B$5:$B$155="6月下旬")*(③労働時間!$J$5:$J$155))</f>
        <v>0</v>
      </c>
      <c r="V26" s="362">
        <f>SUMPRODUCT((③労働時間!$A$5:$A$155=作業体系表!$B26)*(③労働時間!$B$5:$B$155="7月上旬")*(③労働時間!$J$5:$J$155))</f>
        <v>0</v>
      </c>
      <c r="W26" s="362">
        <f>SUMPRODUCT((③労働時間!$A$5:$A$155=作業体系表!$B26)*(③労働時間!$B$5:$B$155="7月中旬")*(③労働時間!$J$5:$J$155))</f>
        <v>0</v>
      </c>
      <c r="X26" s="362">
        <f>SUMPRODUCT((③労働時間!$A$5:$A$155=作業体系表!$B26)*(③労働時間!$B$5:$B$155="7月下旬")*(③労働時間!$J$5:$J$155))</f>
        <v>0</v>
      </c>
      <c r="Y26" s="362">
        <f>SUMPRODUCT((③労働時間!$A$5:$A$155=作業体系表!$B26)*(③労働時間!$B$5:$B$155="8月上旬")*(③労働時間!$J$5:$J$155))</f>
        <v>0</v>
      </c>
      <c r="Z26" s="362">
        <f>SUMPRODUCT((③労働時間!$A$5:$A$155=作業体系表!$B26)*(③労働時間!$B$5:$B$155="8月中旬")*(③労働時間!$J$5:$J$155))</f>
        <v>0</v>
      </c>
      <c r="AA26" s="362">
        <f>SUMPRODUCT((③労働時間!$A$5:$A$155=作業体系表!$B26)*(③労働時間!$B$5:$B$155="8月下旬")*(③労働時間!$J$5:$J$155))</f>
        <v>0</v>
      </c>
      <c r="AB26" s="363">
        <f>SUMPRODUCT((③労働時間!$A$5:$A$155=作業体系表!$B26)*(③労働時間!$B$5:$B$155="9月上旬")*(③労働時間!$J$5:$J$155))</f>
        <v>0</v>
      </c>
      <c r="AC26" s="362">
        <f>SUMPRODUCT((③労働時間!$A$5:$A$155=作業体系表!$B26)*(③労働時間!$B$5:$B$155="9月中旬")*(③労働時間!$J$5:$J$155))</f>
        <v>0</v>
      </c>
      <c r="AD26" s="362">
        <f>SUMPRODUCT((③労働時間!$A$5:$A$155=作業体系表!$B26)*(③労働時間!$B$5:$B$155="9月下旬")*(③労働時間!$J$5:$J$155))</f>
        <v>0</v>
      </c>
      <c r="AE26" s="362">
        <f>SUMPRODUCT((③労働時間!$A$5:$A$155=作業体系表!$B26)*(③労働時間!$B$5:$B$155="10月上旬")*(③労働時間!$J$5:$J$155))</f>
        <v>0</v>
      </c>
      <c r="AF26" s="362">
        <f>SUMPRODUCT((③労働時間!$A$5:$A$155=作業体系表!$B26)*(③労働時間!$B$5:$B$155="10月中旬")*(③労働時間!$J$5:$J$155))</f>
        <v>0</v>
      </c>
      <c r="AG26" s="362">
        <f>SUMPRODUCT((③労働時間!$A$5:$A$155=作業体系表!$B26)*(③労働時間!$B$5:$B$155="10月下旬")*(③労働時間!$J$5:$J$155))</f>
        <v>0</v>
      </c>
      <c r="AH26" s="362">
        <f>SUMPRODUCT((③労働時間!$A$5:$A$155=作業体系表!$B26)*(③労働時間!$B$5:$B$155="11月上旬")*(③労働時間!$J$5:$J$155))</f>
        <v>0</v>
      </c>
      <c r="AI26" s="362">
        <f>SUMPRODUCT((③労働時間!$A$5:$A$155=作業体系表!$B26)*(③労働時間!$B$5:$B$155="11月中旬")*(③労働時間!$J$5:$J$155))</f>
        <v>0</v>
      </c>
      <c r="AJ26" s="362">
        <f>SUMPRODUCT((③労働時間!$A$5:$A$155=作業体系表!$B26)*(③労働時間!$B$5:$B$155="11月下旬")*(③労働時間!$J$5:$J$155))</f>
        <v>0</v>
      </c>
      <c r="AK26" s="362">
        <f>SUMPRODUCT((③労働時間!$A$5:$A$155=作業体系表!$B26)*(③労働時間!$B$5:$B$155="12月上旬")*(③労働時間!$J$5:$J$155))</f>
        <v>0</v>
      </c>
      <c r="AL26" s="362">
        <f>SUMPRODUCT((③労働時間!$A$5:$A$155=作業体系表!$B26)*(③労働時間!$B$5:$B$155="12月中旬")*(③労働時間!$J$5:$J$155))</f>
        <v>0</v>
      </c>
      <c r="AM26" s="364">
        <f>SUMPRODUCT((③労働時間!$A$5:$A$155=作業体系表!$B26)*(③労働時間!$B$5:$B$155="12月下旬")*(③労働時間!$J$5:$J$155))</f>
        <v>0</v>
      </c>
      <c r="AN26" s="365">
        <f t="shared" si="0"/>
        <v>0</v>
      </c>
    </row>
    <row r="27" spans="2:40" ht="15" customHeight="1">
      <c r="B27" s="715">
        <f>①技術体系!A24</f>
        <v>0</v>
      </c>
      <c r="C27" s="716"/>
      <c r="D27" s="362">
        <f>SUMPRODUCT((③労働時間!$A$5:$A$155=作業体系表!$B27)*(③労働時間!$B$5:$B$155="1月上旬")*(③労働時間!$J$5:$J$155))</f>
        <v>0</v>
      </c>
      <c r="E27" s="362">
        <f>SUMPRODUCT((③労働時間!$A$5:$A$155=作業体系表!$B27)*(③労働時間!$B$5:$B$155="1月中旬")*(③労働時間!$J$5:$J$155))</f>
        <v>0</v>
      </c>
      <c r="F27" s="362">
        <f>SUMPRODUCT((③労働時間!$A$5:$A$155=作業体系表!$B27)*(③労働時間!$B$5:$B$155="1月下旬")*(③労働時間!$J$5:$J$155))</f>
        <v>0</v>
      </c>
      <c r="G27" s="362">
        <f>SUMPRODUCT((③労働時間!$A$5:$A$155=作業体系表!$B27)*(③労働時間!$B$5:$B$155="2月上旬")*(③労働時間!$J$5:$J$155))</f>
        <v>0</v>
      </c>
      <c r="H27" s="362">
        <f>SUMPRODUCT((③労働時間!$A$5:$A$155=作業体系表!$B27)*(③労働時間!$B$5:$B$155="2月中旬")*(③労働時間!$J$5:$J$155))</f>
        <v>0</v>
      </c>
      <c r="I27" s="362">
        <f>SUMPRODUCT((③労働時間!$A$5:$A$155=作業体系表!$B27)*(③労働時間!$B$5:$B$155="2月下旬")*(③労働時間!$J$5:$J$155))</f>
        <v>0</v>
      </c>
      <c r="J27" s="362">
        <f>SUMPRODUCT((③労働時間!$A$5:$A$155=作業体系表!$B27)*(③労働時間!$B$5:$B$155="3月上旬")*(③労働時間!$J$5:$J$155))</f>
        <v>0</v>
      </c>
      <c r="K27" s="362">
        <f>SUMPRODUCT((③労働時間!$A$5:$A$155=作業体系表!$B27)*(③労働時間!$B$5:$B$155="3月中旬")*(③労働時間!$J$5:$J$155))</f>
        <v>0</v>
      </c>
      <c r="L27" s="362">
        <f>SUMPRODUCT((③労働時間!$A$5:$A$155=作業体系表!$B27)*(③労働時間!$B$5:$B$155="3月下旬")*(③労働時間!$J$5:$J$155))</f>
        <v>0</v>
      </c>
      <c r="M27" s="362">
        <f>SUMPRODUCT((③労働時間!$A$5:$A$155=作業体系表!$B27)*(③労働時間!$B$5:$B$155="4月上旬")*(③労働時間!$J$5:$J$155))</f>
        <v>0</v>
      </c>
      <c r="N27" s="362">
        <f>SUMPRODUCT((③労働時間!$A$5:$A$155=作業体系表!$B27)*(③労働時間!$B$5:$B$155="4月中旬")*(③労働時間!$J$5:$J$155))</f>
        <v>0</v>
      </c>
      <c r="O27" s="362">
        <f>SUMPRODUCT((③労働時間!$A$5:$A$155=作業体系表!$B27)*(③労働時間!$B$5:$B$155="4月下旬")*(③労働時間!$J$5:$J$155))</f>
        <v>0</v>
      </c>
      <c r="P27" s="363">
        <f>SUMPRODUCT((③労働時間!$A$5:$A$155=作業体系表!$B27)*(③労働時間!$B$5:$B$155="5月上旬")*(③労働時間!$J$5:$J$155))</f>
        <v>0</v>
      </c>
      <c r="Q27" s="362">
        <f>SUMPRODUCT((③労働時間!$A$5:$A$155=作業体系表!$B27)*(③労働時間!$B$5:$B$155="5月中旬")*(③労働時間!$J$5:$J$155))</f>
        <v>0</v>
      </c>
      <c r="R27" s="362">
        <f>SUMPRODUCT((③労働時間!$A$5:$A$155=作業体系表!$B27)*(③労働時間!$B$5:$B$155="5月下旬")*(③労働時間!$J$5:$J$155))</f>
        <v>0</v>
      </c>
      <c r="S27" s="362">
        <f>SUMPRODUCT((③労働時間!$A$5:$A$155=作業体系表!$B27)*(③労働時間!$B$5:$B$155="6月上旬")*(③労働時間!$J$5:$J$155))</f>
        <v>0</v>
      </c>
      <c r="T27" s="362">
        <f>SUMPRODUCT((③労働時間!$A$5:$A$155=作業体系表!$B27)*(③労働時間!$B$5:$B$155="6月中旬")*(③労働時間!$J$5:$J$155))</f>
        <v>0</v>
      </c>
      <c r="U27" s="362">
        <f>SUMPRODUCT((③労働時間!$A$5:$A$155=作業体系表!$B27)*(③労働時間!$B$5:$B$155="6月下旬")*(③労働時間!$J$5:$J$155))</f>
        <v>0</v>
      </c>
      <c r="V27" s="362">
        <f>SUMPRODUCT((③労働時間!$A$5:$A$155=作業体系表!$B27)*(③労働時間!$B$5:$B$155="7月上旬")*(③労働時間!$J$5:$J$155))</f>
        <v>0</v>
      </c>
      <c r="W27" s="362">
        <f>SUMPRODUCT((③労働時間!$A$5:$A$155=作業体系表!$B27)*(③労働時間!$B$5:$B$155="7月中旬")*(③労働時間!$J$5:$J$155))</f>
        <v>0</v>
      </c>
      <c r="X27" s="362">
        <f>SUMPRODUCT((③労働時間!$A$5:$A$155=作業体系表!$B27)*(③労働時間!$B$5:$B$155="7月下旬")*(③労働時間!$J$5:$J$155))</f>
        <v>0</v>
      </c>
      <c r="Y27" s="362">
        <f>SUMPRODUCT((③労働時間!$A$5:$A$155=作業体系表!$B27)*(③労働時間!$B$5:$B$155="8月上旬")*(③労働時間!$J$5:$J$155))</f>
        <v>0</v>
      </c>
      <c r="Z27" s="362">
        <f>SUMPRODUCT((③労働時間!$A$5:$A$155=作業体系表!$B27)*(③労働時間!$B$5:$B$155="8月中旬")*(③労働時間!$J$5:$J$155))</f>
        <v>0</v>
      </c>
      <c r="AA27" s="362">
        <f>SUMPRODUCT((③労働時間!$A$5:$A$155=作業体系表!$B27)*(③労働時間!$B$5:$B$155="8月下旬")*(③労働時間!$J$5:$J$155))</f>
        <v>0</v>
      </c>
      <c r="AB27" s="363">
        <f>SUMPRODUCT((③労働時間!$A$5:$A$155=作業体系表!$B27)*(③労働時間!$B$5:$B$155="9月上旬")*(③労働時間!$J$5:$J$155))</f>
        <v>0</v>
      </c>
      <c r="AC27" s="362">
        <f>SUMPRODUCT((③労働時間!$A$5:$A$155=作業体系表!$B27)*(③労働時間!$B$5:$B$155="9月中旬")*(③労働時間!$J$5:$J$155))</f>
        <v>0</v>
      </c>
      <c r="AD27" s="362">
        <f>SUMPRODUCT((③労働時間!$A$5:$A$155=作業体系表!$B27)*(③労働時間!$B$5:$B$155="9月下旬")*(③労働時間!$J$5:$J$155))</f>
        <v>0</v>
      </c>
      <c r="AE27" s="362">
        <f>SUMPRODUCT((③労働時間!$A$5:$A$155=作業体系表!$B27)*(③労働時間!$B$5:$B$155="10月上旬")*(③労働時間!$J$5:$J$155))</f>
        <v>0</v>
      </c>
      <c r="AF27" s="362">
        <f>SUMPRODUCT((③労働時間!$A$5:$A$155=作業体系表!$B27)*(③労働時間!$B$5:$B$155="10月中旬")*(③労働時間!$J$5:$J$155))</f>
        <v>0</v>
      </c>
      <c r="AG27" s="362">
        <f>SUMPRODUCT((③労働時間!$A$5:$A$155=作業体系表!$B27)*(③労働時間!$B$5:$B$155="10月下旬")*(③労働時間!$J$5:$J$155))</f>
        <v>0</v>
      </c>
      <c r="AH27" s="362">
        <f>SUMPRODUCT((③労働時間!$A$5:$A$155=作業体系表!$B27)*(③労働時間!$B$5:$B$155="11月上旬")*(③労働時間!$J$5:$J$155))</f>
        <v>0</v>
      </c>
      <c r="AI27" s="362">
        <f>SUMPRODUCT((③労働時間!$A$5:$A$155=作業体系表!$B27)*(③労働時間!$B$5:$B$155="11月中旬")*(③労働時間!$J$5:$J$155))</f>
        <v>0</v>
      </c>
      <c r="AJ27" s="362">
        <f>SUMPRODUCT((③労働時間!$A$5:$A$155=作業体系表!$B27)*(③労働時間!$B$5:$B$155="11月下旬")*(③労働時間!$J$5:$J$155))</f>
        <v>0</v>
      </c>
      <c r="AK27" s="362">
        <f>SUMPRODUCT((③労働時間!$A$5:$A$155=作業体系表!$B27)*(③労働時間!$B$5:$B$155="12月上旬")*(③労働時間!$J$5:$J$155))</f>
        <v>0</v>
      </c>
      <c r="AL27" s="362">
        <f>SUMPRODUCT((③労働時間!$A$5:$A$155=作業体系表!$B27)*(③労働時間!$B$5:$B$155="12月中旬")*(③労働時間!$J$5:$J$155))</f>
        <v>0</v>
      </c>
      <c r="AM27" s="364">
        <f>SUMPRODUCT((③労働時間!$A$5:$A$155=作業体系表!$B27)*(③労働時間!$B$5:$B$155="12月下旬")*(③労働時間!$J$5:$J$155))</f>
        <v>0</v>
      </c>
      <c r="AN27" s="365">
        <f t="shared" si="0"/>
        <v>0</v>
      </c>
    </row>
    <row r="28" spans="2:40" ht="15" customHeight="1">
      <c r="B28" s="715">
        <f>①技術体系!A25</f>
        <v>0</v>
      </c>
      <c r="C28" s="716"/>
      <c r="D28" s="362">
        <f>SUMPRODUCT((③労働時間!$A$5:$A$155=作業体系表!$B28)*(③労働時間!$B$5:$B$155="1月上旬")*(③労働時間!$J$5:$J$155))</f>
        <v>0</v>
      </c>
      <c r="E28" s="362">
        <f>SUMPRODUCT((③労働時間!$A$5:$A$155=作業体系表!$B28)*(③労働時間!$B$5:$B$155="1月中旬")*(③労働時間!$J$5:$J$155))</f>
        <v>0</v>
      </c>
      <c r="F28" s="362">
        <f>SUMPRODUCT((③労働時間!$A$5:$A$155=作業体系表!$B28)*(③労働時間!$B$5:$B$155="1月下旬")*(③労働時間!$J$5:$J$155))</f>
        <v>0</v>
      </c>
      <c r="G28" s="362">
        <f>SUMPRODUCT((③労働時間!$A$5:$A$155=作業体系表!$B28)*(③労働時間!$B$5:$B$155="2月上旬")*(③労働時間!$J$5:$J$155))</f>
        <v>0</v>
      </c>
      <c r="H28" s="362">
        <f>SUMPRODUCT((③労働時間!$A$5:$A$155=作業体系表!$B28)*(③労働時間!$B$5:$B$155="2月中旬")*(③労働時間!$J$5:$J$155))</f>
        <v>0</v>
      </c>
      <c r="I28" s="362">
        <f>SUMPRODUCT((③労働時間!$A$5:$A$155=作業体系表!$B28)*(③労働時間!$B$5:$B$155="2月下旬")*(③労働時間!$J$5:$J$155))</f>
        <v>0</v>
      </c>
      <c r="J28" s="362">
        <f>SUMPRODUCT((③労働時間!$A$5:$A$155=作業体系表!$B28)*(③労働時間!$B$5:$B$155="3月上旬")*(③労働時間!$J$5:$J$155))</f>
        <v>0</v>
      </c>
      <c r="K28" s="362">
        <f>SUMPRODUCT((③労働時間!$A$5:$A$155=作業体系表!$B28)*(③労働時間!$B$5:$B$155="3月中旬")*(③労働時間!$J$5:$J$155))</f>
        <v>0</v>
      </c>
      <c r="L28" s="362">
        <f>SUMPRODUCT((③労働時間!$A$5:$A$155=作業体系表!$B28)*(③労働時間!$B$5:$B$155="3月下旬")*(③労働時間!$J$5:$J$155))</f>
        <v>0</v>
      </c>
      <c r="M28" s="362">
        <f>SUMPRODUCT((③労働時間!$A$5:$A$155=作業体系表!$B28)*(③労働時間!$B$5:$B$155="4月上旬")*(③労働時間!$J$5:$J$155))</f>
        <v>0</v>
      </c>
      <c r="N28" s="362">
        <f>SUMPRODUCT((③労働時間!$A$5:$A$155=作業体系表!$B28)*(③労働時間!$B$5:$B$155="4月中旬")*(③労働時間!$J$5:$J$155))</f>
        <v>0</v>
      </c>
      <c r="O28" s="362">
        <f>SUMPRODUCT((③労働時間!$A$5:$A$155=作業体系表!$B28)*(③労働時間!$B$5:$B$155="4月下旬")*(③労働時間!$J$5:$J$155))</f>
        <v>0</v>
      </c>
      <c r="P28" s="363">
        <f>SUMPRODUCT((③労働時間!$A$5:$A$155=作業体系表!$B28)*(③労働時間!$B$5:$B$155="5月上旬")*(③労働時間!$J$5:$J$155))</f>
        <v>0</v>
      </c>
      <c r="Q28" s="362">
        <f>SUMPRODUCT((③労働時間!$A$5:$A$155=作業体系表!$B28)*(③労働時間!$B$5:$B$155="5月中旬")*(③労働時間!$J$5:$J$155))</f>
        <v>0</v>
      </c>
      <c r="R28" s="362">
        <f>SUMPRODUCT((③労働時間!$A$5:$A$155=作業体系表!$B28)*(③労働時間!$B$5:$B$155="5月下旬")*(③労働時間!$J$5:$J$155))</f>
        <v>0</v>
      </c>
      <c r="S28" s="362">
        <f>SUMPRODUCT((③労働時間!$A$5:$A$155=作業体系表!$B28)*(③労働時間!$B$5:$B$155="6月上旬")*(③労働時間!$J$5:$J$155))</f>
        <v>0</v>
      </c>
      <c r="T28" s="362">
        <f>SUMPRODUCT((③労働時間!$A$5:$A$155=作業体系表!$B28)*(③労働時間!$B$5:$B$155="6月中旬")*(③労働時間!$J$5:$J$155))</f>
        <v>0</v>
      </c>
      <c r="U28" s="362">
        <f>SUMPRODUCT((③労働時間!$A$5:$A$155=作業体系表!$B28)*(③労働時間!$B$5:$B$155="6月下旬")*(③労働時間!$J$5:$J$155))</f>
        <v>0</v>
      </c>
      <c r="V28" s="362">
        <f>SUMPRODUCT((③労働時間!$A$5:$A$155=作業体系表!$B28)*(③労働時間!$B$5:$B$155="7月上旬")*(③労働時間!$J$5:$J$155))</f>
        <v>0</v>
      </c>
      <c r="W28" s="362">
        <f>SUMPRODUCT((③労働時間!$A$5:$A$155=作業体系表!$B28)*(③労働時間!$B$5:$B$155="7月中旬")*(③労働時間!$J$5:$J$155))</f>
        <v>0</v>
      </c>
      <c r="X28" s="362">
        <f>SUMPRODUCT((③労働時間!$A$5:$A$155=作業体系表!$B28)*(③労働時間!$B$5:$B$155="7月下旬")*(③労働時間!$J$5:$J$155))</f>
        <v>0</v>
      </c>
      <c r="Y28" s="362">
        <f>SUMPRODUCT((③労働時間!$A$5:$A$155=作業体系表!$B28)*(③労働時間!$B$5:$B$155="8月上旬")*(③労働時間!$J$5:$J$155))</f>
        <v>0</v>
      </c>
      <c r="Z28" s="362">
        <f>SUMPRODUCT((③労働時間!$A$5:$A$155=作業体系表!$B28)*(③労働時間!$B$5:$B$155="8月中旬")*(③労働時間!$J$5:$J$155))</f>
        <v>0</v>
      </c>
      <c r="AA28" s="362">
        <f>SUMPRODUCT((③労働時間!$A$5:$A$155=作業体系表!$B28)*(③労働時間!$B$5:$B$155="8月下旬")*(③労働時間!$J$5:$J$155))</f>
        <v>0</v>
      </c>
      <c r="AB28" s="363">
        <f>SUMPRODUCT((③労働時間!$A$5:$A$155=作業体系表!$B28)*(③労働時間!$B$5:$B$155="9月上旬")*(③労働時間!$J$5:$J$155))</f>
        <v>0</v>
      </c>
      <c r="AC28" s="362">
        <f>SUMPRODUCT((③労働時間!$A$5:$A$155=作業体系表!$B28)*(③労働時間!$B$5:$B$155="9月中旬")*(③労働時間!$J$5:$J$155))</f>
        <v>0</v>
      </c>
      <c r="AD28" s="362">
        <f>SUMPRODUCT((③労働時間!$A$5:$A$155=作業体系表!$B28)*(③労働時間!$B$5:$B$155="9月下旬")*(③労働時間!$J$5:$J$155))</f>
        <v>0</v>
      </c>
      <c r="AE28" s="362">
        <f>SUMPRODUCT((③労働時間!$A$5:$A$155=作業体系表!$B28)*(③労働時間!$B$5:$B$155="10月上旬")*(③労働時間!$J$5:$J$155))</f>
        <v>0</v>
      </c>
      <c r="AF28" s="362">
        <f>SUMPRODUCT((③労働時間!$A$5:$A$155=作業体系表!$B28)*(③労働時間!$B$5:$B$155="10月中旬")*(③労働時間!$J$5:$J$155))</f>
        <v>0</v>
      </c>
      <c r="AG28" s="362">
        <f>SUMPRODUCT((③労働時間!$A$5:$A$155=作業体系表!$B28)*(③労働時間!$B$5:$B$155="10月下旬")*(③労働時間!$J$5:$J$155))</f>
        <v>0</v>
      </c>
      <c r="AH28" s="362">
        <f>SUMPRODUCT((③労働時間!$A$5:$A$155=作業体系表!$B28)*(③労働時間!$B$5:$B$155="11月上旬")*(③労働時間!$J$5:$J$155))</f>
        <v>0</v>
      </c>
      <c r="AI28" s="362">
        <f>SUMPRODUCT((③労働時間!$A$5:$A$155=作業体系表!$B28)*(③労働時間!$B$5:$B$155="11月中旬")*(③労働時間!$J$5:$J$155))</f>
        <v>0</v>
      </c>
      <c r="AJ28" s="362">
        <f>SUMPRODUCT((③労働時間!$A$5:$A$155=作業体系表!$B28)*(③労働時間!$B$5:$B$155="11月下旬")*(③労働時間!$J$5:$J$155))</f>
        <v>0</v>
      </c>
      <c r="AK28" s="362">
        <f>SUMPRODUCT((③労働時間!$A$5:$A$155=作業体系表!$B28)*(③労働時間!$B$5:$B$155="12月上旬")*(③労働時間!$J$5:$J$155))</f>
        <v>0</v>
      </c>
      <c r="AL28" s="362">
        <f>SUMPRODUCT((③労働時間!$A$5:$A$155=作業体系表!$B28)*(③労働時間!$B$5:$B$155="12月中旬")*(③労働時間!$J$5:$J$155))</f>
        <v>0</v>
      </c>
      <c r="AM28" s="364">
        <f>SUMPRODUCT((③労働時間!$A$5:$A$155=作業体系表!$B28)*(③労働時間!$B$5:$B$155="12月下旬")*(③労働時間!$J$5:$J$155))</f>
        <v>0</v>
      </c>
      <c r="AN28" s="366">
        <f t="shared" si="0"/>
        <v>0</v>
      </c>
    </row>
    <row r="29" spans="2:40" s="424" customFormat="1" ht="12" customHeight="1">
      <c r="B29" s="722" t="s">
        <v>132</v>
      </c>
      <c r="C29" s="423" t="s">
        <v>139</v>
      </c>
      <c r="D29" s="369">
        <f>SUMPRODUCT((③労働時間!$B$5:$B$155="1月上旬")*(③労働時間!$Q$5:$Q$155))</f>
        <v>26</v>
      </c>
      <c r="E29" s="370">
        <f>SUMPRODUCT((③労働時間!$B$5:$B$155="1月中旬")*(③労働時間!$Q$5:$Q$155))</f>
        <v>23</v>
      </c>
      <c r="F29" s="370">
        <f>SUMPRODUCT((③労働時間!$B$5:$B$155="1月下旬")*(③労働時間!$Q$5:$Q$155))</f>
        <v>25</v>
      </c>
      <c r="G29" s="370">
        <f>SUMPRODUCT((③労働時間!$B$5:$B$155="2月上旬")*(③労働時間!$Q$5:$Q$155))</f>
        <v>24</v>
      </c>
      <c r="H29" s="370">
        <f>SUMPRODUCT((③労働時間!$B$5:$B$155="2月中旬")*(③労働時間!$Q$5:$Q$155))</f>
        <v>25</v>
      </c>
      <c r="I29" s="370">
        <f>SUMPRODUCT((③労働時間!$B$5:$B$155="2月下旬")*(③労働時間!$Q$5:$Q$155))</f>
        <v>23</v>
      </c>
      <c r="J29" s="370">
        <f>SUMPRODUCT((③労働時間!$B$5:$B$155="3月上旬")*(③労働時間!$Q$5:$Q$155))</f>
        <v>72</v>
      </c>
      <c r="K29" s="370">
        <f>SUMPRODUCT((③労働時間!$B$5:$B$155="3月中旬")*(③労働時間!$Q$5:$Q$155))</f>
        <v>75</v>
      </c>
      <c r="L29" s="370">
        <f>SUMPRODUCT((③労働時間!$B$5:$B$155="3月下旬")*(③労働時間!$Q$5:$Q$155))</f>
        <v>91</v>
      </c>
      <c r="M29" s="370">
        <f>SUMPRODUCT((③労働時間!$B$5:$B$155="4月上旬")*(③労働時間!$Q$5:$Q$155))</f>
        <v>97</v>
      </c>
      <c r="N29" s="370">
        <f>SUMPRODUCT((③労働時間!$B$5:$B$155="4月中旬")*(③労働時間!$Q$5:$Q$155))</f>
        <v>94</v>
      </c>
      <c r="O29" s="370">
        <f>SUMPRODUCT((③労働時間!$B$5:$B$155="4月下旬")*(③労働時間!$Q$5:$Q$155))</f>
        <v>96</v>
      </c>
      <c r="P29" s="369">
        <f>SUMPRODUCT((③労働時間!$B$5:$B$155="5月上旬")*(③労働時間!$Q$5:$Q$155))</f>
        <v>95</v>
      </c>
      <c r="Q29" s="370">
        <f>SUMPRODUCT((③労働時間!$B$5:$B$155="5月中旬")*(③労働時間!$Q$5:$Q$155))</f>
        <v>88</v>
      </c>
      <c r="R29" s="370">
        <f>SUMPRODUCT((③労働時間!$B$5:$B$155="5月下旬")*(③労働時間!$Q$5:$Q$155))</f>
        <v>96</v>
      </c>
      <c r="S29" s="370">
        <f>SUMPRODUCT((③労働時間!$B$5:$B$155="6月上旬")*(③労働時間!$Q$5:$Q$155))</f>
        <v>97</v>
      </c>
      <c r="T29" s="370">
        <f>SUMPRODUCT((③労働時間!$B$5:$B$155="6月中旬")*(③労働時間!$Q$5:$Q$155))</f>
        <v>82</v>
      </c>
      <c r="U29" s="370">
        <f>SUMPRODUCT((③労働時間!$B$5:$B$155="6月下旬")*(③労働時間!$Q$5:$Q$155))</f>
        <v>80</v>
      </c>
      <c r="V29" s="370">
        <f>SUMPRODUCT((③労働時間!$B$5:$B$155="7月上旬")*(③労働時間!$Q$5:$Q$155))</f>
        <v>45</v>
      </c>
      <c r="W29" s="370">
        <f>SUMPRODUCT((③労働時間!$B$5:$B$155="7月中旬")*(③労働時間!$Q$5:$Q$155))</f>
        <v>0</v>
      </c>
      <c r="X29" s="370">
        <f>SUMPRODUCT((③労働時間!$B$5:$B$155="7月下旬")*(③労働時間!$Q$5:$Q$155))</f>
        <v>0</v>
      </c>
      <c r="Y29" s="370">
        <f>SUMPRODUCT((③労働時間!$B$5:$B$155="8月上旬")*(③労働時間!$Q$5:$Q$155))</f>
        <v>0</v>
      </c>
      <c r="Z29" s="370">
        <f>SUMPRODUCT((③労働時間!$B$5:$B$155="8月中旬")*(③労働時間!$Q$5:$Q$155))</f>
        <v>0</v>
      </c>
      <c r="AA29" s="370">
        <f>SUMPRODUCT((③労働時間!$B$5:$B$155="8月下旬")*(③労働時間!$Q$5:$Q$155))</f>
        <v>0</v>
      </c>
      <c r="AB29" s="369">
        <f>SUMPRODUCT((③労働時間!$B$5:$B$155="9月上旬")*(③労働時間!$Q$5:$Q$155))</f>
        <v>0</v>
      </c>
      <c r="AC29" s="370">
        <f>SUMPRODUCT((③労働時間!$B$5:$B$155="9月中旬")*(③労働時間!$Q$5:$Q$155))</f>
        <v>0</v>
      </c>
      <c r="AD29" s="370">
        <f>SUMPRODUCT((③労働時間!$B$5:$B$155="9月下旬")*(③労働時間!$Q$5:$Q$155))</f>
        <v>0</v>
      </c>
      <c r="AE29" s="370">
        <f>SUMPRODUCT((③労働時間!$B$5:$B$155="10月上旬")*(③労働時間!$Q$5:$Q$155))</f>
        <v>0</v>
      </c>
      <c r="AF29" s="370">
        <f>SUMPRODUCT((③労働時間!$B$5:$B$155="10月中旬")*(③労働時間!$Q$5:$Q$155))</f>
        <v>0</v>
      </c>
      <c r="AG29" s="370">
        <f>SUMPRODUCT((③労働時間!$B$5:$B$155="10月下旬")*(③労働時間!$Q$5:$Q$155))</f>
        <v>0</v>
      </c>
      <c r="AH29" s="370">
        <f>SUMPRODUCT((③労働時間!$B$5:$B$155="11月上旬")*(③労働時間!$Q$5:$Q$155))</f>
        <v>0</v>
      </c>
      <c r="AI29" s="370">
        <f>SUMPRODUCT((③労働時間!$B$5:$B$155="11月中旬")*(③労働時間!$Q$5:$Q$155))</f>
        <v>25</v>
      </c>
      <c r="AJ29" s="370">
        <f>SUMPRODUCT((③労働時間!$B$5:$B$155="11月下旬")*(③労働時間!$Q$5:$Q$155))</f>
        <v>16</v>
      </c>
      <c r="AK29" s="370">
        <f>SUMPRODUCT((③労働時間!$B$5:$B$155="12月上旬")*(③労働時間!$Q$5:$Q$155))</f>
        <v>7</v>
      </c>
      <c r="AL29" s="370">
        <f>SUMPRODUCT((③労働時間!$B$5:$B$155="12月中旬")*(③労働時間!$Q$5:$Q$155))</f>
        <v>24</v>
      </c>
      <c r="AM29" s="370">
        <f>SUMPRODUCT((③労働時間!$B$5:$B$155="12月下旬")*(③労働時間!$Q$5:$Q$155))</f>
        <v>17</v>
      </c>
      <c r="AN29" s="371">
        <f>SUM(D29:AM29)</f>
        <v>1343</v>
      </c>
    </row>
    <row r="30" spans="2:40" s="424" customFormat="1" ht="12" customHeight="1">
      <c r="B30" s="722"/>
      <c r="C30" s="425" t="s">
        <v>140</v>
      </c>
      <c r="D30" s="372">
        <f>SUMPRODUCT((③労働時間!$B$5:$B$155="1月上旬")*(③労働時間!$R$5:$R$155))</f>
        <v>0</v>
      </c>
      <c r="E30" s="373">
        <f>SUMPRODUCT((③労働時間!$B$5:$B$155="1月中旬")*(③労働時間!$R$5:$R$155))</f>
        <v>0</v>
      </c>
      <c r="F30" s="373">
        <f>SUMPRODUCT((③労働時間!$B$5:$B$155="1月下旬")*(③労働時間!$R$5:$R$155))</f>
        <v>0</v>
      </c>
      <c r="G30" s="373">
        <f>SUMPRODUCT((③労働時間!$B$5:$B$155="2月上旬")*(③労働時間!$R$5:$R$155))</f>
        <v>0</v>
      </c>
      <c r="H30" s="373">
        <f>SUMPRODUCT((③労働時間!$B$5:$B$155="2月中旬")*(③労働時間!$R$5:$R$155))</f>
        <v>0</v>
      </c>
      <c r="I30" s="373">
        <f>SUMPRODUCT((③労働時間!$B$5:$B$155="2月下旬")*(③労働時間!$R$5:$R$155))</f>
        <v>0</v>
      </c>
      <c r="J30" s="373">
        <f>SUMPRODUCT((③労働時間!$B$5:$B$155="3月上旬")*(③労働時間!$R$5:$R$155))</f>
        <v>0</v>
      </c>
      <c r="K30" s="373">
        <f>SUMPRODUCT((③労働時間!$B$5:$B$155="3月中旬")*(③労働時間!$R$5:$R$155))</f>
        <v>0</v>
      </c>
      <c r="L30" s="373">
        <f>SUMPRODUCT((③労働時間!$B$5:$B$155="3月下旬")*(③労働時間!$R$5:$R$155))</f>
        <v>0</v>
      </c>
      <c r="M30" s="373">
        <f>SUMPRODUCT((③労働時間!$B$5:$B$155="4月上旬")*(③労働時間!$R$5:$R$155))</f>
        <v>0</v>
      </c>
      <c r="N30" s="373">
        <f>SUMPRODUCT((③労働時間!$B$5:$B$155="4月中旬")*(③労働時間!$R$5:$R$155))</f>
        <v>0</v>
      </c>
      <c r="O30" s="373">
        <f>SUMPRODUCT((③労働時間!$B$5:$B$155="4月下旬")*(③労働時間!$R$5:$R$155))</f>
        <v>0</v>
      </c>
      <c r="P30" s="372">
        <f>SUMPRODUCT((③労働時間!$B$5:$B$155="5月上旬")*(③労働時間!$R$5:$R$155))</f>
        <v>0</v>
      </c>
      <c r="Q30" s="373">
        <f>SUMPRODUCT((③労働時間!$B$5:$B$155="5月中旬")*(③労働時間!$R$5:$R$155))</f>
        <v>0</v>
      </c>
      <c r="R30" s="373">
        <f>SUMPRODUCT((③労働時間!$B$5:$B$155="5月下旬")*(③労働時間!$R$5:$R$155))</f>
        <v>0</v>
      </c>
      <c r="S30" s="373">
        <f>SUMPRODUCT((③労働時間!$B$5:$B$155="6月上旬")*(③労働時間!$R$5:$R$155))</f>
        <v>0</v>
      </c>
      <c r="T30" s="373">
        <f>SUMPRODUCT((③労働時間!$B$5:$B$155="6月中旬")*(③労働時間!$R$5:$R$155))</f>
        <v>0</v>
      </c>
      <c r="U30" s="373">
        <f>SUMPRODUCT((③労働時間!$B$5:$B$155="6月下旬")*(③労働時間!$R$5:$R$155))</f>
        <v>0</v>
      </c>
      <c r="V30" s="373">
        <f>SUMPRODUCT((③労働時間!$B$5:$B$155="7月上旬")*(③労働時間!$R$5:$R$155))</f>
        <v>0</v>
      </c>
      <c r="W30" s="373">
        <f>SUMPRODUCT((③労働時間!$B$5:$B$155="7月中旬")*(③労働時間!$R$5:$R$155))</f>
        <v>0</v>
      </c>
      <c r="X30" s="373">
        <f>SUMPRODUCT((③労働時間!$B$5:$B$155="7月下旬")*(③労働時間!$R$5:$R$155))</f>
        <v>0</v>
      </c>
      <c r="Y30" s="373">
        <f>SUMPRODUCT((③労働時間!$B$5:$B$155="8月上旬")*(③労働時間!$R$5:$R$155))</f>
        <v>0</v>
      </c>
      <c r="Z30" s="373">
        <f>SUMPRODUCT((③労働時間!$B$5:$B$155="8月中旬")*(③労働時間!$R$5:$R$155))</f>
        <v>0</v>
      </c>
      <c r="AA30" s="373">
        <f>SUMPRODUCT((③労働時間!$B$5:$B$155="8月下旬")*(③労働時間!$R$5:$R$155))</f>
        <v>0</v>
      </c>
      <c r="AB30" s="372">
        <f>SUMPRODUCT((③労働時間!$B$5:$B$155="9月上旬")*(③労働時間!$R$5:$R$155))</f>
        <v>0</v>
      </c>
      <c r="AC30" s="373">
        <f>SUMPRODUCT((③労働時間!$B$5:$B$155="9月中旬")*(③労働時間!$R$5:$R$155))</f>
        <v>0</v>
      </c>
      <c r="AD30" s="373">
        <f>SUMPRODUCT((③労働時間!$B$5:$B$155="9月下旬")*(③労働時間!$R$5:$R$155))</f>
        <v>0</v>
      </c>
      <c r="AE30" s="373">
        <f>SUMPRODUCT((③労働時間!$B$5:$B$155="10月上旬")*(③労働時間!$R$5:$R$155))</f>
        <v>0</v>
      </c>
      <c r="AF30" s="373">
        <f>SUMPRODUCT((③労働時間!$B$5:$B$155="10月中旬")*(③労働時間!$R$5:$R$155))</f>
        <v>0</v>
      </c>
      <c r="AG30" s="373">
        <f>SUMPRODUCT((③労働時間!$B$5:$B$155="10月下旬")*(③労働時間!$R$5:$R$155))</f>
        <v>0</v>
      </c>
      <c r="AH30" s="373">
        <f>SUMPRODUCT((③労働時間!$B$5:$B$155="11月上旬")*(③労働時間!$R$5:$R$155))</f>
        <v>0</v>
      </c>
      <c r="AI30" s="373">
        <f>SUMPRODUCT((③労働時間!$B$5:$B$155="11月中旬")*(③労働時間!$R$5:$R$155))</f>
        <v>0</v>
      </c>
      <c r="AJ30" s="373">
        <f>SUMPRODUCT((③労働時間!$B$5:$B$155="11月下旬")*(③労働時間!$R$5:$R$155))</f>
        <v>0</v>
      </c>
      <c r="AK30" s="373">
        <f>SUMPRODUCT((③労働時間!$B$5:$B$155="12月上旬")*(③労働時間!$R$5:$R$155))</f>
        <v>0</v>
      </c>
      <c r="AL30" s="373">
        <f>SUMPRODUCT((③労働時間!$B$5:$B$155="12月中旬")*(③労働時間!$R$5:$R$155))</f>
        <v>0</v>
      </c>
      <c r="AM30" s="373">
        <f>SUMPRODUCT((③労働時間!$B$5:$B$155="12月下旬")*(③労働時間!$R$5:$R$155))</f>
        <v>0</v>
      </c>
      <c r="AN30" s="374">
        <f>SUM(D30:AM30)</f>
        <v>0</v>
      </c>
    </row>
    <row r="31" spans="2:40" ht="12" customHeight="1">
      <c r="B31" s="722"/>
      <c r="C31" s="426" t="s">
        <v>141</v>
      </c>
      <c r="D31" s="368">
        <f>SUM(D9:D28)</f>
        <v>26</v>
      </c>
      <c r="E31" s="367">
        <f t="shared" ref="E31:U31" si="1">SUM(E9:E28)</f>
        <v>23</v>
      </c>
      <c r="F31" s="367">
        <f t="shared" si="1"/>
        <v>25</v>
      </c>
      <c r="G31" s="367">
        <f t="shared" si="1"/>
        <v>24</v>
      </c>
      <c r="H31" s="367">
        <f t="shared" si="1"/>
        <v>25</v>
      </c>
      <c r="I31" s="367">
        <f t="shared" si="1"/>
        <v>23</v>
      </c>
      <c r="J31" s="367">
        <f t="shared" si="1"/>
        <v>72</v>
      </c>
      <c r="K31" s="367">
        <f t="shared" si="1"/>
        <v>75</v>
      </c>
      <c r="L31" s="367">
        <f t="shared" si="1"/>
        <v>91</v>
      </c>
      <c r="M31" s="367">
        <f t="shared" si="1"/>
        <v>97</v>
      </c>
      <c r="N31" s="367">
        <f t="shared" si="1"/>
        <v>94</v>
      </c>
      <c r="O31" s="367">
        <f t="shared" si="1"/>
        <v>96</v>
      </c>
      <c r="P31" s="368">
        <f t="shared" si="1"/>
        <v>95</v>
      </c>
      <c r="Q31" s="367">
        <f t="shared" si="1"/>
        <v>88</v>
      </c>
      <c r="R31" s="367">
        <f t="shared" si="1"/>
        <v>96</v>
      </c>
      <c r="S31" s="367">
        <f t="shared" si="1"/>
        <v>97</v>
      </c>
      <c r="T31" s="367">
        <f t="shared" si="1"/>
        <v>82</v>
      </c>
      <c r="U31" s="367">
        <f t="shared" si="1"/>
        <v>80</v>
      </c>
      <c r="V31" s="367">
        <f t="shared" ref="V31:AM31" si="2">SUM(V9:V28)</f>
        <v>45</v>
      </c>
      <c r="W31" s="367">
        <f t="shared" si="2"/>
        <v>0</v>
      </c>
      <c r="X31" s="367">
        <f t="shared" si="2"/>
        <v>0</v>
      </c>
      <c r="Y31" s="367">
        <f t="shared" si="2"/>
        <v>0</v>
      </c>
      <c r="Z31" s="367">
        <f t="shared" si="2"/>
        <v>0</v>
      </c>
      <c r="AA31" s="367">
        <f t="shared" si="2"/>
        <v>0</v>
      </c>
      <c r="AB31" s="368">
        <f t="shared" si="2"/>
        <v>0</v>
      </c>
      <c r="AC31" s="367">
        <f t="shared" si="2"/>
        <v>0</v>
      </c>
      <c r="AD31" s="367">
        <f t="shared" si="2"/>
        <v>0</v>
      </c>
      <c r="AE31" s="367">
        <f t="shared" si="2"/>
        <v>0</v>
      </c>
      <c r="AF31" s="367">
        <f t="shared" si="2"/>
        <v>0</v>
      </c>
      <c r="AG31" s="367">
        <f t="shared" si="2"/>
        <v>0</v>
      </c>
      <c r="AH31" s="367">
        <f t="shared" si="2"/>
        <v>0</v>
      </c>
      <c r="AI31" s="367">
        <f t="shared" si="2"/>
        <v>25</v>
      </c>
      <c r="AJ31" s="367">
        <f t="shared" si="2"/>
        <v>16</v>
      </c>
      <c r="AK31" s="367">
        <f t="shared" si="2"/>
        <v>7</v>
      </c>
      <c r="AL31" s="367">
        <f t="shared" si="2"/>
        <v>24</v>
      </c>
      <c r="AM31" s="367">
        <f t="shared" si="2"/>
        <v>17</v>
      </c>
      <c r="AN31" s="375">
        <f>SUM(D31:AM31)</f>
        <v>1343</v>
      </c>
    </row>
    <row r="32" spans="2:40" ht="12" customHeight="1" thickBot="1">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2:40" s="41" customFormat="1" ht="20.100000000000001" customHeight="1" thickBot="1">
      <c r="C33" s="427">
        <f>①技術体系!E2*100</f>
        <v>30</v>
      </c>
      <c r="D33" s="428" t="s">
        <v>434</v>
      </c>
      <c r="E33" s="41" t="s">
        <v>431</v>
      </c>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429"/>
    </row>
    <row r="34" spans="2:40" s="41" customFormat="1" ht="20.100000000000001" customHeight="1" thickBot="1">
      <c r="B34" s="717" t="s">
        <v>432</v>
      </c>
      <c r="C34" s="718"/>
      <c r="D34" s="592">
        <f>D31*$C$33/10</f>
        <v>78</v>
      </c>
      <c r="E34" s="593">
        <f t="shared" ref="E34:AM34" si="3">E31*$C$33/10</f>
        <v>69</v>
      </c>
      <c r="F34" s="592">
        <f t="shared" si="3"/>
        <v>75</v>
      </c>
      <c r="G34" s="594">
        <f t="shared" si="3"/>
        <v>72</v>
      </c>
      <c r="H34" s="593">
        <f t="shared" si="3"/>
        <v>75</v>
      </c>
      <c r="I34" s="595">
        <f t="shared" si="3"/>
        <v>69</v>
      </c>
      <c r="J34" s="592">
        <f t="shared" si="3"/>
        <v>216</v>
      </c>
      <c r="K34" s="593">
        <f t="shared" si="3"/>
        <v>225</v>
      </c>
      <c r="L34" s="592">
        <f t="shared" si="3"/>
        <v>273</v>
      </c>
      <c r="M34" s="594">
        <f t="shared" si="3"/>
        <v>291</v>
      </c>
      <c r="N34" s="593">
        <f t="shared" si="3"/>
        <v>282</v>
      </c>
      <c r="O34" s="595">
        <f t="shared" si="3"/>
        <v>288</v>
      </c>
      <c r="P34" s="592">
        <f t="shared" si="3"/>
        <v>285</v>
      </c>
      <c r="Q34" s="593">
        <f t="shared" si="3"/>
        <v>264</v>
      </c>
      <c r="R34" s="592">
        <f t="shared" si="3"/>
        <v>288</v>
      </c>
      <c r="S34" s="594">
        <f t="shared" si="3"/>
        <v>291</v>
      </c>
      <c r="T34" s="593">
        <f t="shared" si="3"/>
        <v>246</v>
      </c>
      <c r="U34" s="595">
        <f t="shared" si="3"/>
        <v>240</v>
      </c>
      <c r="V34" s="592">
        <f t="shared" si="3"/>
        <v>135</v>
      </c>
      <c r="W34" s="593">
        <f t="shared" si="3"/>
        <v>0</v>
      </c>
      <c r="X34" s="592">
        <f t="shared" si="3"/>
        <v>0</v>
      </c>
      <c r="Y34" s="594">
        <f t="shared" si="3"/>
        <v>0</v>
      </c>
      <c r="Z34" s="593">
        <f t="shared" si="3"/>
        <v>0</v>
      </c>
      <c r="AA34" s="595">
        <f t="shared" si="3"/>
        <v>0</v>
      </c>
      <c r="AB34" s="592">
        <f t="shared" si="3"/>
        <v>0</v>
      </c>
      <c r="AC34" s="593">
        <f t="shared" si="3"/>
        <v>0</v>
      </c>
      <c r="AD34" s="592">
        <f t="shared" si="3"/>
        <v>0</v>
      </c>
      <c r="AE34" s="594">
        <f t="shared" si="3"/>
        <v>0</v>
      </c>
      <c r="AF34" s="593">
        <f t="shared" si="3"/>
        <v>0</v>
      </c>
      <c r="AG34" s="595">
        <f t="shared" si="3"/>
        <v>0</v>
      </c>
      <c r="AH34" s="592">
        <f t="shared" si="3"/>
        <v>0</v>
      </c>
      <c r="AI34" s="593">
        <f t="shared" si="3"/>
        <v>75</v>
      </c>
      <c r="AJ34" s="592">
        <f t="shared" si="3"/>
        <v>48</v>
      </c>
      <c r="AK34" s="594">
        <f t="shared" si="3"/>
        <v>21</v>
      </c>
      <c r="AL34" s="593">
        <f t="shared" si="3"/>
        <v>72</v>
      </c>
      <c r="AM34" s="595">
        <f t="shared" si="3"/>
        <v>51</v>
      </c>
      <c r="AN34" s="596">
        <f t="shared" ref="AN34:AN36" si="4">SUM(D34:AM34)</f>
        <v>4029</v>
      </c>
    </row>
    <row r="35" spans="2:40" s="41" customFormat="1" ht="20.100000000000001" customHeight="1" thickTop="1">
      <c r="B35" s="719" t="s">
        <v>455</v>
      </c>
      <c r="C35" s="430" t="s">
        <v>435</v>
      </c>
      <c r="D35" s="582">
        <v>150</v>
      </c>
      <c r="E35" s="583">
        <v>150</v>
      </c>
      <c r="F35" s="582">
        <v>150</v>
      </c>
      <c r="G35" s="584">
        <v>150</v>
      </c>
      <c r="H35" s="585">
        <v>150</v>
      </c>
      <c r="I35" s="586">
        <v>150</v>
      </c>
      <c r="J35" s="587">
        <v>150</v>
      </c>
      <c r="K35" s="585">
        <v>150</v>
      </c>
      <c r="L35" s="587">
        <v>150</v>
      </c>
      <c r="M35" s="584">
        <v>150</v>
      </c>
      <c r="N35" s="585">
        <v>150</v>
      </c>
      <c r="O35" s="586">
        <v>150</v>
      </c>
      <c r="P35" s="587">
        <v>150</v>
      </c>
      <c r="Q35" s="585">
        <v>150</v>
      </c>
      <c r="R35" s="587">
        <v>150</v>
      </c>
      <c r="S35" s="584">
        <v>150</v>
      </c>
      <c r="T35" s="585">
        <v>150</v>
      </c>
      <c r="U35" s="586">
        <v>150</v>
      </c>
      <c r="V35" s="582">
        <v>150</v>
      </c>
      <c r="W35" s="583">
        <v>150</v>
      </c>
      <c r="X35" s="582">
        <v>150</v>
      </c>
      <c r="Y35" s="588">
        <v>150</v>
      </c>
      <c r="Z35" s="583">
        <v>150</v>
      </c>
      <c r="AA35" s="589">
        <v>150</v>
      </c>
      <c r="AB35" s="582">
        <v>150</v>
      </c>
      <c r="AC35" s="583">
        <v>150</v>
      </c>
      <c r="AD35" s="582">
        <v>150</v>
      </c>
      <c r="AE35" s="588">
        <v>150</v>
      </c>
      <c r="AF35" s="583">
        <v>150</v>
      </c>
      <c r="AG35" s="589">
        <v>150</v>
      </c>
      <c r="AH35" s="582">
        <v>150</v>
      </c>
      <c r="AI35" s="583">
        <v>150</v>
      </c>
      <c r="AJ35" s="582">
        <v>150</v>
      </c>
      <c r="AK35" s="588">
        <v>150</v>
      </c>
      <c r="AL35" s="583">
        <v>150</v>
      </c>
      <c r="AM35" s="589">
        <v>150</v>
      </c>
      <c r="AN35" s="590">
        <f t="shared" si="4"/>
        <v>5400</v>
      </c>
    </row>
    <row r="36" spans="2:40" s="41" customFormat="1" ht="20.100000000000001" customHeight="1" thickBot="1">
      <c r="B36" s="720"/>
      <c r="C36" s="597" t="s">
        <v>518</v>
      </c>
      <c r="D36" s="584"/>
      <c r="E36" s="585"/>
      <c r="F36" s="586"/>
      <c r="G36" s="587"/>
      <c r="H36" s="585"/>
      <c r="I36" s="587"/>
      <c r="J36" s="584">
        <v>66</v>
      </c>
      <c r="K36" s="585">
        <v>75</v>
      </c>
      <c r="L36" s="586">
        <v>123</v>
      </c>
      <c r="M36" s="584">
        <v>141</v>
      </c>
      <c r="N36" s="585">
        <v>132</v>
      </c>
      <c r="O36" s="586">
        <v>138</v>
      </c>
      <c r="P36" s="587">
        <v>135</v>
      </c>
      <c r="Q36" s="585">
        <v>114</v>
      </c>
      <c r="R36" s="587">
        <v>138</v>
      </c>
      <c r="S36" s="584">
        <v>141</v>
      </c>
      <c r="T36" s="585">
        <v>96</v>
      </c>
      <c r="U36" s="586">
        <v>90</v>
      </c>
      <c r="V36" s="587"/>
      <c r="W36" s="585"/>
      <c r="X36" s="587"/>
      <c r="Y36" s="584"/>
      <c r="Z36" s="585"/>
      <c r="AA36" s="586"/>
      <c r="AB36" s="587"/>
      <c r="AC36" s="585"/>
      <c r="AD36" s="587"/>
      <c r="AE36" s="584"/>
      <c r="AF36" s="585"/>
      <c r="AG36" s="586"/>
      <c r="AH36" s="587"/>
      <c r="AI36" s="585"/>
      <c r="AJ36" s="587"/>
      <c r="AK36" s="584"/>
      <c r="AL36" s="585"/>
      <c r="AM36" s="586"/>
      <c r="AN36" s="598">
        <f t="shared" si="4"/>
        <v>1389</v>
      </c>
    </row>
    <row r="37" spans="2:40" s="41" customFormat="1" ht="20.100000000000001" customHeight="1" thickBot="1">
      <c r="B37" s="721"/>
      <c r="C37" s="599" t="s">
        <v>433</v>
      </c>
      <c r="D37" s="600">
        <f>+D35+D36+-D34</f>
        <v>72</v>
      </c>
      <c r="E37" s="601">
        <f t="shared" ref="E37:AM37" si="5">+E35+E36+-E34</f>
        <v>81</v>
      </c>
      <c r="F37" s="602">
        <f t="shared" si="5"/>
        <v>75</v>
      </c>
      <c r="G37" s="600">
        <f t="shared" si="5"/>
        <v>78</v>
      </c>
      <c r="H37" s="601">
        <f t="shared" si="5"/>
        <v>75</v>
      </c>
      <c r="I37" s="603">
        <f t="shared" si="5"/>
        <v>81</v>
      </c>
      <c r="J37" s="604">
        <f t="shared" si="5"/>
        <v>0</v>
      </c>
      <c r="K37" s="601">
        <f t="shared" si="5"/>
        <v>0</v>
      </c>
      <c r="L37" s="602">
        <f t="shared" si="5"/>
        <v>0</v>
      </c>
      <c r="M37" s="600">
        <f t="shared" si="5"/>
        <v>0</v>
      </c>
      <c r="N37" s="601">
        <f t="shared" si="5"/>
        <v>0</v>
      </c>
      <c r="O37" s="603">
        <f t="shared" si="5"/>
        <v>0</v>
      </c>
      <c r="P37" s="604">
        <f t="shared" si="5"/>
        <v>0</v>
      </c>
      <c r="Q37" s="601">
        <f t="shared" si="5"/>
        <v>0</v>
      </c>
      <c r="R37" s="602">
        <f t="shared" si="5"/>
        <v>0</v>
      </c>
      <c r="S37" s="600">
        <f t="shared" si="5"/>
        <v>0</v>
      </c>
      <c r="T37" s="601">
        <f t="shared" si="5"/>
        <v>0</v>
      </c>
      <c r="U37" s="603">
        <f t="shared" si="5"/>
        <v>0</v>
      </c>
      <c r="V37" s="604">
        <f t="shared" si="5"/>
        <v>15</v>
      </c>
      <c r="W37" s="601">
        <f t="shared" si="5"/>
        <v>150</v>
      </c>
      <c r="X37" s="602">
        <f t="shared" si="5"/>
        <v>150</v>
      </c>
      <c r="Y37" s="600">
        <f t="shared" si="5"/>
        <v>150</v>
      </c>
      <c r="Z37" s="601">
        <f t="shared" si="5"/>
        <v>150</v>
      </c>
      <c r="AA37" s="603">
        <f t="shared" si="5"/>
        <v>150</v>
      </c>
      <c r="AB37" s="604">
        <f t="shared" si="5"/>
        <v>150</v>
      </c>
      <c r="AC37" s="601">
        <f t="shared" si="5"/>
        <v>150</v>
      </c>
      <c r="AD37" s="602">
        <f t="shared" si="5"/>
        <v>150</v>
      </c>
      <c r="AE37" s="600">
        <f t="shared" si="5"/>
        <v>150</v>
      </c>
      <c r="AF37" s="601">
        <f t="shared" si="5"/>
        <v>150</v>
      </c>
      <c r="AG37" s="603">
        <f t="shared" si="5"/>
        <v>150</v>
      </c>
      <c r="AH37" s="604">
        <f t="shared" si="5"/>
        <v>150</v>
      </c>
      <c r="AI37" s="601">
        <f t="shared" si="5"/>
        <v>75</v>
      </c>
      <c r="AJ37" s="602">
        <f t="shared" si="5"/>
        <v>102</v>
      </c>
      <c r="AK37" s="600">
        <f t="shared" si="5"/>
        <v>129</v>
      </c>
      <c r="AL37" s="601">
        <f t="shared" si="5"/>
        <v>78</v>
      </c>
      <c r="AM37" s="601">
        <f t="shared" si="5"/>
        <v>99</v>
      </c>
      <c r="AN37" s="605">
        <f t="shared" ref="AN37" si="6">SUM(D37:AM37)</f>
        <v>2760</v>
      </c>
    </row>
    <row r="38" spans="2:40" s="431" customFormat="1" ht="13.5" customHeight="1" thickBot="1">
      <c r="AN38" s="432"/>
    </row>
    <row r="39" spans="2:40" ht="28.5" customHeight="1">
      <c r="B39" s="40"/>
      <c r="C39" s="475" t="s">
        <v>458</v>
      </c>
      <c r="D39" s="711" t="s">
        <v>459</v>
      </c>
      <c r="E39" s="711"/>
      <c r="F39" s="712"/>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row>
    <row r="40" spans="2:40" ht="28.5" customHeight="1" thickBot="1">
      <c r="C40" s="476">
        <v>753</v>
      </c>
      <c r="D40" s="713">
        <f>C40*AN36</f>
        <v>1045917</v>
      </c>
      <c r="E40" s="713"/>
      <c r="F40" s="714"/>
    </row>
  </sheetData>
  <sheetProtection sheet="1" objects="1" scenarios="1" selectLockedCells="1"/>
  <mergeCells count="41">
    <mergeCell ref="B25:C25"/>
    <mergeCell ref="B24:C24"/>
    <mergeCell ref="B9:C9"/>
    <mergeCell ref="B18:C18"/>
    <mergeCell ref="B17:C17"/>
    <mergeCell ref="B16:C16"/>
    <mergeCell ref="B15:C15"/>
    <mergeCell ref="B14:C14"/>
    <mergeCell ref="B13:C13"/>
    <mergeCell ref="B12:C12"/>
    <mergeCell ref="B11:C11"/>
    <mergeCell ref="B10:C10"/>
    <mergeCell ref="B23:C23"/>
    <mergeCell ref="B22:C22"/>
    <mergeCell ref="B21:C21"/>
    <mergeCell ref="B20:C20"/>
    <mergeCell ref="B19:C19"/>
    <mergeCell ref="P2:R2"/>
    <mergeCell ref="C4:C8"/>
    <mergeCell ref="V2:X2"/>
    <mergeCell ref="B2:C3"/>
    <mergeCell ref="D2:F2"/>
    <mergeCell ref="G2:I2"/>
    <mergeCell ref="J2:L2"/>
    <mergeCell ref="S2:U2"/>
    <mergeCell ref="B4:B8"/>
    <mergeCell ref="M2:O2"/>
    <mergeCell ref="AN2:AN3"/>
    <mergeCell ref="Y2:AA2"/>
    <mergeCell ref="AB2:AD2"/>
    <mergeCell ref="AE2:AG2"/>
    <mergeCell ref="AH2:AJ2"/>
    <mergeCell ref="AK2:AM2"/>
    <mergeCell ref="D39:F39"/>
    <mergeCell ref="D40:F40"/>
    <mergeCell ref="B26:C26"/>
    <mergeCell ref="B28:C28"/>
    <mergeCell ref="B34:C34"/>
    <mergeCell ref="B35:B37"/>
    <mergeCell ref="B27:C27"/>
    <mergeCell ref="B29:B31"/>
  </mergeCells>
  <phoneticPr fontId="14"/>
  <printOptions horizontalCentered="1" verticalCentered="1"/>
  <pageMargins left="0.78740157480314965" right="0.74803149606299213" top="1.1811023622047245" bottom="0.39370078740157483" header="0.78740157480314965" footer="0.51181102362204722"/>
  <pageSetup paperSize="9" scale="51" firstPageNumber="0" orientation="landscape" cellComments="asDisplayed" horizontalDpi="4294967293" verticalDpi="300" r:id="rId1"/>
  <headerFooter alignWithMargins="0">
    <oddHeader>&amp;L冬春トマト（高糖度隔離床栽培ゆめ果菜恵）（沿岸部～中間）</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28"/>
  <sheetViews>
    <sheetView showGridLines="0" topLeftCell="A6" zoomScale="110" zoomScaleNormal="110" zoomScalePageLayoutView="153" workbookViewId="0">
      <selection activeCell="T13" sqref="T13"/>
    </sheetView>
  </sheetViews>
  <sheetFormatPr defaultColWidth="10" defaultRowHeight="13.5"/>
  <cols>
    <col min="1" max="1" width="3.125" style="264" customWidth="1"/>
    <col min="2" max="2" width="17.875" style="264" customWidth="1"/>
    <col min="3" max="3" width="10" style="264" customWidth="1"/>
    <col min="4" max="4" width="2.375" style="264" customWidth="1"/>
    <col min="5" max="5" width="6.125" style="264" customWidth="1"/>
    <col min="6" max="6" width="7.125" style="264" customWidth="1"/>
    <col min="7" max="7" width="1.875" style="264" customWidth="1"/>
    <col min="8" max="9" width="7.125" style="264" customWidth="1"/>
    <col min="10" max="10" width="2.125" style="264" customWidth="1"/>
    <col min="11" max="11" width="12.125" style="264" customWidth="1"/>
    <col min="12" max="12" width="5.875" style="264" customWidth="1"/>
    <col min="13" max="13" width="5.5" style="264" customWidth="1"/>
    <col min="14" max="15" width="8.375" style="264" customWidth="1"/>
    <col min="16" max="256" width="10" style="264"/>
    <col min="257" max="257" width="3.125" style="264" customWidth="1"/>
    <col min="258" max="258" width="17.875" style="264" customWidth="1"/>
    <col min="259" max="259" width="10" style="264" customWidth="1"/>
    <col min="260" max="260" width="2.375" style="264" customWidth="1"/>
    <col min="261" max="261" width="6.125" style="264" customWidth="1"/>
    <col min="262" max="262" width="7.125" style="264" customWidth="1"/>
    <col min="263" max="263" width="1.875" style="264" customWidth="1"/>
    <col min="264" max="265" width="7.125" style="264" customWidth="1"/>
    <col min="266" max="266" width="2.125" style="264" customWidth="1"/>
    <col min="267" max="267" width="12.125" style="264" customWidth="1"/>
    <col min="268" max="268" width="5.875" style="264" customWidth="1"/>
    <col min="269" max="269" width="5.5" style="264" customWidth="1"/>
    <col min="270" max="271" width="8.375" style="264" customWidth="1"/>
    <col min="272" max="512" width="10" style="264"/>
    <col min="513" max="513" width="3.125" style="264" customWidth="1"/>
    <col min="514" max="514" width="17.875" style="264" customWidth="1"/>
    <col min="515" max="515" width="10" style="264" customWidth="1"/>
    <col min="516" max="516" width="2.375" style="264" customWidth="1"/>
    <col min="517" max="517" width="6.125" style="264" customWidth="1"/>
    <col min="518" max="518" width="7.125" style="264" customWidth="1"/>
    <col min="519" max="519" width="1.875" style="264" customWidth="1"/>
    <col min="520" max="521" width="7.125" style="264" customWidth="1"/>
    <col min="522" max="522" width="2.125" style="264" customWidth="1"/>
    <col min="523" max="523" width="12.125" style="264" customWidth="1"/>
    <col min="524" max="524" width="5.875" style="264" customWidth="1"/>
    <col min="525" max="525" width="5.5" style="264" customWidth="1"/>
    <col min="526" max="527" width="8.375" style="264" customWidth="1"/>
    <col min="528" max="768" width="10" style="264"/>
    <col min="769" max="769" width="3.125" style="264" customWidth="1"/>
    <col min="770" max="770" width="17.875" style="264" customWidth="1"/>
    <col min="771" max="771" width="10" style="264" customWidth="1"/>
    <col min="772" max="772" width="2.375" style="264" customWidth="1"/>
    <col min="773" max="773" width="6.125" style="264" customWidth="1"/>
    <col min="774" max="774" width="7.125" style="264" customWidth="1"/>
    <col min="775" max="775" width="1.875" style="264" customWidth="1"/>
    <col min="776" max="777" width="7.125" style="264" customWidth="1"/>
    <col min="778" max="778" width="2.125" style="264" customWidth="1"/>
    <col min="779" max="779" width="12.125" style="264" customWidth="1"/>
    <col min="780" max="780" width="5.875" style="264" customWidth="1"/>
    <col min="781" max="781" width="5.5" style="264" customWidth="1"/>
    <col min="782" max="783" width="8.375" style="264" customWidth="1"/>
    <col min="784" max="1024" width="10" style="264"/>
    <col min="1025" max="1025" width="3.125" style="264" customWidth="1"/>
    <col min="1026" max="1026" width="17.875" style="264" customWidth="1"/>
    <col min="1027" max="1027" width="10" style="264" customWidth="1"/>
    <col min="1028" max="1028" width="2.375" style="264" customWidth="1"/>
    <col min="1029" max="1029" width="6.125" style="264" customWidth="1"/>
    <col min="1030" max="1030" width="7.125" style="264" customWidth="1"/>
    <col min="1031" max="1031" width="1.875" style="264" customWidth="1"/>
    <col min="1032" max="1033" width="7.125" style="264" customWidth="1"/>
    <col min="1034" max="1034" width="2.125" style="264" customWidth="1"/>
    <col min="1035" max="1035" width="12.125" style="264" customWidth="1"/>
    <col min="1036" max="1036" width="5.875" style="264" customWidth="1"/>
    <col min="1037" max="1037" width="5.5" style="264" customWidth="1"/>
    <col min="1038" max="1039" width="8.375" style="264" customWidth="1"/>
    <col min="1040" max="1280" width="10" style="264"/>
    <col min="1281" max="1281" width="3.125" style="264" customWidth="1"/>
    <col min="1282" max="1282" width="17.875" style="264" customWidth="1"/>
    <col min="1283" max="1283" width="10" style="264" customWidth="1"/>
    <col min="1284" max="1284" width="2.375" style="264" customWidth="1"/>
    <col min="1285" max="1285" width="6.125" style="264" customWidth="1"/>
    <col min="1286" max="1286" width="7.125" style="264" customWidth="1"/>
    <col min="1287" max="1287" width="1.875" style="264" customWidth="1"/>
    <col min="1288" max="1289" width="7.125" style="264" customWidth="1"/>
    <col min="1290" max="1290" width="2.125" style="264" customWidth="1"/>
    <col min="1291" max="1291" width="12.125" style="264" customWidth="1"/>
    <col min="1292" max="1292" width="5.875" style="264" customWidth="1"/>
    <col min="1293" max="1293" width="5.5" style="264" customWidth="1"/>
    <col min="1294" max="1295" width="8.375" style="264" customWidth="1"/>
    <col min="1296" max="1536" width="10" style="264"/>
    <col min="1537" max="1537" width="3.125" style="264" customWidth="1"/>
    <col min="1538" max="1538" width="17.875" style="264" customWidth="1"/>
    <col min="1539" max="1539" width="10" style="264" customWidth="1"/>
    <col min="1540" max="1540" width="2.375" style="264" customWidth="1"/>
    <col min="1541" max="1541" width="6.125" style="264" customWidth="1"/>
    <col min="1542" max="1542" width="7.125" style="264" customWidth="1"/>
    <col min="1543" max="1543" width="1.875" style="264" customWidth="1"/>
    <col min="1544" max="1545" width="7.125" style="264" customWidth="1"/>
    <col min="1546" max="1546" width="2.125" style="264" customWidth="1"/>
    <col min="1547" max="1547" width="12.125" style="264" customWidth="1"/>
    <col min="1548" max="1548" width="5.875" style="264" customWidth="1"/>
    <col min="1549" max="1549" width="5.5" style="264" customWidth="1"/>
    <col min="1550" max="1551" width="8.375" style="264" customWidth="1"/>
    <col min="1552" max="1792" width="10" style="264"/>
    <col min="1793" max="1793" width="3.125" style="264" customWidth="1"/>
    <col min="1794" max="1794" width="17.875" style="264" customWidth="1"/>
    <col min="1795" max="1795" width="10" style="264" customWidth="1"/>
    <col min="1796" max="1796" width="2.375" style="264" customWidth="1"/>
    <col min="1797" max="1797" width="6.125" style="264" customWidth="1"/>
    <col min="1798" max="1798" width="7.125" style="264" customWidth="1"/>
    <col min="1799" max="1799" width="1.875" style="264" customWidth="1"/>
    <col min="1800" max="1801" width="7.125" style="264" customWidth="1"/>
    <col min="1802" max="1802" width="2.125" style="264" customWidth="1"/>
    <col min="1803" max="1803" width="12.125" style="264" customWidth="1"/>
    <col min="1804" max="1804" width="5.875" style="264" customWidth="1"/>
    <col min="1805" max="1805" width="5.5" style="264" customWidth="1"/>
    <col min="1806" max="1807" width="8.375" style="264" customWidth="1"/>
    <col min="1808" max="2048" width="10" style="264"/>
    <col min="2049" max="2049" width="3.125" style="264" customWidth="1"/>
    <col min="2050" max="2050" width="17.875" style="264" customWidth="1"/>
    <col min="2051" max="2051" width="10" style="264" customWidth="1"/>
    <col min="2052" max="2052" width="2.375" style="264" customWidth="1"/>
    <col min="2053" max="2053" width="6.125" style="264" customWidth="1"/>
    <col min="2054" max="2054" width="7.125" style="264" customWidth="1"/>
    <col min="2055" max="2055" width="1.875" style="264" customWidth="1"/>
    <col min="2056" max="2057" width="7.125" style="264" customWidth="1"/>
    <col min="2058" max="2058" width="2.125" style="264" customWidth="1"/>
    <col min="2059" max="2059" width="12.125" style="264" customWidth="1"/>
    <col min="2060" max="2060" width="5.875" style="264" customWidth="1"/>
    <col min="2061" max="2061" width="5.5" style="264" customWidth="1"/>
    <col min="2062" max="2063" width="8.375" style="264" customWidth="1"/>
    <col min="2064" max="2304" width="10" style="264"/>
    <col min="2305" max="2305" width="3.125" style="264" customWidth="1"/>
    <col min="2306" max="2306" width="17.875" style="264" customWidth="1"/>
    <col min="2307" max="2307" width="10" style="264" customWidth="1"/>
    <col min="2308" max="2308" width="2.375" style="264" customWidth="1"/>
    <col min="2309" max="2309" width="6.125" style="264" customWidth="1"/>
    <col min="2310" max="2310" width="7.125" style="264" customWidth="1"/>
    <col min="2311" max="2311" width="1.875" style="264" customWidth="1"/>
    <col min="2312" max="2313" width="7.125" style="264" customWidth="1"/>
    <col min="2314" max="2314" width="2.125" style="264" customWidth="1"/>
    <col min="2315" max="2315" width="12.125" style="264" customWidth="1"/>
    <col min="2316" max="2316" width="5.875" style="264" customWidth="1"/>
    <col min="2317" max="2317" width="5.5" style="264" customWidth="1"/>
    <col min="2318" max="2319" width="8.375" style="264" customWidth="1"/>
    <col min="2320" max="2560" width="10" style="264"/>
    <col min="2561" max="2561" width="3.125" style="264" customWidth="1"/>
    <col min="2562" max="2562" width="17.875" style="264" customWidth="1"/>
    <col min="2563" max="2563" width="10" style="264" customWidth="1"/>
    <col min="2564" max="2564" width="2.375" style="264" customWidth="1"/>
    <col min="2565" max="2565" width="6.125" style="264" customWidth="1"/>
    <col min="2566" max="2566" width="7.125" style="264" customWidth="1"/>
    <col min="2567" max="2567" width="1.875" style="264" customWidth="1"/>
    <col min="2568" max="2569" width="7.125" style="264" customWidth="1"/>
    <col min="2570" max="2570" width="2.125" style="264" customWidth="1"/>
    <col min="2571" max="2571" width="12.125" style="264" customWidth="1"/>
    <col min="2572" max="2572" width="5.875" style="264" customWidth="1"/>
    <col min="2573" max="2573" width="5.5" style="264" customWidth="1"/>
    <col min="2574" max="2575" width="8.375" style="264" customWidth="1"/>
    <col min="2576" max="2816" width="10" style="264"/>
    <col min="2817" max="2817" width="3.125" style="264" customWidth="1"/>
    <col min="2818" max="2818" width="17.875" style="264" customWidth="1"/>
    <col min="2819" max="2819" width="10" style="264" customWidth="1"/>
    <col min="2820" max="2820" width="2.375" style="264" customWidth="1"/>
    <col min="2821" max="2821" width="6.125" style="264" customWidth="1"/>
    <col min="2822" max="2822" width="7.125" style="264" customWidth="1"/>
    <col min="2823" max="2823" width="1.875" style="264" customWidth="1"/>
    <col min="2824" max="2825" width="7.125" style="264" customWidth="1"/>
    <col min="2826" max="2826" width="2.125" style="264" customWidth="1"/>
    <col min="2827" max="2827" width="12.125" style="264" customWidth="1"/>
    <col min="2828" max="2828" width="5.875" style="264" customWidth="1"/>
    <col min="2829" max="2829" width="5.5" style="264" customWidth="1"/>
    <col min="2830" max="2831" width="8.375" style="264" customWidth="1"/>
    <col min="2832" max="3072" width="10" style="264"/>
    <col min="3073" max="3073" width="3.125" style="264" customWidth="1"/>
    <col min="3074" max="3074" width="17.875" style="264" customWidth="1"/>
    <col min="3075" max="3075" width="10" style="264" customWidth="1"/>
    <col min="3076" max="3076" width="2.375" style="264" customWidth="1"/>
    <col min="3077" max="3077" width="6.125" style="264" customWidth="1"/>
    <col min="3078" max="3078" width="7.125" style="264" customWidth="1"/>
    <col min="3079" max="3079" width="1.875" style="264" customWidth="1"/>
    <col min="3080" max="3081" width="7.125" style="264" customWidth="1"/>
    <col min="3082" max="3082" width="2.125" style="264" customWidth="1"/>
    <col min="3083" max="3083" width="12.125" style="264" customWidth="1"/>
    <col min="3084" max="3084" width="5.875" style="264" customWidth="1"/>
    <col min="3085" max="3085" width="5.5" style="264" customWidth="1"/>
    <col min="3086" max="3087" width="8.375" style="264" customWidth="1"/>
    <col min="3088" max="3328" width="10" style="264"/>
    <col min="3329" max="3329" width="3.125" style="264" customWidth="1"/>
    <col min="3330" max="3330" width="17.875" style="264" customWidth="1"/>
    <col min="3331" max="3331" width="10" style="264" customWidth="1"/>
    <col min="3332" max="3332" width="2.375" style="264" customWidth="1"/>
    <col min="3333" max="3333" width="6.125" style="264" customWidth="1"/>
    <col min="3334" max="3334" width="7.125" style="264" customWidth="1"/>
    <col min="3335" max="3335" width="1.875" style="264" customWidth="1"/>
    <col min="3336" max="3337" width="7.125" style="264" customWidth="1"/>
    <col min="3338" max="3338" width="2.125" style="264" customWidth="1"/>
    <col min="3339" max="3339" width="12.125" style="264" customWidth="1"/>
    <col min="3340" max="3340" width="5.875" style="264" customWidth="1"/>
    <col min="3341" max="3341" width="5.5" style="264" customWidth="1"/>
    <col min="3342" max="3343" width="8.375" style="264" customWidth="1"/>
    <col min="3344" max="3584" width="10" style="264"/>
    <col min="3585" max="3585" width="3.125" style="264" customWidth="1"/>
    <col min="3586" max="3586" width="17.875" style="264" customWidth="1"/>
    <col min="3587" max="3587" width="10" style="264" customWidth="1"/>
    <col min="3588" max="3588" width="2.375" style="264" customWidth="1"/>
    <col min="3589" max="3589" width="6.125" style="264" customWidth="1"/>
    <col min="3590" max="3590" width="7.125" style="264" customWidth="1"/>
    <col min="3591" max="3591" width="1.875" style="264" customWidth="1"/>
    <col min="3592" max="3593" width="7.125" style="264" customWidth="1"/>
    <col min="3594" max="3594" width="2.125" style="264" customWidth="1"/>
    <col min="3595" max="3595" width="12.125" style="264" customWidth="1"/>
    <col min="3596" max="3596" width="5.875" style="264" customWidth="1"/>
    <col min="3597" max="3597" width="5.5" style="264" customWidth="1"/>
    <col min="3598" max="3599" width="8.375" style="264" customWidth="1"/>
    <col min="3600" max="3840" width="10" style="264"/>
    <col min="3841" max="3841" width="3.125" style="264" customWidth="1"/>
    <col min="3842" max="3842" width="17.875" style="264" customWidth="1"/>
    <col min="3843" max="3843" width="10" style="264" customWidth="1"/>
    <col min="3844" max="3844" width="2.375" style="264" customWidth="1"/>
    <col min="3845" max="3845" width="6.125" style="264" customWidth="1"/>
    <col min="3846" max="3846" width="7.125" style="264" customWidth="1"/>
    <col min="3847" max="3847" width="1.875" style="264" customWidth="1"/>
    <col min="3848" max="3849" width="7.125" style="264" customWidth="1"/>
    <col min="3850" max="3850" width="2.125" style="264" customWidth="1"/>
    <col min="3851" max="3851" width="12.125" style="264" customWidth="1"/>
    <col min="3852" max="3852" width="5.875" style="264" customWidth="1"/>
    <col min="3853" max="3853" width="5.5" style="264" customWidth="1"/>
    <col min="3854" max="3855" width="8.375" style="264" customWidth="1"/>
    <col min="3856" max="4096" width="10" style="264"/>
    <col min="4097" max="4097" width="3.125" style="264" customWidth="1"/>
    <col min="4098" max="4098" width="17.875" style="264" customWidth="1"/>
    <col min="4099" max="4099" width="10" style="264" customWidth="1"/>
    <col min="4100" max="4100" width="2.375" style="264" customWidth="1"/>
    <col min="4101" max="4101" width="6.125" style="264" customWidth="1"/>
    <col min="4102" max="4102" width="7.125" style="264" customWidth="1"/>
    <col min="4103" max="4103" width="1.875" style="264" customWidth="1"/>
    <col min="4104" max="4105" width="7.125" style="264" customWidth="1"/>
    <col min="4106" max="4106" width="2.125" style="264" customWidth="1"/>
    <col min="4107" max="4107" width="12.125" style="264" customWidth="1"/>
    <col min="4108" max="4108" width="5.875" style="264" customWidth="1"/>
    <col min="4109" max="4109" width="5.5" style="264" customWidth="1"/>
    <col min="4110" max="4111" width="8.375" style="264" customWidth="1"/>
    <col min="4112" max="4352" width="10" style="264"/>
    <col min="4353" max="4353" width="3.125" style="264" customWidth="1"/>
    <col min="4354" max="4354" width="17.875" style="264" customWidth="1"/>
    <col min="4355" max="4355" width="10" style="264" customWidth="1"/>
    <col min="4356" max="4356" width="2.375" style="264" customWidth="1"/>
    <col min="4357" max="4357" width="6.125" style="264" customWidth="1"/>
    <col min="4358" max="4358" width="7.125" style="264" customWidth="1"/>
    <col min="4359" max="4359" width="1.875" style="264" customWidth="1"/>
    <col min="4360" max="4361" width="7.125" style="264" customWidth="1"/>
    <col min="4362" max="4362" width="2.125" style="264" customWidth="1"/>
    <col min="4363" max="4363" width="12.125" style="264" customWidth="1"/>
    <col min="4364" max="4364" width="5.875" style="264" customWidth="1"/>
    <col min="4365" max="4365" width="5.5" style="264" customWidth="1"/>
    <col min="4366" max="4367" width="8.375" style="264" customWidth="1"/>
    <col min="4368" max="4608" width="10" style="264"/>
    <col min="4609" max="4609" width="3.125" style="264" customWidth="1"/>
    <col min="4610" max="4610" width="17.875" style="264" customWidth="1"/>
    <col min="4611" max="4611" width="10" style="264" customWidth="1"/>
    <col min="4612" max="4612" width="2.375" style="264" customWidth="1"/>
    <col min="4613" max="4613" width="6.125" style="264" customWidth="1"/>
    <col min="4614" max="4614" width="7.125" style="264" customWidth="1"/>
    <col min="4615" max="4615" width="1.875" style="264" customWidth="1"/>
    <col min="4616" max="4617" width="7.125" style="264" customWidth="1"/>
    <col min="4618" max="4618" width="2.125" style="264" customWidth="1"/>
    <col min="4619" max="4619" width="12.125" style="264" customWidth="1"/>
    <col min="4620" max="4620" width="5.875" style="264" customWidth="1"/>
    <col min="4621" max="4621" width="5.5" style="264" customWidth="1"/>
    <col min="4622" max="4623" width="8.375" style="264" customWidth="1"/>
    <col min="4624" max="4864" width="10" style="264"/>
    <col min="4865" max="4865" width="3.125" style="264" customWidth="1"/>
    <col min="4866" max="4866" width="17.875" style="264" customWidth="1"/>
    <col min="4867" max="4867" width="10" style="264" customWidth="1"/>
    <col min="4868" max="4868" width="2.375" style="264" customWidth="1"/>
    <col min="4869" max="4869" width="6.125" style="264" customWidth="1"/>
    <col min="4870" max="4870" width="7.125" style="264" customWidth="1"/>
    <col min="4871" max="4871" width="1.875" style="264" customWidth="1"/>
    <col min="4872" max="4873" width="7.125" style="264" customWidth="1"/>
    <col min="4874" max="4874" width="2.125" style="264" customWidth="1"/>
    <col min="4875" max="4875" width="12.125" style="264" customWidth="1"/>
    <col min="4876" max="4876" width="5.875" style="264" customWidth="1"/>
    <col min="4877" max="4877" width="5.5" style="264" customWidth="1"/>
    <col min="4878" max="4879" width="8.375" style="264" customWidth="1"/>
    <col min="4880" max="5120" width="10" style="264"/>
    <col min="5121" max="5121" width="3.125" style="264" customWidth="1"/>
    <col min="5122" max="5122" width="17.875" style="264" customWidth="1"/>
    <col min="5123" max="5123" width="10" style="264" customWidth="1"/>
    <col min="5124" max="5124" width="2.375" style="264" customWidth="1"/>
    <col min="5125" max="5125" width="6.125" style="264" customWidth="1"/>
    <col min="5126" max="5126" width="7.125" style="264" customWidth="1"/>
    <col min="5127" max="5127" width="1.875" style="264" customWidth="1"/>
    <col min="5128" max="5129" width="7.125" style="264" customWidth="1"/>
    <col min="5130" max="5130" width="2.125" style="264" customWidth="1"/>
    <col min="5131" max="5131" width="12.125" style="264" customWidth="1"/>
    <col min="5132" max="5132" width="5.875" style="264" customWidth="1"/>
    <col min="5133" max="5133" width="5.5" style="264" customWidth="1"/>
    <col min="5134" max="5135" width="8.375" style="264" customWidth="1"/>
    <col min="5136" max="5376" width="10" style="264"/>
    <col min="5377" max="5377" width="3.125" style="264" customWidth="1"/>
    <col min="5378" max="5378" width="17.875" style="264" customWidth="1"/>
    <col min="5379" max="5379" width="10" style="264" customWidth="1"/>
    <col min="5380" max="5380" width="2.375" style="264" customWidth="1"/>
    <col min="5381" max="5381" width="6.125" style="264" customWidth="1"/>
    <col min="5382" max="5382" width="7.125" style="264" customWidth="1"/>
    <col min="5383" max="5383" width="1.875" style="264" customWidth="1"/>
    <col min="5384" max="5385" width="7.125" style="264" customWidth="1"/>
    <col min="5386" max="5386" width="2.125" style="264" customWidth="1"/>
    <col min="5387" max="5387" width="12.125" style="264" customWidth="1"/>
    <col min="5388" max="5388" width="5.875" style="264" customWidth="1"/>
    <col min="5389" max="5389" width="5.5" style="264" customWidth="1"/>
    <col min="5390" max="5391" width="8.375" style="264" customWidth="1"/>
    <col min="5392" max="5632" width="10" style="264"/>
    <col min="5633" max="5633" width="3.125" style="264" customWidth="1"/>
    <col min="5634" max="5634" width="17.875" style="264" customWidth="1"/>
    <col min="5635" max="5635" width="10" style="264" customWidth="1"/>
    <col min="5636" max="5636" width="2.375" style="264" customWidth="1"/>
    <col min="5637" max="5637" width="6.125" style="264" customWidth="1"/>
    <col min="5638" max="5638" width="7.125" style="264" customWidth="1"/>
    <col min="5639" max="5639" width="1.875" style="264" customWidth="1"/>
    <col min="5640" max="5641" width="7.125" style="264" customWidth="1"/>
    <col min="5642" max="5642" width="2.125" style="264" customWidth="1"/>
    <col min="5643" max="5643" width="12.125" style="264" customWidth="1"/>
    <col min="5644" max="5644" width="5.875" style="264" customWidth="1"/>
    <col min="5645" max="5645" width="5.5" style="264" customWidth="1"/>
    <col min="5646" max="5647" width="8.375" style="264" customWidth="1"/>
    <col min="5648" max="5888" width="10" style="264"/>
    <col min="5889" max="5889" width="3.125" style="264" customWidth="1"/>
    <col min="5890" max="5890" width="17.875" style="264" customWidth="1"/>
    <col min="5891" max="5891" width="10" style="264" customWidth="1"/>
    <col min="5892" max="5892" width="2.375" style="264" customWidth="1"/>
    <col min="5893" max="5893" width="6.125" style="264" customWidth="1"/>
    <col min="5894" max="5894" width="7.125" style="264" customWidth="1"/>
    <col min="5895" max="5895" width="1.875" style="264" customWidth="1"/>
    <col min="5896" max="5897" width="7.125" style="264" customWidth="1"/>
    <col min="5898" max="5898" width="2.125" style="264" customWidth="1"/>
    <col min="5899" max="5899" width="12.125" style="264" customWidth="1"/>
    <col min="5900" max="5900" width="5.875" style="264" customWidth="1"/>
    <col min="5901" max="5901" width="5.5" style="264" customWidth="1"/>
    <col min="5902" max="5903" width="8.375" style="264" customWidth="1"/>
    <col min="5904" max="6144" width="10" style="264"/>
    <col min="6145" max="6145" width="3.125" style="264" customWidth="1"/>
    <col min="6146" max="6146" width="17.875" style="264" customWidth="1"/>
    <col min="6147" max="6147" width="10" style="264" customWidth="1"/>
    <col min="6148" max="6148" width="2.375" style="264" customWidth="1"/>
    <col min="6149" max="6149" width="6.125" style="264" customWidth="1"/>
    <col min="6150" max="6150" width="7.125" style="264" customWidth="1"/>
    <col min="6151" max="6151" width="1.875" style="264" customWidth="1"/>
    <col min="6152" max="6153" width="7.125" style="264" customWidth="1"/>
    <col min="6154" max="6154" width="2.125" style="264" customWidth="1"/>
    <col min="6155" max="6155" width="12.125" style="264" customWidth="1"/>
    <col min="6156" max="6156" width="5.875" style="264" customWidth="1"/>
    <col min="6157" max="6157" width="5.5" style="264" customWidth="1"/>
    <col min="6158" max="6159" width="8.375" style="264" customWidth="1"/>
    <col min="6160" max="6400" width="10" style="264"/>
    <col min="6401" max="6401" width="3.125" style="264" customWidth="1"/>
    <col min="6402" max="6402" width="17.875" style="264" customWidth="1"/>
    <col min="6403" max="6403" width="10" style="264" customWidth="1"/>
    <col min="6404" max="6404" width="2.375" style="264" customWidth="1"/>
    <col min="6405" max="6405" width="6.125" style="264" customWidth="1"/>
    <col min="6406" max="6406" width="7.125" style="264" customWidth="1"/>
    <col min="6407" max="6407" width="1.875" style="264" customWidth="1"/>
    <col min="6408" max="6409" width="7.125" style="264" customWidth="1"/>
    <col min="6410" max="6410" width="2.125" style="264" customWidth="1"/>
    <col min="6411" max="6411" width="12.125" style="264" customWidth="1"/>
    <col min="6412" max="6412" width="5.875" style="264" customWidth="1"/>
    <col min="6413" max="6413" width="5.5" style="264" customWidth="1"/>
    <col min="6414" max="6415" width="8.375" style="264" customWidth="1"/>
    <col min="6416" max="6656" width="10" style="264"/>
    <col min="6657" max="6657" width="3.125" style="264" customWidth="1"/>
    <col min="6658" max="6658" width="17.875" style="264" customWidth="1"/>
    <col min="6659" max="6659" width="10" style="264" customWidth="1"/>
    <col min="6660" max="6660" width="2.375" style="264" customWidth="1"/>
    <col min="6661" max="6661" width="6.125" style="264" customWidth="1"/>
    <col min="6662" max="6662" width="7.125" style="264" customWidth="1"/>
    <col min="6663" max="6663" width="1.875" style="264" customWidth="1"/>
    <col min="6664" max="6665" width="7.125" style="264" customWidth="1"/>
    <col min="6666" max="6666" width="2.125" style="264" customWidth="1"/>
    <col min="6667" max="6667" width="12.125" style="264" customWidth="1"/>
    <col min="6668" max="6668" width="5.875" style="264" customWidth="1"/>
    <col min="6669" max="6669" width="5.5" style="264" customWidth="1"/>
    <col min="6670" max="6671" width="8.375" style="264" customWidth="1"/>
    <col min="6672" max="6912" width="10" style="264"/>
    <col min="6913" max="6913" width="3.125" style="264" customWidth="1"/>
    <col min="6914" max="6914" width="17.875" style="264" customWidth="1"/>
    <col min="6915" max="6915" width="10" style="264" customWidth="1"/>
    <col min="6916" max="6916" width="2.375" style="264" customWidth="1"/>
    <col min="6917" max="6917" width="6.125" style="264" customWidth="1"/>
    <col min="6918" max="6918" width="7.125" style="264" customWidth="1"/>
    <col min="6919" max="6919" width="1.875" style="264" customWidth="1"/>
    <col min="6920" max="6921" width="7.125" style="264" customWidth="1"/>
    <col min="6922" max="6922" width="2.125" style="264" customWidth="1"/>
    <col min="6923" max="6923" width="12.125" style="264" customWidth="1"/>
    <col min="6924" max="6924" width="5.875" style="264" customWidth="1"/>
    <col min="6925" max="6925" width="5.5" style="264" customWidth="1"/>
    <col min="6926" max="6927" width="8.375" style="264" customWidth="1"/>
    <col min="6928" max="7168" width="10" style="264"/>
    <col min="7169" max="7169" width="3.125" style="264" customWidth="1"/>
    <col min="7170" max="7170" width="17.875" style="264" customWidth="1"/>
    <col min="7171" max="7171" width="10" style="264" customWidth="1"/>
    <col min="7172" max="7172" width="2.375" style="264" customWidth="1"/>
    <col min="7173" max="7173" width="6.125" style="264" customWidth="1"/>
    <col min="7174" max="7174" width="7.125" style="264" customWidth="1"/>
    <col min="7175" max="7175" width="1.875" style="264" customWidth="1"/>
    <col min="7176" max="7177" width="7.125" style="264" customWidth="1"/>
    <col min="7178" max="7178" width="2.125" style="264" customWidth="1"/>
    <col min="7179" max="7179" width="12.125" style="264" customWidth="1"/>
    <col min="7180" max="7180" width="5.875" style="264" customWidth="1"/>
    <col min="7181" max="7181" width="5.5" style="264" customWidth="1"/>
    <col min="7182" max="7183" width="8.375" style="264" customWidth="1"/>
    <col min="7184" max="7424" width="10" style="264"/>
    <col min="7425" max="7425" width="3.125" style="264" customWidth="1"/>
    <col min="7426" max="7426" width="17.875" style="264" customWidth="1"/>
    <col min="7427" max="7427" width="10" style="264" customWidth="1"/>
    <col min="7428" max="7428" width="2.375" style="264" customWidth="1"/>
    <col min="7429" max="7429" width="6.125" style="264" customWidth="1"/>
    <col min="7430" max="7430" width="7.125" style="264" customWidth="1"/>
    <col min="7431" max="7431" width="1.875" style="264" customWidth="1"/>
    <col min="7432" max="7433" width="7.125" style="264" customWidth="1"/>
    <col min="7434" max="7434" width="2.125" style="264" customWidth="1"/>
    <col min="7435" max="7435" width="12.125" style="264" customWidth="1"/>
    <col min="7436" max="7436" width="5.875" style="264" customWidth="1"/>
    <col min="7437" max="7437" width="5.5" style="264" customWidth="1"/>
    <col min="7438" max="7439" width="8.375" style="264" customWidth="1"/>
    <col min="7440" max="7680" width="10" style="264"/>
    <col min="7681" max="7681" width="3.125" style="264" customWidth="1"/>
    <col min="7682" max="7682" width="17.875" style="264" customWidth="1"/>
    <col min="7683" max="7683" width="10" style="264" customWidth="1"/>
    <col min="7684" max="7684" width="2.375" style="264" customWidth="1"/>
    <col min="7685" max="7685" width="6.125" style="264" customWidth="1"/>
    <col min="7686" max="7686" width="7.125" style="264" customWidth="1"/>
    <col min="7687" max="7687" width="1.875" style="264" customWidth="1"/>
    <col min="7688" max="7689" width="7.125" style="264" customWidth="1"/>
    <col min="7690" max="7690" width="2.125" style="264" customWidth="1"/>
    <col min="7691" max="7691" width="12.125" style="264" customWidth="1"/>
    <col min="7692" max="7692" width="5.875" style="264" customWidth="1"/>
    <col min="7693" max="7693" width="5.5" style="264" customWidth="1"/>
    <col min="7694" max="7695" width="8.375" style="264" customWidth="1"/>
    <col min="7696" max="7936" width="10" style="264"/>
    <col min="7937" max="7937" width="3.125" style="264" customWidth="1"/>
    <col min="7938" max="7938" width="17.875" style="264" customWidth="1"/>
    <col min="7939" max="7939" width="10" style="264" customWidth="1"/>
    <col min="7940" max="7940" width="2.375" style="264" customWidth="1"/>
    <col min="7941" max="7941" width="6.125" style="264" customWidth="1"/>
    <col min="7942" max="7942" width="7.125" style="264" customWidth="1"/>
    <col min="7943" max="7943" width="1.875" style="264" customWidth="1"/>
    <col min="7944" max="7945" width="7.125" style="264" customWidth="1"/>
    <col min="7946" max="7946" width="2.125" style="264" customWidth="1"/>
    <col min="7947" max="7947" width="12.125" style="264" customWidth="1"/>
    <col min="7948" max="7948" width="5.875" style="264" customWidth="1"/>
    <col min="7949" max="7949" width="5.5" style="264" customWidth="1"/>
    <col min="7950" max="7951" width="8.375" style="264" customWidth="1"/>
    <col min="7952" max="8192" width="10" style="264"/>
    <col min="8193" max="8193" width="3.125" style="264" customWidth="1"/>
    <col min="8194" max="8194" width="17.875" style="264" customWidth="1"/>
    <col min="8195" max="8195" width="10" style="264" customWidth="1"/>
    <col min="8196" max="8196" width="2.375" style="264" customWidth="1"/>
    <col min="8197" max="8197" width="6.125" style="264" customWidth="1"/>
    <col min="8198" max="8198" width="7.125" style="264" customWidth="1"/>
    <col min="8199" max="8199" width="1.875" style="264" customWidth="1"/>
    <col min="8200" max="8201" width="7.125" style="264" customWidth="1"/>
    <col min="8202" max="8202" width="2.125" style="264" customWidth="1"/>
    <col min="8203" max="8203" width="12.125" style="264" customWidth="1"/>
    <col min="8204" max="8204" width="5.875" style="264" customWidth="1"/>
    <col min="8205" max="8205" width="5.5" style="264" customWidth="1"/>
    <col min="8206" max="8207" width="8.375" style="264" customWidth="1"/>
    <col min="8208" max="8448" width="10" style="264"/>
    <col min="8449" max="8449" width="3.125" style="264" customWidth="1"/>
    <col min="8450" max="8450" width="17.875" style="264" customWidth="1"/>
    <col min="8451" max="8451" width="10" style="264" customWidth="1"/>
    <col min="8452" max="8452" width="2.375" style="264" customWidth="1"/>
    <col min="8453" max="8453" width="6.125" style="264" customWidth="1"/>
    <col min="8454" max="8454" width="7.125" style="264" customWidth="1"/>
    <col min="8455" max="8455" width="1.875" style="264" customWidth="1"/>
    <col min="8456" max="8457" width="7.125" style="264" customWidth="1"/>
    <col min="8458" max="8458" width="2.125" style="264" customWidth="1"/>
    <col min="8459" max="8459" width="12.125" style="264" customWidth="1"/>
    <col min="8460" max="8460" width="5.875" style="264" customWidth="1"/>
    <col min="8461" max="8461" width="5.5" style="264" customWidth="1"/>
    <col min="8462" max="8463" width="8.375" style="264" customWidth="1"/>
    <col min="8464" max="8704" width="10" style="264"/>
    <col min="8705" max="8705" width="3.125" style="264" customWidth="1"/>
    <col min="8706" max="8706" width="17.875" style="264" customWidth="1"/>
    <col min="8707" max="8707" width="10" style="264" customWidth="1"/>
    <col min="8708" max="8708" width="2.375" style="264" customWidth="1"/>
    <col min="8709" max="8709" width="6.125" style="264" customWidth="1"/>
    <col min="8710" max="8710" width="7.125" style="264" customWidth="1"/>
    <col min="8711" max="8711" width="1.875" style="264" customWidth="1"/>
    <col min="8712" max="8713" width="7.125" style="264" customWidth="1"/>
    <col min="8714" max="8714" width="2.125" style="264" customWidth="1"/>
    <col min="8715" max="8715" width="12.125" style="264" customWidth="1"/>
    <col min="8716" max="8716" width="5.875" style="264" customWidth="1"/>
    <col min="8717" max="8717" width="5.5" style="264" customWidth="1"/>
    <col min="8718" max="8719" width="8.375" style="264" customWidth="1"/>
    <col min="8720" max="8960" width="10" style="264"/>
    <col min="8961" max="8961" width="3.125" style="264" customWidth="1"/>
    <col min="8962" max="8962" width="17.875" style="264" customWidth="1"/>
    <col min="8963" max="8963" width="10" style="264" customWidth="1"/>
    <col min="8964" max="8964" width="2.375" style="264" customWidth="1"/>
    <col min="8965" max="8965" width="6.125" style="264" customWidth="1"/>
    <col min="8966" max="8966" width="7.125" style="264" customWidth="1"/>
    <col min="8967" max="8967" width="1.875" style="264" customWidth="1"/>
    <col min="8968" max="8969" width="7.125" style="264" customWidth="1"/>
    <col min="8970" max="8970" width="2.125" style="264" customWidth="1"/>
    <col min="8971" max="8971" width="12.125" style="264" customWidth="1"/>
    <col min="8972" max="8972" width="5.875" style="264" customWidth="1"/>
    <col min="8973" max="8973" width="5.5" style="264" customWidth="1"/>
    <col min="8974" max="8975" width="8.375" style="264" customWidth="1"/>
    <col min="8976" max="9216" width="10" style="264"/>
    <col min="9217" max="9217" width="3.125" style="264" customWidth="1"/>
    <col min="9218" max="9218" width="17.875" style="264" customWidth="1"/>
    <col min="9219" max="9219" width="10" style="264" customWidth="1"/>
    <col min="9220" max="9220" width="2.375" style="264" customWidth="1"/>
    <col min="9221" max="9221" width="6.125" style="264" customWidth="1"/>
    <col min="9222" max="9222" width="7.125" style="264" customWidth="1"/>
    <col min="9223" max="9223" width="1.875" style="264" customWidth="1"/>
    <col min="9224" max="9225" width="7.125" style="264" customWidth="1"/>
    <col min="9226" max="9226" width="2.125" style="264" customWidth="1"/>
    <col min="9227" max="9227" width="12.125" style="264" customWidth="1"/>
    <col min="9228" max="9228" width="5.875" style="264" customWidth="1"/>
    <col min="9229" max="9229" width="5.5" style="264" customWidth="1"/>
    <col min="9230" max="9231" width="8.375" style="264" customWidth="1"/>
    <col min="9232" max="9472" width="10" style="264"/>
    <col min="9473" max="9473" width="3.125" style="264" customWidth="1"/>
    <col min="9474" max="9474" width="17.875" style="264" customWidth="1"/>
    <col min="9475" max="9475" width="10" style="264" customWidth="1"/>
    <col min="9476" max="9476" width="2.375" style="264" customWidth="1"/>
    <col min="9477" max="9477" width="6.125" style="264" customWidth="1"/>
    <col min="9478" max="9478" width="7.125" style="264" customWidth="1"/>
    <col min="9479" max="9479" width="1.875" style="264" customWidth="1"/>
    <col min="9480" max="9481" width="7.125" style="264" customWidth="1"/>
    <col min="9482" max="9482" width="2.125" style="264" customWidth="1"/>
    <col min="9483" max="9483" width="12.125" style="264" customWidth="1"/>
    <col min="9484" max="9484" width="5.875" style="264" customWidth="1"/>
    <col min="9485" max="9485" width="5.5" style="264" customWidth="1"/>
    <col min="9486" max="9487" width="8.375" style="264" customWidth="1"/>
    <col min="9488" max="9728" width="10" style="264"/>
    <col min="9729" max="9729" width="3.125" style="264" customWidth="1"/>
    <col min="9730" max="9730" width="17.875" style="264" customWidth="1"/>
    <col min="9731" max="9731" width="10" style="264" customWidth="1"/>
    <col min="9732" max="9732" width="2.375" style="264" customWidth="1"/>
    <col min="9733" max="9733" width="6.125" style="264" customWidth="1"/>
    <col min="9734" max="9734" width="7.125" style="264" customWidth="1"/>
    <col min="9735" max="9735" width="1.875" style="264" customWidth="1"/>
    <col min="9736" max="9737" width="7.125" style="264" customWidth="1"/>
    <col min="9738" max="9738" width="2.125" style="264" customWidth="1"/>
    <col min="9739" max="9739" width="12.125" style="264" customWidth="1"/>
    <col min="9740" max="9740" width="5.875" style="264" customWidth="1"/>
    <col min="9741" max="9741" width="5.5" style="264" customWidth="1"/>
    <col min="9742" max="9743" width="8.375" style="264" customWidth="1"/>
    <col min="9744" max="9984" width="10" style="264"/>
    <col min="9985" max="9985" width="3.125" style="264" customWidth="1"/>
    <col min="9986" max="9986" width="17.875" style="264" customWidth="1"/>
    <col min="9987" max="9987" width="10" style="264" customWidth="1"/>
    <col min="9988" max="9988" width="2.375" style="264" customWidth="1"/>
    <col min="9989" max="9989" width="6.125" style="264" customWidth="1"/>
    <col min="9990" max="9990" width="7.125" style="264" customWidth="1"/>
    <col min="9991" max="9991" width="1.875" style="264" customWidth="1"/>
    <col min="9992" max="9993" width="7.125" style="264" customWidth="1"/>
    <col min="9994" max="9994" width="2.125" style="264" customWidth="1"/>
    <col min="9995" max="9995" width="12.125" style="264" customWidth="1"/>
    <col min="9996" max="9996" width="5.875" style="264" customWidth="1"/>
    <col min="9997" max="9997" width="5.5" style="264" customWidth="1"/>
    <col min="9998" max="9999" width="8.375" style="264" customWidth="1"/>
    <col min="10000" max="10240" width="10" style="264"/>
    <col min="10241" max="10241" width="3.125" style="264" customWidth="1"/>
    <col min="10242" max="10242" width="17.875" style="264" customWidth="1"/>
    <col min="10243" max="10243" width="10" style="264" customWidth="1"/>
    <col min="10244" max="10244" width="2.375" style="264" customWidth="1"/>
    <col min="10245" max="10245" width="6.125" style="264" customWidth="1"/>
    <col min="10246" max="10246" width="7.125" style="264" customWidth="1"/>
    <col min="10247" max="10247" width="1.875" style="264" customWidth="1"/>
    <col min="10248" max="10249" width="7.125" style="264" customWidth="1"/>
    <col min="10250" max="10250" width="2.125" style="264" customWidth="1"/>
    <col min="10251" max="10251" width="12.125" style="264" customWidth="1"/>
    <col min="10252" max="10252" width="5.875" style="264" customWidth="1"/>
    <col min="10253" max="10253" width="5.5" style="264" customWidth="1"/>
    <col min="10254" max="10255" width="8.375" style="264" customWidth="1"/>
    <col min="10256" max="10496" width="10" style="264"/>
    <col min="10497" max="10497" width="3.125" style="264" customWidth="1"/>
    <col min="10498" max="10498" width="17.875" style="264" customWidth="1"/>
    <col min="10499" max="10499" width="10" style="264" customWidth="1"/>
    <col min="10500" max="10500" width="2.375" style="264" customWidth="1"/>
    <col min="10501" max="10501" width="6.125" style="264" customWidth="1"/>
    <col min="10502" max="10502" width="7.125" style="264" customWidth="1"/>
    <col min="10503" max="10503" width="1.875" style="264" customWidth="1"/>
    <col min="10504" max="10505" width="7.125" style="264" customWidth="1"/>
    <col min="10506" max="10506" width="2.125" style="264" customWidth="1"/>
    <col min="10507" max="10507" width="12.125" style="264" customWidth="1"/>
    <col min="10508" max="10508" width="5.875" style="264" customWidth="1"/>
    <col min="10509" max="10509" width="5.5" style="264" customWidth="1"/>
    <col min="10510" max="10511" width="8.375" style="264" customWidth="1"/>
    <col min="10512" max="10752" width="10" style="264"/>
    <col min="10753" max="10753" width="3.125" style="264" customWidth="1"/>
    <col min="10754" max="10754" width="17.875" style="264" customWidth="1"/>
    <col min="10755" max="10755" width="10" style="264" customWidth="1"/>
    <col min="10756" max="10756" width="2.375" style="264" customWidth="1"/>
    <col min="10757" max="10757" width="6.125" style="264" customWidth="1"/>
    <col min="10758" max="10758" width="7.125" style="264" customWidth="1"/>
    <col min="10759" max="10759" width="1.875" style="264" customWidth="1"/>
    <col min="10760" max="10761" width="7.125" style="264" customWidth="1"/>
    <col min="10762" max="10762" width="2.125" style="264" customWidth="1"/>
    <col min="10763" max="10763" width="12.125" style="264" customWidth="1"/>
    <col min="10764" max="10764" width="5.875" style="264" customWidth="1"/>
    <col min="10765" max="10765" width="5.5" style="264" customWidth="1"/>
    <col min="10766" max="10767" width="8.375" style="264" customWidth="1"/>
    <col min="10768" max="11008" width="10" style="264"/>
    <col min="11009" max="11009" width="3.125" style="264" customWidth="1"/>
    <col min="11010" max="11010" width="17.875" style="264" customWidth="1"/>
    <col min="11011" max="11011" width="10" style="264" customWidth="1"/>
    <col min="11012" max="11012" width="2.375" style="264" customWidth="1"/>
    <col min="11013" max="11013" width="6.125" style="264" customWidth="1"/>
    <col min="11014" max="11014" width="7.125" style="264" customWidth="1"/>
    <col min="11015" max="11015" width="1.875" style="264" customWidth="1"/>
    <col min="11016" max="11017" width="7.125" style="264" customWidth="1"/>
    <col min="11018" max="11018" width="2.125" style="264" customWidth="1"/>
    <col min="11019" max="11019" width="12.125" style="264" customWidth="1"/>
    <col min="11020" max="11020" width="5.875" style="264" customWidth="1"/>
    <col min="11021" max="11021" width="5.5" style="264" customWidth="1"/>
    <col min="11022" max="11023" width="8.375" style="264" customWidth="1"/>
    <col min="11024" max="11264" width="10" style="264"/>
    <col min="11265" max="11265" width="3.125" style="264" customWidth="1"/>
    <col min="11266" max="11266" width="17.875" style="264" customWidth="1"/>
    <col min="11267" max="11267" width="10" style="264" customWidth="1"/>
    <col min="11268" max="11268" width="2.375" style="264" customWidth="1"/>
    <col min="11269" max="11269" width="6.125" style="264" customWidth="1"/>
    <col min="11270" max="11270" width="7.125" style="264" customWidth="1"/>
    <col min="11271" max="11271" width="1.875" style="264" customWidth="1"/>
    <col min="11272" max="11273" width="7.125" style="264" customWidth="1"/>
    <col min="11274" max="11274" width="2.125" style="264" customWidth="1"/>
    <col min="11275" max="11275" width="12.125" style="264" customWidth="1"/>
    <col min="11276" max="11276" width="5.875" style="264" customWidth="1"/>
    <col min="11277" max="11277" width="5.5" style="264" customWidth="1"/>
    <col min="11278" max="11279" width="8.375" style="264" customWidth="1"/>
    <col min="11280" max="11520" width="10" style="264"/>
    <col min="11521" max="11521" width="3.125" style="264" customWidth="1"/>
    <col min="11522" max="11522" width="17.875" style="264" customWidth="1"/>
    <col min="11523" max="11523" width="10" style="264" customWidth="1"/>
    <col min="11524" max="11524" width="2.375" style="264" customWidth="1"/>
    <col min="11525" max="11525" width="6.125" style="264" customWidth="1"/>
    <col min="11526" max="11526" width="7.125" style="264" customWidth="1"/>
    <col min="11527" max="11527" width="1.875" style="264" customWidth="1"/>
    <col min="11528" max="11529" width="7.125" style="264" customWidth="1"/>
    <col min="11530" max="11530" width="2.125" style="264" customWidth="1"/>
    <col min="11531" max="11531" width="12.125" style="264" customWidth="1"/>
    <col min="11532" max="11532" width="5.875" style="264" customWidth="1"/>
    <col min="11533" max="11533" width="5.5" style="264" customWidth="1"/>
    <col min="11534" max="11535" width="8.375" style="264" customWidth="1"/>
    <col min="11536" max="11776" width="10" style="264"/>
    <col min="11777" max="11777" width="3.125" style="264" customWidth="1"/>
    <col min="11778" max="11778" width="17.875" style="264" customWidth="1"/>
    <col min="11779" max="11779" width="10" style="264" customWidth="1"/>
    <col min="11780" max="11780" width="2.375" style="264" customWidth="1"/>
    <col min="11781" max="11781" width="6.125" style="264" customWidth="1"/>
    <col min="11782" max="11782" width="7.125" style="264" customWidth="1"/>
    <col min="11783" max="11783" width="1.875" style="264" customWidth="1"/>
    <col min="11784" max="11785" width="7.125" style="264" customWidth="1"/>
    <col min="11786" max="11786" width="2.125" style="264" customWidth="1"/>
    <col min="11787" max="11787" width="12.125" style="264" customWidth="1"/>
    <col min="11788" max="11788" width="5.875" style="264" customWidth="1"/>
    <col min="11789" max="11789" width="5.5" style="264" customWidth="1"/>
    <col min="11790" max="11791" width="8.375" style="264" customWidth="1"/>
    <col min="11792" max="12032" width="10" style="264"/>
    <col min="12033" max="12033" width="3.125" style="264" customWidth="1"/>
    <col min="12034" max="12034" width="17.875" style="264" customWidth="1"/>
    <col min="12035" max="12035" width="10" style="264" customWidth="1"/>
    <col min="12036" max="12036" width="2.375" style="264" customWidth="1"/>
    <col min="12037" max="12037" width="6.125" style="264" customWidth="1"/>
    <col min="12038" max="12038" width="7.125" style="264" customWidth="1"/>
    <col min="12039" max="12039" width="1.875" style="264" customWidth="1"/>
    <col min="12040" max="12041" width="7.125" style="264" customWidth="1"/>
    <col min="12042" max="12042" width="2.125" style="264" customWidth="1"/>
    <col min="12043" max="12043" width="12.125" style="264" customWidth="1"/>
    <col min="12044" max="12044" width="5.875" style="264" customWidth="1"/>
    <col min="12045" max="12045" width="5.5" style="264" customWidth="1"/>
    <col min="12046" max="12047" width="8.375" style="264" customWidth="1"/>
    <col min="12048" max="12288" width="10" style="264"/>
    <col min="12289" max="12289" width="3.125" style="264" customWidth="1"/>
    <col min="12290" max="12290" width="17.875" style="264" customWidth="1"/>
    <col min="12291" max="12291" width="10" style="264" customWidth="1"/>
    <col min="12292" max="12292" width="2.375" style="264" customWidth="1"/>
    <col min="12293" max="12293" width="6.125" style="264" customWidth="1"/>
    <col min="12294" max="12294" width="7.125" style="264" customWidth="1"/>
    <col min="12295" max="12295" width="1.875" style="264" customWidth="1"/>
    <col min="12296" max="12297" width="7.125" style="264" customWidth="1"/>
    <col min="12298" max="12298" width="2.125" style="264" customWidth="1"/>
    <col min="12299" max="12299" width="12.125" style="264" customWidth="1"/>
    <col min="12300" max="12300" width="5.875" style="264" customWidth="1"/>
    <col min="12301" max="12301" width="5.5" style="264" customWidth="1"/>
    <col min="12302" max="12303" width="8.375" style="264" customWidth="1"/>
    <col min="12304" max="12544" width="10" style="264"/>
    <col min="12545" max="12545" width="3.125" style="264" customWidth="1"/>
    <col min="12546" max="12546" width="17.875" style="264" customWidth="1"/>
    <col min="12547" max="12547" width="10" style="264" customWidth="1"/>
    <col min="12548" max="12548" width="2.375" style="264" customWidth="1"/>
    <col min="12549" max="12549" width="6.125" style="264" customWidth="1"/>
    <col min="12550" max="12550" width="7.125" style="264" customWidth="1"/>
    <col min="12551" max="12551" width="1.875" style="264" customWidth="1"/>
    <col min="12552" max="12553" width="7.125" style="264" customWidth="1"/>
    <col min="12554" max="12554" width="2.125" style="264" customWidth="1"/>
    <col min="12555" max="12555" width="12.125" style="264" customWidth="1"/>
    <col min="12556" max="12556" width="5.875" style="264" customWidth="1"/>
    <col min="12557" max="12557" width="5.5" style="264" customWidth="1"/>
    <col min="12558" max="12559" width="8.375" style="264" customWidth="1"/>
    <col min="12560" max="12800" width="10" style="264"/>
    <col min="12801" max="12801" width="3.125" style="264" customWidth="1"/>
    <col min="12802" max="12802" width="17.875" style="264" customWidth="1"/>
    <col min="12803" max="12803" width="10" style="264" customWidth="1"/>
    <col min="12804" max="12804" width="2.375" style="264" customWidth="1"/>
    <col min="12805" max="12805" width="6.125" style="264" customWidth="1"/>
    <col min="12806" max="12806" width="7.125" style="264" customWidth="1"/>
    <col min="12807" max="12807" width="1.875" style="264" customWidth="1"/>
    <col min="12808" max="12809" width="7.125" style="264" customWidth="1"/>
    <col min="12810" max="12810" width="2.125" style="264" customWidth="1"/>
    <col min="12811" max="12811" width="12.125" style="264" customWidth="1"/>
    <col min="12812" max="12812" width="5.875" style="264" customWidth="1"/>
    <col min="12813" max="12813" width="5.5" style="264" customWidth="1"/>
    <col min="12814" max="12815" width="8.375" style="264" customWidth="1"/>
    <col min="12816" max="13056" width="10" style="264"/>
    <col min="13057" max="13057" width="3.125" style="264" customWidth="1"/>
    <col min="13058" max="13058" width="17.875" style="264" customWidth="1"/>
    <col min="13059" max="13059" width="10" style="264" customWidth="1"/>
    <col min="13060" max="13060" width="2.375" style="264" customWidth="1"/>
    <col min="13061" max="13061" width="6.125" style="264" customWidth="1"/>
    <col min="13062" max="13062" width="7.125" style="264" customWidth="1"/>
    <col min="13063" max="13063" width="1.875" style="264" customWidth="1"/>
    <col min="13064" max="13065" width="7.125" style="264" customWidth="1"/>
    <col min="13066" max="13066" width="2.125" style="264" customWidth="1"/>
    <col min="13067" max="13067" width="12.125" style="264" customWidth="1"/>
    <col min="13068" max="13068" width="5.875" style="264" customWidth="1"/>
    <col min="13069" max="13069" width="5.5" style="264" customWidth="1"/>
    <col min="13070" max="13071" width="8.375" style="264" customWidth="1"/>
    <col min="13072" max="13312" width="10" style="264"/>
    <col min="13313" max="13313" width="3.125" style="264" customWidth="1"/>
    <col min="13314" max="13314" width="17.875" style="264" customWidth="1"/>
    <col min="13315" max="13315" width="10" style="264" customWidth="1"/>
    <col min="13316" max="13316" width="2.375" style="264" customWidth="1"/>
    <col min="13317" max="13317" width="6.125" style="264" customWidth="1"/>
    <col min="13318" max="13318" width="7.125" style="264" customWidth="1"/>
    <col min="13319" max="13319" width="1.875" style="264" customWidth="1"/>
    <col min="13320" max="13321" width="7.125" style="264" customWidth="1"/>
    <col min="13322" max="13322" width="2.125" style="264" customWidth="1"/>
    <col min="13323" max="13323" width="12.125" style="264" customWidth="1"/>
    <col min="13324" max="13324" width="5.875" style="264" customWidth="1"/>
    <col min="13325" max="13325" width="5.5" style="264" customWidth="1"/>
    <col min="13326" max="13327" width="8.375" style="264" customWidth="1"/>
    <col min="13328" max="13568" width="10" style="264"/>
    <col min="13569" max="13569" width="3.125" style="264" customWidth="1"/>
    <col min="13570" max="13570" width="17.875" style="264" customWidth="1"/>
    <col min="13571" max="13571" width="10" style="264" customWidth="1"/>
    <col min="13572" max="13572" width="2.375" style="264" customWidth="1"/>
    <col min="13573" max="13573" width="6.125" style="264" customWidth="1"/>
    <col min="13574" max="13574" width="7.125" style="264" customWidth="1"/>
    <col min="13575" max="13575" width="1.875" style="264" customWidth="1"/>
    <col min="13576" max="13577" width="7.125" style="264" customWidth="1"/>
    <col min="13578" max="13578" width="2.125" style="264" customWidth="1"/>
    <col min="13579" max="13579" width="12.125" style="264" customWidth="1"/>
    <col min="13580" max="13580" width="5.875" style="264" customWidth="1"/>
    <col min="13581" max="13581" width="5.5" style="264" customWidth="1"/>
    <col min="13582" max="13583" width="8.375" style="264" customWidth="1"/>
    <col min="13584" max="13824" width="10" style="264"/>
    <col min="13825" max="13825" width="3.125" style="264" customWidth="1"/>
    <col min="13826" max="13826" width="17.875" style="264" customWidth="1"/>
    <col min="13827" max="13827" width="10" style="264" customWidth="1"/>
    <col min="13828" max="13828" width="2.375" style="264" customWidth="1"/>
    <col min="13829" max="13829" width="6.125" style="264" customWidth="1"/>
    <col min="13830" max="13830" width="7.125" style="264" customWidth="1"/>
    <col min="13831" max="13831" width="1.875" style="264" customWidth="1"/>
    <col min="13832" max="13833" width="7.125" style="264" customWidth="1"/>
    <col min="13834" max="13834" width="2.125" style="264" customWidth="1"/>
    <col min="13835" max="13835" width="12.125" style="264" customWidth="1"/>
    <col min="13836" max="13836" width="5.875" style="264" customWidth="1"/>
    <col min="13837" max="13837" width="5.5" style="264" customWidth="1"/>
    <col min="13838" max="13839" width="8.375" style="264" customWidth="1"/>
    <col min="13840" max="14080" width="10" style="264"/>
    <col min="14081" max="14081" width="3.125" style="264" customWidth="1"/>
    <col min="14082" max="14082" width="17.875" style="264" customWidth="1"/>
    <col min="14083" max="14083" width="10" style="264" customWidth="1"/>
    <col min="14084" max="14084" width="2.375" style="264" customWidth="1"/>
    <col min="14085" max="14085" width="6.125" style="264" customWidth="1"/>
    <col min="14086" max="14086" width="7.125" style="264" customWidth="1"/>
    <col min="14087" max="14087" width="1.875" style="264" customWidth="1"/>
    <col min="14088" max="14089" width="7.125" style="264" customWidth="1"/>
    <col min="14090" max="14090" width="2.125" style="264" customWidth="1"/>
    <col min="14091" max="14091" width="12.125" style="264" customWidth="1"/>
    <col min="14092" max="14092" width="5.875" style="264" customWidth="1"/>
    <col min="14093" max="14093" width="5.5" style="264" customWidth="1"/>
    <col min="14094" max="14095" width="8.375" style="264" customWidth="1"/>
    <col min="14096" max="14336" width="10" style="264"/>
    <col min="14337" max="14337" width="3.125" style="264" customWidth="1"/>
    <col min="14338" max="14338" width="17.875" style="264" customWidth="1"/>
    <col min="14339" max="14339" width="10" style="264" customWidth="1"/>
    <col min="14340" max="14340" width="2.375" style="264" customWidth="1"/>
    <col min="14341" max="14341" width="6.125" style="264" customWidth="1"/>
    <col min="14342" max="14342" width="7.125" style="264" customWidth="1"/>
    <col min="14343" max="14343" width="1.875" style="264" customWidth="1"/>
    <col min="14344" max="14345" width="7.125" style="264" customWidth="1"/>
    <col min="14346" max="14346" width="2.125" style="264" customWidth="1"/>
    <col min="14347" max="14347" width="12.125" style="264" customWidth="1"/>
    <col min="14348" max="14348" width="5.875" style="264" customWidth="1"/>
    <col min="14349" max="14349" width="5.5" style="264" customWidth="1"/>
    <col min="14350" max="14351" width="8.375" style="264" customWidth="1"/>
    <col min="14352" max="14592" width="10" style="264"/>
    <col min="14593" max="14593" width="3.125" style="264" customWidth="1"/>
    <col min="14594" max="14594" width="17.875" style="264" customWidth="1"/>
    <col min="14595" max="14595" width="10" style="264" customWidth="1"/>
    <col min="14596" max="14596" width="2.375" style="264" customWidth="1"/>
    <col min="14597" max="14597" width="6.125" style="264" customWidth="1"/>
    <col min="14598" max="14598" width="7.125" style="264" customWidth="1"/>
    <col min="14599" max="14599" width="1.875" style="264" customWidth="1"/>
    <col min="14600" max="14601" width="7.125" style="264" customWidth="1"/>
    <col min="14602" max="14602" width="2.125" style="264" customWidth="1"/>
    <col min="14603" max="14603" width="12.125" style="264" customWidth="1"/>
    <col min="14604" max="14604" width="5.875" style="264" customWidth="1"/>
    <col min="14605" max="14605" width="5.5" style="264" customWidth="1"/>
    <col min="14606" max="14607" width="8.375" style="264" customWidth="1"/>
    <col min="14608" max="14848" width="10" style="264"/>
    <col min="14849" max="14849" width="3.125" style="264" customWidth="1"/>
    <col min="14850" max="14850" width="17.875" style="264" customWidth="1"/>
    <col min="14851" max="14851" width="10" style="264" customWidth="1"/>
    <col min="14852" max="14852" width="2.375" style="264" customWidth="1"/>
    <col min="14853" max="14853" width="6.125" style="264" customWidth="1"/>
    <col min="14854" max="14854" width="7.125" style="264" customWidth="1"/>
    <col min="14855" max="14855" width="1.875" style="264" customWidth="1"/>
    <col min="14856" max="14857" width="7.125" style="264" customWidth="1"/>
    <col min="14858" max="14858" width="2.125" style="264" customWidth="1"/>
    <col min="14859" max="14859" width="12.125" style="264" customWidth="1"/>
    <col min="14860" max="14860" width="5.875" style="264" customWidth="1"/>
    <col min="14861" max="14861" width="5.5" style="264" customWidth="1"/>
    <col min="14862" max="14863" width="8.375" style="264" customWidth="1"/>
    <col min="14864" max="15104" width="10" style="264"/>
    <col min="15105" max="15105" width="3.125" style="264" customWidth="1"/>
    <col min="15106" max="15106" width="17.875" style="264" customWidth="1"/>
    <col min="15107" max="15107" width="10" style="264" customWidth="1"/>
    <col min="15108" max="15108" width="2.375" style="264" customWidth="1"/>
    <col min="15109" max="15109" width="6.125" style="264" customWidth="1"/>
    <col min="15110" max="15110" width="7.125" style="264" customWidth="1"/>
    <col min="15111" max="15111" width="1.875" style="264" customWidth="1"/>
    <col min="15112" max="15113" width="7.125" style="264" customWidth="1"/>
    <col min="15114" max="15114" width="2.125" style="264" customWidth="1"/>
    <col min="15115" max="15115" width="12.125" style="264" customWidth="1"/>
    <col min="15116" max="15116" width="5.875" style="264" customWidth="1"/>
    <col min="15117" max="15117" width="5.5" style="264" customWidth="1"/>
    <col min="15118" max="15119" width="8.375" style="264" customWidth="1"/>
    <col min="15120" max="15360" width="10" style="264"/>
    <col min="15361" max="15361" width="3.125" style="264" customWidth="1"/>
    <col min="15362" max="15362" width="17.875" style="264" customWidth="1"/>
    <col min="15363" max="15363" width="10" style="264" customWidth="1"/>
    <col min="15364" max="15364" width="2.375" style="264" customWidth="1"/>
    <col min="15365" max="15365" width="6.125" style="264" customWidth="1"/>
    <col min="15366" max="15366" width="7.125" style="264" customWidth="1"/>
    <col min="15367" max="15367" width="1.875" style="264" customWidth="1"/>
    <col min="15368" max="15369" width="7.125" style="264" customWidth="1"/>
    <col min="15370" max="15370" width="2.125" style="264" customWidth="1"/>
    <col min="15371" max="15371" width="12.125" style="264" customWidth="1"/>
    <col min="15372" max="15372" width="5.875" style="264" customWidth="1"/>
    <col min="15373" max="15373" width="5.5" style="264" customWidth="1"/>
    <col min="15374" max="15375" width="8.375" style="264" customWidth="1"/>
    <col min="15376" max="15616" width="10" style="264"/>
    <col min="15617" max="15617" width="3.125" style="264" customWidth="1"/>
    <col min="15618" max="15618" width="17.875" style="264" customWidth="1"/>
    <col min="15619" max="15619" width="10" style="264" customWidth="1"/>
    <col min="15620" max="15620" width="2.375" style="264" customWidth="1"/>
    <col min="15621" max="15621" width="6.125" style="264" customWidth="1"/>
    <col min="15622" max="15622" width="7.125" style="264" customWidth="1"/>
    <col min="15623" max="15623" width="1.875" style="264" customWidth="1"/>
    <col min="15624" max="15625" width="7.125" style="264" customWidth="1"/>
    <col min="15626" max="15626" width="2.125" style="264" customWidth="1"/>
    <col min="15627" max="15627" width="12.125" style="264" customWidth="1"/>
    <col min="15628" max="15628" width="5.875" style="264" customWidth="1"/>
    <col min="15629" max="15629" width="5.5" style="264" customWidth="1"/>
    <col min="15630" max="15631" width="8.375" style="264" customWidth="1"/>
    <col min="15632" max="15872" width="10" style="264"/>
    <col min="15873" max="15873" width="3.125" style="264" customWidth="1"/>
    <col min="15874" max="15874" width="17.875" style="264" customWidth="1"/>
    <col min="15875" max="15875" width="10" style="264" customWidth="1"/>
    <col min="15876" max="15876" width="2.375" style="264" customWidth="1"/>
    <col min="15877" max="15877" width="6.125" style="264" customWidth="1"/>
    <col min="15878" max="15878" width="7.125" style="264" customWidth="1"/>
    <col min="15879" max="15879" width="1.875" style="264" customWidth="1"/>
    <col min="15880" max="15881" width="7.125" style="264" customWidth="1"/>
    <col min="15882" max="15882" width="2.125" style="264" customWidth="1"/>
    <col min="15883" max="15883" width="12.125" style="264" customWidth="1"/>
    <col min="15884" max="15884" width="5.875" style="264" customWidth="1"/>
    <col min="15885" max="15885" width="5.5" style="264" customWidth="1"/>
    <col min="15886" max="15887" width="8.375" style="264" customWidth="1"/>
    <col min="15888" max="16128" width="10" style="264"/>
    <col min="16129" max="16129" width="3.125" style="264" customWidth="1"/>
    <col min="16130" max="16130" width="17.875" style="264" customWidth="1"/>
    <col min="16131" max="16131" width="10" style="264" customWidth="1"/>
    <col min="16132" max="16132" width="2.375" style="264" customWidth="1"/>
    <col min="16133" max="16133" width="6.125" style="264" customWidth="1"/>
    <col min="16134" max="16134" width="7.125" style="264" customWidth="1"/>
    <col min="16135" max="16135" width="1.875" style="264" customWidth="1"/>
    <col min="16136" max="16137" width="7.125" style="264" customWidth="1"/>
    <col min="16138" max="16138" width="2.125" style="264" customWidth="1"/>
    <col min="16139" max="16139" width="12.125" style="264" customWidth="1"/>
    <col min="16140" max="16140" width="5.875" style="264" customWidth="1"/>
    <col min="16141" max="16141" width="5.5" style="264" customWidth="1"/>
    <col min="16142" max="16143" width="8.375" style="264" customWidth="1"/>
    <col min="16144" max="16384" width="10" style="264"/>
  </cols>
  <sheetData>
    <row r="1" spans="1:15" ht="14.25" customHeight="1">
      <c r="A1" s="262" t="s">
        <v>352</v>
      </c>
      <c r="B1" s="263"/>
      <c r="N1" s="265" t="s">
        <v>353</v>
      </c>
      <c r="O1" s="265" t="s">
        <v>354</v>
      </c>
    </row>
    <row r="2" spans="1:15" ht="14.25" customHeight="1">
      <c r="A2" s="266" t="s">
        <v>355</v>
      </c>
      <c r="B2" s="267" t="s">
        <v>356</v>
      </c>
    </row>
    <row r="3" spans="1:15" ht="14.25" customHeight="1">
      <c r="B3" s="268" t="s">
        <v>357</v>
      </c>
      <c r="C3" s="738">
        <v>2</v>
      </c>
      <c r="D3" s="739"/>
      <c r="E3" s="739"/>
      <c r="F3" s="740"/>
      <c r="G3" s="262"/>
    </row>
    <row r="4" spans="1:15" ht="14.25" customHeight="1">
      <c r="B4" s="269" t="s">
        <v>358</v>
      </c>
      <c r="C4" s="741" t="str">
        <f>①技術体系!D2</f>
        <v>沿岸部～中間</v>
      </c>
      <c r="D4" s="742"/>
      <c r="E4" s="742"/>
      <c r="F4" s="737"/>
    </row>
    <row r="5" spans="1:15" ht="14.25" customHeight="1">
      <c r="B5" s="270" t="s">
        <v>359</v>
      </c>
      <c r="C5" s="743" t="str">
        <f>①技術体系!A2</f>
        <v>トマト</v>
      </c>
      <c r="D5" s="742"/>
      <c r="E5" s="742"/>
      <c r="F5" s="737"/>
    </row>
    <row r="6" spans="1:15" ht="14.25" customHeight="1">
      <c r="B6" s="744" t="s">
        <v>360</v>
      </c>
      <c r="C6" s="747" t="str">
        <f>①技術体系!B2&amp;"　、"&amp;①技術体系!C2&amp;"、"&amp;④収入!B3&amp;④収入!C3&amp;④収入!D3&amp;"、"&amp;④収入!F2&amp;④収入!F3*100&amp;"%"</f>
        <v>冬春トマト（高糖度隔離床栽培ゆめ果菜恵）　、マイロック等、植付本数3100本、商品化率80%</v>
      </c>
      <c r="D6" s="748"/>
      <c r="E6" s="748"/>
      <c r="F6" s="749"/>
    </row>
    <row r="7" spans="1:15" ht="14.25" customHeight="1">
      <c r="B7" s="745"/>
      <c r="C7" s="750"/>
      <c r="D7" s="750"/>
      <c r="E7" s="750"/>
      <c r="F7" s="751"/>
    </row>
    <row r="8" spans="1:15" ht="14.25" customHeight="1">
      <c r="B8" s="745"/>
      <c r="C8" s="750"/>
      <c r="D8" s="750"/>
      <c r="E8" s="750"/>
      <c r="F8" s="751"/>
    </row>
    <row r="9" spans="1:15">
      <c r="B9" s="746"/>
      <c r="C9" s="752"/>
      <c r="D9" s="752"/>
      <c r="E9" s="752"/>
      <c r="F9" s="752"/>
    </row>
    <row r="10" spans="1:15" ht="14.25" customHeight="1">
      <c r="B10" s="267" t="s">
        <v>361</v>
      </c>
      <c r="E10" s="267" t="s">
        <v>362</v>
      </c>
      <c r="K10" s="267" t="s">
        <v>363</v>
      </c>
      <c r="M10" s="271"/>
    </row>
    <row r="11" spans="1:15" ht="14.25" customHeight="1">
      <c r="B11" s="268" t="s">
        <v>364</v>
      </c>
      <c r="C11" s="272">
        <f>④収入!B21</f>
        <v>10000</v>
      </c>
      <c r="E11" s="268" t="s">
        <v>365</v>
      </c>
      <c r="F11" s="665">
        <f>作業体系表!D31</f>
        <v>26</v>
      </c>
      <c r="H11" s="268" t="s">
        <v>366</v>
      </c>
      <c r="I11" s="665">
        <f>作業体系表!V31</f>
        <v>45</v>
      </c>
      <c r="K11" s="270" t="s">
        <v>367</v>
      </c>
      <c r="L11" s="753" t="s">
        <v>596</v>
      </c>
      <c r="M11" s="737"/>
    </row>
    <row r="12" spans="1:15" ht="14.25" customHeight="1">
      <c r="B12" s="268" t="s">
        <v>368</v>
      </c>
      <c r="C12" s="272">
        <f>④収入!C21</f>
        <v>581.38</v>
      </c>
      <c r="E12" s="268" t="s">
        <v>369</v>
      </c>
      <c r="F12" s="665">
        <f>作業体系表!E31</f>
        <v>23</v>
      </c>
      <c r="H12" s="268" t="s">
        <v>370</v>
      </c>
      <c r="I12" s="665">
        <f>作業体系表!W31</f>
        <v>0</v>
      </c>
      <c r="K12" s="270" t="s">
        <v>371</v>
      </c>
      <c r="L12" s="754"/>
      <c r="M12" s="737"/>
    </row>
    <row r="13" spans="1:15" ht="14.25" customHeight="1">
      <c r="B13" s="269" t="s">
        <v>372</v>
      </c>
      <c r="C13" s="272">
        <f>④収入!E21+④収入!F21</f>
        <v>0</v>
      </c>
      <c r="E13" s="268" t="s">
        <v>373</v>
      </c>
      <c r="F13" s="665">
        <f>作業体系表!F31</f>
        <v>25</v>
      </c>
      <c r="H13" s="268" t="s">
        <v>374</v>
      </c>
      <c r="I13" s="665">
        <f>作業体系表!X31</f>
        <v>0</v>
      </c>
      <c r="K13" s="273" t="s">
        <v>375</v>
      </c>
      <c r="L13" s="274">
        <v>11</v>
      </c>
      <c r="M13" s="275" t="s">
        <v>134</v>
      </c>
    </row>
    <row r="14" spans="1:15" ht="14.25" customHeight="1">
      <c r="B14" s="269" t="s">
        <v>376</v>
      </c>
      <c r="C14" s="276">
        <f>C11*C12+C13</f>
        <v>5813800</v>
      </c>
      <c r="E14" s="268" t="s">
        <v>377</v>
      </c>
      <c r="F14" s="665">
        <f>作業体系表!G31</f>
        <v>24</v>
      </c>
      <c r="H14" s="268" t="s">
        <v>378</v>
      </c>
      <c r="I14" s="665">
        <f>作業体系表!Y31</f>
        <v>0</v>
      </c>
      <c r="K14" s="273" t="s">
        <v>379</v>
      </c>
      <c r="L14" s="274">
        <v>7</v>
      </c>
      <c r="M14" s="275" t="s">
        <v>133</v>
      </c>
    </row>
    <row r="15" spans="1:15" ht="14.25" customHeight="1">
      <c r="B15" s="267" t="s">
        <v>380</v>
      </c>
      <c r="E15" s="268" t="s">
        <v>381</v>
      </c>
      <c r="F15" s="665">
        <f>作業体系表!H31</f>
        <v>25</v>
      </c>
      <c r="H15" s="268" t="s">
        <v>382</v>
      </c>
      <c r="I15" s="665">
        <f>作業体系表!Z31</f>
        <v>0</v>
      </c>
      <c r="K15" s="269" t="s">
        <v>383</v>
      </c>
      <c r="L15" s="736"/>
      <c r="M15" s="737"/>
    </row>
    <row r="16" spans="1:15" ht="14.25" customHeight="1">
      <c r="B16" s="269" t="s">
        <v>384</v>
      </c>
      <c r="C16" s="272">
        <f>経営収支!E7</f>
        <v>558000</v>
      </c>
      <c r="E16" s="268" t="s">
        <v>385</v>
      </c>
      <c r="F16" s="665">
        <f>作業体系表!I31</f>
        <v>23</v>
      </c>
      <c r="H16" s="268" t="s">
        <v>386</v>
      </c>
      <c r="I16" s="665">
        <f>作業体系表!AA31</f>
        <v>0</v>
      </c>
      <c r="K16" s="269" t="s">
        <v>387</v>
      </c>
      <c r="L16" s="736"/>
      <c r="M16" s="737"/>
    </row>
    <row r="17" spans="2:13" ht="14.25" customHeight="1">
      <c r="B17" s="269" t="s">
        <v>388</v>
      </c>
      <c r="C17" s="272">
        <f>経営収支!E8</f>
        <v>185091</v>
      </c>
      <c r="E17" s="268" t="s">
        <v>389</v>
      </c>
      <c r="F17" s="665">
        <f>作業体系表!J31</f>
        <v>72</v>
      </c>
      <c r="H17" s="268" t="s">
        <v>390</v>
      </c>
      <c r="I17" s="665">
        <f>作業体系表!AB31</f>
        <v>0</v>
      </c>
      <c r="K17" s="271"/>
      <c r="L17" s="277"/>
      <c r="M17" s="278"/>
    </row>
    <row r="18" spans="2:13" ht="14.25" customHeight="1">
      <c r="B18" s="269" t="s">
        <v>391</v>
      </c>
      <c r="C18" s="272">
        <f>経営収支!E9</f>
        <v>64228</v>
      </c>
      <c r="E18" s="268" t="s">
        <v>392</v>
      </c>
      <c r="F18" s="665">
        <f>作業体系表!K31</f>
        <v>75</v>
      </c>
      <c r="H18" s="268" t="s">
        <v>393</v>
      </c>
      <c r="I18" s="665">
        <f>作業体系表!AC31</f>
        <v>0</v>
      </c>
      <c r="K18" s="271"/>
      <c r="L18" s="277"/>
      <c r="M18" s="277"/>
    </row>
    <row r="19" spans="2:13" ht="14.25" customHeight="1">
      <c r="B19" s="269" t="s">
        <v>394</v>
      </c>
      <c r="C19" s="272">
        <f>経営収支!E10</f>
        <v>897521</v>
      </c>
      <c r="E19" s="268" t="s">
        <v>395</v>
      </c>
      <c r="F19" s="665">
        <f>作業体系表!L31</f>
        <v>91</v>
      </c>
      <c r="H19" s="268" t="s">
        <v>396</v>
      </c>
      <c r="I19" s="665">
        <f>作業体系表!AD31</f>
        <v>0</v>
      </c>
      <c r="K19" s="271"/>
      <c r="L19" s="277"/>
      <c r="M19" s="277"/>
    </row>
    <row r="20" spans="2:13" ht="14.25" customHeight="1">
      <c r="B20" s="269" t="s">
        <v>397</v>
      </c>
      <c r="C20" s="272">
        <f>経営収支!E11</f>
        <v>562057</v>
      </c>
      <c r="E20" s="268" t="s">
        <v>398</v>
      </c>
      <c r="F20" s="665">
        <f>作業体系表!M31</f>
        <v>97</v>
      </c>
      <c r="H20" s="268" t="s">
        <v>399</v>
      </c>
      <c r="I20" s="665">
        <f>作業体系表!AE31</f>
        <v>0</v>
      </c>
      <c r="K20" s="271"/>
      <c r="L20" s="277"/>
      <c r="M20" s="277"/>
    </row>
    <row r="21" spans="2:13" ht="14.25" customHeight="1">
      <c r="B21" s="269" t="s">
        <v>400</v>
      </c>
      <c r="C21" s="272">
        <f>経営収支!E13</f>
        <v>0</v>
      </c>
      <c r="E21" s="268" t="s">
        <v>401</v>
      </c>
      <c r="F21" s="665">
        <f>作業体系表!N31</f>
        <v>94</v>
      </c>
      <c r="H21" s="268" t="s">
        <v>402</v>
      </c>
      <c r="I21" s="665">
        <f>作業体系表!AF31</f>
        <v>0</v>
      </c>
      <c r="K21" s="271"/>
      <c r="L21" s="277"/>
      <c r="M21" s="277"/>
    </row>
    <row r="22" spans="2:13" ht="14.25" customHeight="1">
      <c r="B22" s="269" t="s">
        <v>403</v>
      </c>
      <c r="C22" s="272">
        <f>経営収支!E14</f>
        <v>0</v>
      </c>
      <c r="E22" s="268" t="s">
        <v>404</v>
      </c>
      <c r="F22" s="665">
        <f>作業体系表!O31</f>
        <v>96</v>
      </c>
      <c r="H22" s="268" t="s">
        <v>405</v>
      </c>
      <c r="I22" s="665">
        <f>作業体系表!AG31</f>
        <v>0</v>
      </c>
      <c r="K22" s="271"/>
      <c r="L22" s="277"/>
      <c r="M22" s="277"/>
    </row>
    <row r="23" spans="2:13" ht="14.25" customHeight="1">
      <c r="B23" s="269" t="s">
        <v>406</v>
      </c>
      <c r="C23" s="272">
        <f>経営収支!E29</f>
        <v>898656</v>
      </c>
      <c r="E23" s="268" t="s">
        <v>407</v>
      </c>
      <c r="F23" s="665">
        <f>作業体系表!P31</f>
        <v>95</v>
      </c>
      <c r="H23" s="268" t="s">
        <v>408</v>
      </c>
      <c r="I23" s="665">
        <f>作業体系表!AH31</f>
        <v>0</v>
      </c>
      <c r="K23" s="271"/>
      <c r="L23" s="277"/>
      <c r="M23" s="277"/>
    </row>
    <row r="24" spans="2:13" ht="14.25" customHeight="1">
      <c r="B24" s="269" t="s">
        <v>409</v>
      </c>
      <c r="C24" s="667">
        <f>経営収支!E12</f>
        <v>0</v>
      </c>
      <c r="E24" s="268" t="s">
        <v>410</v>
      </c>
      <c r="F24" s="665">
        <f>作業体系表!Q31</f>
        <v>88</v>
      </c>
      <c r="H24" s="268" t="s">
        <v>411</v>
      </c>
      <c r="I24" s="665">
        <f>作業体系表!AI31</f>
        <v>25</v>
      </c>
      <c r="K24" s="271"/>
      <c r="L24" s="277"/>
      <c r="M24" s="277"/>
    </row>
    <row r="25" spans="2:13" ht="14.25" customHeight="1">
      <c r="B25" s="269" t="s">
        <v>376</v>
      </c>
      <c r="C25" s="276">
        <f>SUM(C16:C24)</f>
        <v>3165553</v>
      </c>
      <c r="E25" s="268" t="s">
        <v>412</v>
      </c>
      <c r="F25" s="665">
        <f>作業体系表!R31</f>
        <v>96</v>
      </c>
      <c r="H25" s="268" t="s">
        <v>413</v>
      </c>
      <c r="I25" s="665">
        <f>作業体系表!AJ31</f>
        <v>16</v>
      </c>
      <c r="M25" s="277"/>
    </row>
    <row r="26" spans="2:13" ht="14.25" customHeight="1">
      <c r="B26" s="279"/>
      <c r="C26" s="271"/>
      <c r="E26" s="268" t="s">
        <v>414</v>
      </c>
      <c r="F26" s="665">
        <f>作業体系表!S31</f>
        <v>97</v>
      </c>
      <c r="H26" s="268" t="s">
        <v>415</v>
      </c>
      <c r="I26" s="665">
        <f>作業体系表!AK31</f>
        <v>7</v>
      </c>
      <c r="K26" s="271"/>
      <c r="L26" s="277"/>
      <c r="M26" s="277"/>
    </row>
    <row r="27" spans="2:13" ht="14.25" customHeight="1">
      <c r="B27" s="269" t="s">
        <v>416</v>
      </c>
      <c r="C27" s="280">
        <f>C14-C25</f>
        <v>2648247</v>
      </c>
      <c r="E27" s="268" t="s">
        <v>417</v>
      </c>
      <c r="F27" s="665">
        <f>作業体系表!T31</f>
        <v>82</v>
      </c>
      <c r="H27" s="268" t="s">
        <v>418</v>
      </c>
      <c r="I27" s="665">
        <f>作業体系表!AL31</f>
        <v>24</v>
      </c>
      <c r="K27" s="281"/>
      <c r="L27" s="282" t="s">
        <v>419</v>
      </c>
      <c r="M27" s="277"/>
    </row>
    <row r="28" spans="2:13">
      <c r="E28" s="268" t="s">
        <v>420</v>
      </c>
      <c r="F28" s="665">
        <f>作業体系表!U31</f>
        <v>80</v>
      </c>
      <c r="H28" s="268" t="s">
        <v>421</v>
      </c>
      <c r="I28" s="665">
        <f>作業体系表!AM31</f>
        <v>17</v>
      </c>
      <c r="K28" s="283"/>
      <c r="L28" s="284">
        <v>1</v>
      </c>
      <c r="M28" s="271"/>
    </row>
  </sheetData>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X109"/>
  <sheetViews>
    <sheetView showGridLines="0" workbookViewId="0">
      <pane ySplit="5" topLeftCell="A6" activePane="bottomLeft" state="frozen"/>
      <selection activeCell="I22" sqref="I22"/>
      <selection pane="bottomLeft" activeCell="A2" sqref="A2"/>
    </sheetView>
  </sheetViews>
  <sheetFormatPr defaultRowHeight="13.5" zeroHeight="1"/>
  <cols>
    <col min="1" max="1" width="13.5" style="83" bestFit="1" customWidth="1"/>
    <col min="2" max="2" width="32.375" style="83" customWidth="1"/>
    <col min="3" max="3" width="14.125" style="83" bestFit="1" customWidth="1"/>
    <col min="4" max="4" width="39" style="83" bestFit="1" customWidth="1"/>
    <col min="5" max="5" width="25.875" style="83" bestFit="1" customWidth="1"/>
    <col min="6" max="6" width="3.125" style="82" customWidth="1"/>
    <col min="7" max="24" width="9" style="82"/>
    <col min="25" max="16384" width="9" style="83"/>
  </cols>
  <sheetData>
    <row r="1" spans="1:24" s="81" customFormat="1">
      <c r="A1" s="79" t="s">
        <v>0</v>
      </c>
      <c r="B1" s="79" t="s">
        <v>276</v>
      </c>
      <c r="C1" s="79" t="s">
        <v>1</v>
      </c>
      <c r="D1" s="79" t="s">
        <v>2</v>
      </c>
      <c r="E1" s="308" t="s">
        <v>449</v>
      </c>
      <c r="F1" s="80"/>
      <c r="G1" s="80"/>
      <c r="H1" s="80"/>
      <c r="I1" s="80"/>
      <c r="J1" s="80"/>
      <c r="K1" s="80"/>
      <c r="L1" s="80"/>
      <c r="M1" s="80"/>
      <c r="N1" s="80"/>
      <c r="O1" s="80"/>
      <c r="P1" s="80"/>
      <c r="Q1" s="80"/>
      <c r="R1" s="80"/>
      <c r="S1" s="80"/>
      <c r="T1" s="80"/>
      <c r="U1" s="80"/>
      <c r="V1" s="80"/>
      <c r="W1" s="80"/>
      <c r="X1" s="80"/>
    </row>
    <row r="2" spans="1:24">
      <c r="A2" s="394" t="s">
        <v>291</v>
      </c>
      <c r="B2" s="259" t="s">
        <v>572</v>
      </c>
      <c r="C2" s="259" t="s">
        <v>502</v>
      </c>
      <c r="D2" s="356" t="s">
        <v>328</v>
      </c>
      <c r="E2" s="357">
        <v>0.3</v>
      </c>
    </row>
    <row r="3" spans="1:24" ht="9.75" customHeight="1">
      <c r="A3" s="395"/>
      <c r="B3" s="395"/>
      <c r="C3" s="395"/>
      <c r="D3" s="395"/>
      <c r="E3" s="395"/>
    </row>
    <row r="4" spans="1:24">
      <c r="A4" s="395" t="s">
        <v>3</v>
      </c>
      <c r="B4" s="395"/>
      <c r="C4" s="395"/>
      <c r="D4" s="395"/>
      <c r="E4" s="395"/>
    </row>
    <row r="5" spans="1:24" ht="21.95" customHeight="1">
      <c r="A5" s="84" t="s">
        <v>4</v>
      </c>
      <c r="B5" s="79" t="s">
        <v>5</v>
      </c>
      <c r="C5" s="79" t="s">
        <v>6</v>
      </c>
      <c r="D5" s="85" t="s">
        <v>7</v>
      </c>
      <c r="E5" s="79" t="s">
        <v>8</v>
      </c>
    </row>
    <row r="6" spans="1:24" ht="24" customHeight="1">
      <c r="A6" s="353" t="s">
        <v>573</v>
      </c>
      <c r="B6" s="644" t="s">
        <v>530</v>
      </c>
      <c r="C6" s="351" t="s">
        <v>531</v>
      </c>
      <c r="D6" s="352" t="s">
        <v>532</v>
      </c>
      <c r="E6" s="351"/>
    </row>
    <row r="7" spans="1:24" ht="24" customHeight="1">
      <c r="A7" s="353" t="s">
        <v>285</v>
      </c>
      <c r="B7" s="351" t="s">
        <v>329</v>
      </c>
      <c r="C7" s="351" t="s">
        <v>330</v>
      </c>
      <c r="D7" s="352" t="s">
        <v>331</v>
      </c>
      <c r="E7" s="351"/>
    </row>
    <row r="8" spans="1:24" ht="24" customHeight="1">
      <c r="A8" s="353" t="s">
        <v>286</v>
      </c>
      <c r="B8" s="351" t="s">
        <v>580</v>
      </c>
      <c r="C8" s="351" t="s">
        <v>332</v>
      </c>
      <c r="D8" s="352" t="s">
        <v>333</v>
      </c>
      <c r="E8" s="351"/>
    </row>
    <row r="9" spans="1:24" ht="24" customHeight="1">
      <c r="A9" s="353" t="s">
        <v>287</v>
      </c>
      <c r="B9" s="645" t="s">
        <v>576</v>
      </c>
      <c r="C9" s="351" t="s">
        <v>334</v>
      </c>
      <c r="D9" s="351" t="s">
        <v>535</v>
      </c>
      <c r="E9" s="628"/>
    </row>
    <row r="10" spans="1:24" ht="24" customHeight="1">
      <c r="A10" s="353" t="s">
        <v>289</v>
      </c>
      <c r="B10" s="351" t="s">
        <v>577</v>
      </c>
      <c r="C10" s="351" t="s">
        <v>335</v>
      </c>
      <c r="D10" s="352" t="s">
        <v>336</v>
      </c>
      <c r="E10" s="351"/>
    </row>
    <row r="11" spans="1:24" ht="24" customHeight="1">
      <c r="A11" s="353" t="s">
        <v>534</v>
      </c>
      <c r="B11" s="351" t="s">
        <v>337</v>
      </c>
      <c r="C11" s="351" t="s">
        <v>338</v>
      </c>
      <c r="D11" s="352" t="s">
        <v>339</v>
      </c>
      <c r="E11" s="351"/>
    </row>
    <row r="12" spans="1:24" ht="24" customHeight="1">
      <c r="A12" s="353" t="s">
        <v>288</v>
      </c>
      <c r="B12" s="351"/>
      <c r="C12" s="351" t="s">
        <v>335</v>
      </c>
      <c r="D12" s="352" t="s">
        <v>536</v>
      </c>
      <c r="E12" s="351"/>
    </row>
    <row r="13" spans="1:24" ht="24" customHeight="1">
      <c r="A13" s="353" t="s">
        <v>321</v>
      </c>
      <c r="B13" s="351" t="s">
        <v>340</v>
      </c>
      <c r="C13" s="351" t="s">
        <v>335</v>
      </c>
      <c r="D13" s="352" t="s">
        <v>581</v>
      </c>
      <c r="E13" s="351"/>
    </row>
    <row r="14" spans="1:24" ht="24" customHeight="1">
      <c r="A14" s="353" t="s">
        <v>574</v>
      </c>
      <c r="B14" s="351" t="s">
        <v>575</v>
      </c>
      <c r="C14" s="351" t="s">
        <v>341</v>
      </c>
      <c r="D14" s="646" t="s">
        <v>587</v>
      </c>
      <c r="E14" s="351"/>
    </row>
    <row r="15" spans="1:24" ht="24" customHeight="1">
      <c r="A15" s="353" t="s">
        <v>290</v>
      </c>
      <c r="B15" s="351" t="s">
        <v>568</v>
      </c>
      <c r="C15" s="351" t="s">
        <v>342</v>
      </c>
      <c r="D15" s="352" t="s">
        <v>343</v>
      </c>
      <c r="E15" s="351"/>
    </row>
    <row r="16" spans="1:24" ht="24" customHeight="1">
      <c r="A16" s="353" t="s">
        <v>314</v>
      </c>
      <c r="B16" s="629" t="s">
        <v>569</v>
      </c>
      <c r="C16" s="351" t="s">
        <v>342</v>
      </c>
      <c r="D16" s="352" t="s">
        <v>547</v>
      </c>
      <c r="E16" s="351"/>
    </row>
    <row r="17" spans="1:5" ht="24" customHeight="1">
      <c r="A17" s="353" t="s">
        <v>315</v>
      </c>
      <c r="B17" s="351" t="s">
        <v>344</v>
      </c>
      <c r="C17" s="351" t="s">
        <v>345</v>
      </c>
      <c r="D17" s="352" t="s">
        <v>582</v>
      </c>
      <c r="E17" s="351"/>
    </row>
    <row r="18" spans="1:5" ht="24" customHeight="1">
      <c r="A18" s="353" t="s">
        <v>578</v>
      </c>
      <c r="B18" s="351" t="s">
        <v>583</v>
      </c>
      <c r="C18" s="351" t="s">
        <v>579</v>
      </c>
      <c r="D18" s="352"/>
      <c r="E18" s="351"/>
    </row>
    <row r="19" spans="1:5" ht="24" customHeight="1">
      <c r="A19" s="353"/>
      <c r="B19" s="351"/>
      <c r="C19" s="351"/>
      <c r="D19" s="352"/>
      <c r="E19" s="351"/>
    </row>
    <row r="20" spans="1:5" ht="24" customHeight="1">
      <c r="A20" s="353"/>
      <c r="B20" s="351"/>
      <c r="C20" s="351"/>
      <c r="D20" s="352"/>
      <c r="E20" s="351"/>
    </row>
    <row r="21" spans="1:5" ht="24" customHeight="1">
      <c r="A21" s="353"/>
      <c r="B21" s="351"/>
      <c r="C21" s="351"/>
      <c r="D21" s="352"/>
      <c r="E21" s="351"/>
    </row>
    <row r="22" spans="1:5" ht="24" customHeight="1">
      <c r="A22" s="353"/>
      <c r="B22" s="351"/>
      <c r="C22" s="351"/>
      <c r="D22" s="352"/>
      <c r="E22" s="351"/>
    </row>
    <row r="23" spans="1:5" ht="24" customHeight="1">
      <c r="A23" s="353"/>
      <c r="B23" s="351"/>
      <c r="C23" s="351"/>
      <c r="D23" s="352"/>
      <c r="E23" s="351"/>
    </row>
    <row r="24" spans="1:5" ht="24" customHeight="1">
      <c r="A24" s="354"/>
      <c r="B24" s="354"/>
      <c r="C24" s="354"/>
      <c r="D24" s="354"/>
      <c r="E24" s="354"/>
    </row>
    <row r="25" spans="1:5" ht="24" customHeight="1">
      <c r="A25" s="355"/>
      <c r="B25" s="355"/>
      <c r="C25" s="355"/>
      <c r="D25" s="355"/>
      <c r="E25" s="355"/>
    </row>
    <row r="26" spans="1:5">
      <c r="A26" s="82"/>
      <c r="B26" s="82"/>
      <c r="C26" s="82"/>
      <c r="D26" s="82"/>
      <c r="E26" s="82"/>
    </row>
    <row r="27" spans="1:5">
      <c r="A27" s="82"/>
      <c r="B27" s="82"/>
      <c r="C27" s="82"/>
      <c r="D27" s="82"/>
      <c r="E27" s="82"/>
    </row>
    <row r="28" spans="1:5">
      <c r="A28" s="82"/>
      <c r="B28" s="82"/>
      <c r="C28" s="82"/>
      <c r="D28" s="82"/>
      <c r="E28" s="82"/>
    </row>
    <row r="29" spans="1:5">
      <c r="A29" s="82"/>
      <c r="B29" s="82"/>
      <c r="C29" s="82"/>
      <c r="D29" s="82"/>
      <c r="E29" s="82"/>
    </row>
    <row r="30" spans="1:5">
      <c r="A30" s="82"/>
      <c r="B30" s="82"/>
      <c r="C30" s="82"/>
      <c r="D30" s="82"/>
      <c r="E30" s="82"/>
    </row>
    <row r="31" spans="1:5">
      <c r="A31" s="82"/>
      <c r="B31" s="82"/>
      <c r="C31" s="82"/>
      <c r="D31" s="82"/>
      <c r="E31" s="82"/>
    </row>
    <row r="32" spans="1:5">
      <c r="A32" s="82"/>
      <c r="B32" s="82"/>
      <c r="C32" s="82"/>
      <c r="D32" s="82"/>
      <c r="E32" s="82"/>
    </row>
    <row r="33" spans="1:5">
      <c r="A33" s="82"/>
      <c r="B33" s="82"/>
      <c r="C33" s="82"/>
      <c r="D33" s="82"/>
      <c r="E33" s="82"/>
    </row>
    <row r="34" spans="1:5">
      <c r="A34" s="82"/>
      <c r="B34" s="82"/>
      <c r="C34" s="82"/>
      <c r="D34" s="82"/>
      <c r="E34" s="82"/>
    </row>
    <row r="35" spans="1:5">
      <c r="A35" s="82"/>
      <c r="B35" s="82"/>
      <c r="C35" s="82"/>
      <c r="D35" s="82"/>
      <c r="E35" s="82"/>
    </row>
    <row r="36" spans="1:5"/>
    <row r="37" spans="1:5"/>
    <row r="38" spans="1:5"/>
    <row r="39" spans="1:5"/>
    <row r="40" spans="1:5"/>
    <row r="41" spans="1:5"/>
    <row r="42" spans="1:5"/>
    <row r="43" spans="1:5"/>
    <row r="44" spans="1:5"/>
    <row r="45" spans="1:5"/>
    <row r="46" spans="1:5"/>
    <row r="47" spans="1:5"/>
    <row r="48" spans="1: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sheetData>
  <sheetProtection sheet="1" objects="1" scenarios="1" selectLockedCells="1"/>
  <phoneticPr fontId="14"/>
  <printOptions horizontalCentered="1"/>
  <pageMargins left="0.78740157480314965" right="0.78740157480314965" top="1.1811023622047245" bottom="0.39370078740157483" header="0.78740157480314965" footer="0.51181102362204722"/>
  <pageSetup paperSize="9" scale="85" firstPageNumber="0" orientation="landscape" cellComments="asDisplayed" horizontalDpi="4294967293" verticalDpi="300" r:id="rId1"/>
  <headerFooter alignWithMargins="0">
    <oddHeader>&amp;L冬春トマト（高糖度隔離床栽培ゆめ果菜恵）（沿岸部～中間）</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G122"/>
  <sheetViews>
    <sheetView showGridLines="0" tabSelected="1" workbookViewId="0">
      <pane xSplit="1" ySplit="4" topLeftCell="B5" activePane="bottomRight" state="frozen"/>
      <selection pane="topRight" activeCell="B1" sqref="B1"/>
      <selection pane="bottomLeft" activeCell="A5" sqref="A5"/>
      <selection pane="bottomRight" activeCell="B12" sqref="B12:C12"/>
    </sheetView>
  </sheetViews>
  <sheetFormatPr defaultRowHeight="12" zeroHeight="1"/>
  <cols>
    <col min="1" max="1" width="3.875" style="90" customWidth="1"/>
    <col min="2" max="2" width="2.875" style="90" customWidth="1"/>
    <col min="3" max="3" width="19.375" style="90" customWidth="1"/>
    <col min="4" max="4" width="27.125" style="90" customWidth="1"/>
    <col min="5" max="5" width="3.625" style="90" customWidth="1"/>
    <col min="6" max="6" width="2.625" style="90" bestFit="1" customWidth="1"/>
    <col min="7" max="8" width="3.375" style="90" customWidth="1"/>
    <col min="9" max="9" width="5.25" style="90" customWidth="1"/>
    <col min="10" max="12" width="12.25" style="90" customWidth="1"/>
    <col min="13" max="13" width="5.75" style="91" customWidth="1"/>
    <col min="14" max="15" width="11.25" style="91" customWidth="1"/>
    <col min="16" max="16" width="11.25" style="150" customWidth="1"/>
    <col min="17" max="19" width="11.25" style="90" customWidth="1"/>
    <col min="20" max="20" width="27.25" style="90" bestFit="1" customWidth="1"/>
    <col min="21" max="21" width="4.5" style="90" customWidth="1"/>
    <col min="22" max="22" width="15.125" style="90" customWidth="1"/>
    <col min="23" max="23" width="11.5" style="90" customWidth="1"/>
    <col min="24" max="24" width="12.125" style="90" customWidth="1"/>
    <col min="25" max="25" width="7.875" style="90" customWidth="1"/>
    <col min="26" max="26" width="8.875" style="90" customWidth="1"/>
    <col min="27" max="27" width="4.875" style="90" customWidth="1"/>
    <col min="28" max="28" width="16.25" style="90" customWidth="1"/>
    <col min="29" max="29" width="11.875" style="90" customWidth="1"/>
    <col min="30" max="30" width="8.25" style="90" customWidth="1"/>
    <col min="31" max="31" width="6.125" style="90" customWidth="1"/>
    <col min="32" max="32" width="6.625" style="90" customWidth="1"/>
    <col min="33" max="33" width="12.5" style="90" customWidth="1"/>
    <col min="34" max="16384" width="9" style="90"/>
  </cols>
  <sheetData>
    <row r="1" spans="1:85" ht="16.5" customHeight="1">
      <c r="A1" s="419" t="s">
        <v>9</v>
      </c>
      <c r="B1" s="86"/>
      <c r="C1" s="86"/>
      <c r="D1" s="87" t="s">
        <v>10</v>
      </c>
      <c r="E1" s="761">
        <f>①技術体系!E2*100</f>
        <v>30</v>
      </c>
      <c r="F1" s="761"/>
      <c r="G1" s="88" t="s">
        <v>11</v>
      </c>
      <c r="H1" s="89"/>
      <c r="I1" s="89"/>
      <c r="J1" s="89"/>
      <c r="P1" s="91"/>
      <c r="Q1" s="92" t="str">
        <f>①技術体系!A2</f>
        <v>トマト</v>
      </c>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row>
    <row r="2" spans="1:85" ht="18.75" customHeight="1">
      <c r="A2" s="769" t="s">
        <v>12</v>
      </c>
      <c r="B2" s="769"/>
      <c r="C2" s="769"/>
      <c r="D2" s="94" t="s">
        <v>13</v>
      </c>
      <c r="E2" s="762" t="s">
        <v>14</v>
      </c>
      <c r="F2" s="762" t="s">
        <v>15</v>
      </c>
      <c r="G2" s="762" t="s">
        <v>16</v>
      </c>
      <c r="H2" s="755" t="s">
        <v>17</v>
      </c>
      <c r="I2" s="755" t="s">
        <v>18</v>
      </c>
      <c r="J2" s="196" t="s">
        <v>19</v>
      </c>
      <c r="K2" s="196" t="s">
        <v>20</v>
      </c>
      <c r="L2" s="94" t="s">
        <v>21</v>
      </c>
      <c r="M2" s="756" t="s">
        <v>22</v>
      </c>
      <c r="N2" s="757"/>
      <c r="O2" s="757"/>
      <c r="P2" s="757"/>
      <c r="Q2" s="757"/>
      <c r="R2" s="757"/>
      <c r="S2" s="758"/>
      <c r="T2" s="196"/>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row>
    <row r="3" spans="1:85" ht="17.25" customHeight="1">
      <c r="A3" s="95"/>
      <c r="B3" s="96"/>
      <c r="C3" s="97"/>
      <c r="D3" s="97"/>
      <c r="E3" s="762"/>
      <c r="F3" s="762"/>
      <c r="G3" s="762"/>
      <c r="H3" s="755"/>
      <c r="I3" s="755"/>
      <c r="J3" s="98"/>
      <c r="K3" s="98" t="s">
        <v>23</v>
      </c>
      <c r="L3" s="97" t="s">
        <v>20</v>
      </c>
      <c r="M3" s="759" t="s">
        <v>24</v>
      </c>
      <c r="N3" s="97" t="s">
        <v>25</v>
      </c>
      <c r="O3" s="97" t="s">
        <v>26</v>
      </c>
      <c r="P3" s="97" t="s">
        <v>27</v>
      </c>
      <c r="Q3" s="97" t="s">
        <v>28</v>
      </c>
      <c r="R3" s="97" t="s">
        <v>28</v>
      </c>
      <c r="S3" s="97" t="s">
        <v>29</v>
      </c>
      <c r="T3" s="97" t="s">
        <v>30</v>
      </c>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row>
    <row r="4" spans="1:85" ht="18" customHeight="1">
      <c r="A4" s="99"/>
      <c r="B4" s="100"/>
      <c r="C4" s="101"/>
      <c r="D4" s="101"/>
      <c r="E4" s="762"/>
      <c r="F4" s="762"/>
      <c r="G4" s="762"/>
      <c r="H4" s="755"/>
      <c r="I4" s="755"/>
      <c r="J4" s="102"/>
      <c r="K4" s="102"/>
      <c r="L4" s="101"/>
      <c r="M4" s="759"/>
      <c r="N4" s="101"/>
      <c r="O4" s="101"/>
      <c r="P4" s="101"/>
      <c r="Q4" s="101"/>
      <c r="R4" s="103" t="s">
        <v>31</v>
      </c>
      <c r="S4" s="103" t="s">
        <v>31</v>
      </c>
      <c r="T4" s="101"/>
      <c r="U4" s="93"/>
      <c r="V4" s="21"/>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row>
    <row r="5" spans="1:85" ht="14.1" customHeight="1">
      <c r="A5" s="104"/>
      <c r="B5" s="770" t="s">
        <v>298</v>
      </c>
      <c r="C5" s="771"/>
      <c r="D5" s="105" t="s">
        <v>603</v>
      </c>
      <c r="E5" s="106">
        <v>1</v>
      </c>
      <c r="F5" s="106" t="s">
        <v>295</v>
      </c>
      <c r="G5" s="107"/>
      <c r="H5" s="106">
        <v>24</v>
      </c>
      <c r="I5" s="115">
        <v>1</v>
      </c>
      <c r="J5" s="668">
        <v>2160000</v>
      </c>
      <c r="K5" s="376">
        <f>J5*E5</f>
        <v>2160000</v>
      </c>
      <c r="L5" s="377">
        <f>IF(I5="",K5,I5*K5)</f>
        <v>2160000</v>
      </c>
      <c r="M5" s="107">
        <v>0.6</v>
      </c>
      <c r="N5" s="386">
        <f>IF(I5="",INT(K5*M5),INT(K5*I5*M5))</f>
        <v>1296000</v>
      </c>
      <c r="O5" s="386">
        <f>N5*(G5)</f>
        <v>0</v>
      </c>
      <c r="P5" s="387">
        <f>N5-O5</f>
        <v>1296000</v>
      </c>
      <c r="Q5" s="386">
        <f>IF(H5="",0,ROUND(P5/H5,0))</f>
        <v>54000</v>
      </c>
      <c r="R5" s="386">
        <f>IF(Q5=0,0,INT(Q5/$E$1*10))</f>
        <v>18000</v>
      </c>
      <c r="S5" s="386">
        <f>IF(R5=0,0,$D$34*K5*M5/$E$1*10)</f>
        <v>4320</v>
      </c>
      <c r="T5" s="311"/>
      <c r="U5" s="194"/>
      <c r="V5" s="195"/>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row>
    <row r="6" spans="1:85" ht="14.1" customHeight="1">
      <c r="A6" s="108" t="s">
        <v>32</v>
      </c>
      <c r="B6" s="772" t="s">
        <v>548</v>
      </c>
      <c r="C6" s="773"/>
      <c r="D6" s="105" t="s">
        <v>603</v>
      </c>
      <c r="E6" s="106">
        <v>1</v>
      </c>
      <c r="F6" s="106" t="s">
        <v>295</v>
      </c>
      <c r="G6" s="107"/>
      <c r="H6" s="106">
        <v>24</v>
      </c>
      <c r="I6" s="115">
        <v>1</v>
      </c>
      <c r="J6" s="669">
        <v>2160000</v>
      </c>
      <c r="K6" s="376">
        <f>J6*E6</f>
        <v>2160000</v>
      </c>
      <c r="L6" s="378">
        <f>IF(I6="",K6,I6*K6)</f>
        <v>2160000</v>
      </c>
      <c r="M6" s="107">
        <v>0.6</v>
      </c>
      <c r="N6" s="386">
        <f>IF(I6="",INT(K6*M6),INT(K6*I6*M6))</f>
        <v>1296000</v>
      </c>
      <c r="O6" s="386">
        <f>N6*(G6)</f>
        <v>0</v>
      </c>
      <c r="P6" s="387">
        <f>N6-O6</f>
        <v>1296000</v>
      </c>
      <c r="Q6" s="386">
        <f>IF(H6="",0,ROUND(P6/H6,0))</f>
        <v>54000</v>
      </c>
      <c r="R6" s="386">
        <f t="shared" ref="R6:R17" si="0">IF(Q6=0,0,INT(Q6/$E$1*10))</f>
        <v>18000</v>
      </c>
      <c r="S6" s="386">
        <f>IF(R6=0,0,$D$34*K6*M6/$E$1*10)</f>
        <v>4320</v>
      </c>
      <c r="T6" s="312"/>
      <c r="U6" s="93"/>
      <c r="V6" s="1"/>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row>
    <row r="7" spans="1:85" ht="14.1" customHeight="1">
      <c r="A7" s="108" t="s">
        <v>33</v>
      </c>
      <c r="B7" s="772"/>
      <c r="C7" s="773"/>
      <c r="D7" s="105"/>
      <c r="E7" s="106"/>
      <c r="F7" s="106"/>
      <c r="G7" s="107"/>
      <c r="H7" s="106"/>
      <c r="I7" s="115"/>
      <c r="J7" s="109"/>
      <c r="K7" s="376">
        <f>J7*E7</f>
        <v>0</v>
      </c>
      <c r="L7" s="378">
        <f>IF(I7="",K7,I7*K7)</f>
        <v>0</v>
      </c>
      <c r="M7" s="107"/>
      <c r="N7" s="386">
        <f>IF(I7="",INT(K7*M7),INT(K7*I7*M7))</f>
        <v>0</v>
      </c>
      <c r="O7" s="386">
        <f>N7*(G7)</f>
        <v>0</v>
      </c>
      <c r="P7" s="387">
        <f>N7-O7</f>
        <v>0</v>
      </c>
      <c r="Q7" s="386">
        <f>IF(H7="",0,ROUND(P7/H7,0))</f>
        <v>0</v>
      </c>
      <c r="R7" s="386">
        <f t="shared" si="0"/>
        <v>0</v>
      </c>
      <c r="S7" s="386">
        <f>IF(R7=0,0,$D$34*K7*M7/$E$1*10)</f>
        <v>0</v>
      </c>
      <c r="T7" s="312"/>
      <c r="U7" s="93"/>
      <c r="V7" s="1"/>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row>
    <row r="8" spans="1:85" ht="14.1" customHeight="1">
      <c r="A8" s="110"/>
      <c r="B8" s="776"/>
      <c r="C8" s="777"/>
      <c r="D8" s="407"/>
      <c r="E8" s="408"/>
      <c r="F8" s="408"/>
      <c r="G8" s="409"/>
      <c r="H8" s="408"/>
      <c r="I8" s="410"/>
      <c r="J8" s="411"/>
      <c r="K8" s="379">
        <f>SUM(K5:K7)</f>
        <v>4320000</v>
      </c>
      <c r="L8" s="380">
        <f>SUM(L5:L7)</f>
        <v>4320000</v>
      </c>
      <c r="M8" s="409"/>
      <c r="N8" s="383">
        <f t="shared" ref="N8:S8" si="1">SUM(N5:N7)</f>
        <v>2592000</v>
      </c>
      <c r="O8" s="383">
        <f t="shared" si="1"/>
        <v>0</v>
      </c>
      <c r="P8" s="383">
        <f t="shared" si="1"/>
        <v>2592000</v>
      </c>
      <c r="Q8" s="383">
        <f t="shared" si="1"/>
        <v>108000</v>
      </c>
      <c r="R8" s="383">
        <f t="shared" si="1"/>
        <v>36000</v>
      </c>
      <c r="S8" s="383">
        <f t="shared" si="1"/>
        <v>8640</v>
      </c>
      <c r="T8" s="111"/>
      <c r="U8" s="93"/>
      <c r="V8" s="1"/>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row>
    <row r="9" spans="1:85" ht="14.1" customHeight="1">
      <c r="A9" s="108"/>
      <c r="B9" s="770" t="s">
        <v>292</v>
      </c>
      <c r="C9" s="771"/>
      <c r="D9" s="105" t="s">
        <v>604</v>
      </c>
      <c r="E9" s="106">
        <v>1</v>
      </c>
      <c r="F9" s="106" t="s">
        <v>295</v>
      </c>
      <c r="G9" s="107"/>
      <c r="H9" s="106">
        <v>10</v>
      </c>
      <c r="I9" s="115">
        <v>0.7</v>
      </c>
      <c r="J9" s="193">
        <v>17735000</v>
      </c>
      <c r="K9" s="376">
        <f>J9*E9</f>
        <v>17735000</v>
      </c>
      <c r="L9" s="378">
        <f t="shared" ref="L9:L15" si="2">IF(I9="",K9,I9*K9)</f>
        <v>12414500</v>
      </c>
      <c r="M9" s="107">
        <v>0.6</v>
      </c>
      <c r="N9" s="386">
        <f t="shared" ref="N9:N15" si="3">IF(I9="",INT(K9*M9),INT(K9*I9*M9))</f>
        <v>7448700</v>
      </c>
      <c r="O9" s="386">
        <f t="shared" ref="O9:O15" si="4">N9*(G9)</f>
        <v>0</v>
      </c>
      <c r="P9" s="387">
        <f t="shared" ref="P9:P15" si="5">N9-O9</f>
        <v>7448700</v>
      </c>
      <c r="Q9" s="386">
        <f t="shared" ref="Q9:Q15" si="6">IF(H9="",0,ROUND(P9/H9,0))</f>
        <v>744870</v>
      </c>
      <c r="R9" s="386">
        <f t="shared" si="0"/>
        <v>248290</v>
      </c>
      <c r="S9" s="386">
        <f t="shared" ref="S9:S17" si="7">IF(R9=0,0,$D$34*K9*M9/$E$1*10)</f>
        <v>35470</v>
      </c>
      <c r="T9" s="312" t="s">
        <v>605</v>
      </c>
      <c r="U9" s="93"/>
      <c r="V9" s="1"/>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row>
    <row r="10" spans="1:85" ht="14.1" customHeight="1">
      <c r="A10" s="112" t="s">
        <v>34</v>
      </c>
      <c r="B10" s="772" t="s">
        <v>322</v>
      </c>
      <c r="C10" s="773"/>
      <c r="D10" s="452" t="s">
        <v>323</v>
      </c>
      <c r="E10" s="106">
        <v>1</v>
      </c>
      <c r="F10" s="106" t="s">
        <v>296</v>
      </c>
      <c r="G10" s="107"/>
      <c r="H10" s="106">
        <v>10</v>
      </c>
      <c r="I10" s="115">
        <v>0.7</v>
      </c>
      <c r="J10" s="193">
        <v>4914000</v>
      </c>
      <c r="K10" s="376">
        <f t="shared" ref="K10:K15" si="8">J10*E10</f>
        <v>4914000</v>
      </c>
      <c r="L10" s="378">
        <f t="shared" si="2"/>
        <v>3439800</v>
      </c>
      <c r="M10" s="107">
        <v>0.6</v>
      </c>
      <c r="N10" s="386">
        <f t="shared" si="3"/>
        <v>2063880</v>
      </c>
      <c r="O10" s="386">
        <f t="shared" si="4"/>
        <v>0</v>
      </c>
      <c r="P10" s="387">
        <f t="shared" si="5"/>
        <v>2063880</v>
      </c>
      <c r="Q10" s="386">
        <f t="shared" si="6"/>
        <v>206388</v>
      </c>
      <c r="R10" s="386">
        <f t="shared" si="0"/>
        <v>68796</v>
      </c>
      <c r="S10" s="386">
        <f t="shared" si="7"/>
        <v>9828</v>
      </c>
      <c r="T10" s="311"/>
      <c r="U10" s="93"/>
      <c r="V10" s="1"/>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row>
    <row r="11" spans="1:85" ht="14.1" customHeight="1">
      <c r="A11" s="112"/>
      <c r="B11" s="772" t="s">
        <v>545</v>
      </c>
      <c r="C11" s="773"/>
      <c r="D11" s="625" t="s">
        <v>549</v>
      </c>
      <c r="E11" s="106">
        <v>1</v>
      </c>
      <c r="F11" s="106" t="s">
        <v>296</v>
      </c>
      <c r="G11" s="107"/>
      <c r="H11" s="106">
        <v>7</v>
      </c>
      <c r="I11" s="115">
        <v>0.7</v>
      </c>
      <c r="J11" s="193">
        <v>825700</v>
      </c>
      <c r="K11" s="376">
        <f t="shared" si="8"/>
        <v>825700</v>
      </c>
      <c r="L11" s="378">
        <f t="shared" si="2"/>
        <v>577990</v>
      </c>
      <c r="M11" s="107">
        <v>0.6</v>
      </c>
      <c r="N11" s="386">
        <f t="shared" si="3"/>
        <v>346794</v>
      </c>
      <c r="O11" s="386">
        <f t="shared" si="4"/>
        <v>0</v>
      </c>
      <c r="P11" s="387">
        <f t="shared" si="5"/>
        <v>346794</v>
      </c>
      <c r="Q11" s="386">
        <f t="shared" si="6"/>
        <v>49542</v>
      </c>
      <c r="R11" s="386">
        <f t="shared" si="0"/>
        <v>16514</v>
      </c>
      <c r="S11" s="386">
        <f t="shared" si="7"/>
        <v>1651.3999999999999</v>
      </c>
      <c r="T11" s="311"/>
      <c r="U11" s="93"/>
      <c r="V11" s="1"/>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row>
    <row r="12" spans="1:85" ht="14.1" customHeight="1">
      <c r="A12" s="112" t="s">
        <v>35</v>
      </c>
      <c r="B12" s="772"/>
      <c r="C12" s="773"/>
      <c r="D12" s="105"/>
      <c r="E12" s="106"/>
      <c r="F12" s="106"/>
      <c r="G12" s="107"/>
      <c r="H12" s="106"/>
      <c r="I12" s="115"/>
      <c r="J12" s="453"/>
      <c r="K12" s="376">
        <f t="shared" si="8"/>
        <v>0</v>
      </c>
      <c r="L12" s="378">
        <f t="shared" si="2"/>
        <v>0</v>
      </c>
      <c r="M12" s="107"/>
      <c r="N12" s="386">
        <f t="shared" si="3"/>
        <v>0</v>
      </c>
      <c r="O12" s="386">
        <f t="shared" si="4"/>
        <v>0</v>
      </c>
      <c r="P12" s="387">
        <f t="shared" si="5"/>
        <v>0</v>
      </c>
      <c r="Q12" s="386">
        <f t="shared" si="6"/>
        <v>0</v>
      </c>
      <c r="R12" s="386">
        <f t="shared" si="0"/>
        <v>0</v>
      </c>
      <c r="S12" s="386">
        <f t="shared" si="7"/>
        <v>0</v>
      </c>
      <c r="T12" s="311"/>
      <c r="U12" s="93"/>
      <c r="V12" s="1"/>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row>
    <row r="13" spans="1:85" ht="14.1" customHeight="1">
      <c r="A13" s="112"/>
      <c r="B13" s="772"/>
      <c r="C13" s="773"/>
      <c r="D13" s="105"/>
      <c r="E13" s="106"/>
      <c r="F13" s="106"/>
      <c r="G13" s="114"/>
      <c r="H13" s="106"/>
      <c r="I13" s="115"/>
      <c r="J13" s="109"/>
      <c r="K13" s="376">
        <f t="shared" si="8"/>
        <v>0</v>
      </c>
      <c r="L13" s="382">
        <f t="shared" si="2"/>
        <v>0</v>
      </c>
      <c r="M13" s="107"/>
      <c r="N13" s="386">
        <f t="shared" si="3"/>
        <v>0</v>
      </c>
      <c r="O13" s="386">
        <f t="shared" si="4"/>
        <v>0</v>
      </c>
      <c r="P13" s="387">
        <f t="shared" si="5"/>
        <v>0</v>
      </c>
      <c r="Q13" s="386">
        <f t="shared" si="6"/>
        <v>0</v>
      </c>
      <c r="R13" s="386">
        <f t="shared" si="0"/>
        <v>0</v>
      </c>
      <c r="S13" s="386">
        <f t="shared" si="7"/>
        <v>0</v>
      </c>
      <c r="T13" s="312"/>
      <c r="U13" s="93"/>
      <c r="V13" s="1"/>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row>
    <row r="14" spans="1:85" ht="14.1" customHeight="1">
      <c r="A14" s="112"/>
      <c r="B14" s="772"/>
      <c r="C14" s="773"/>
      <c r="D14" s="105"/>
      <c r="E14" s="106"/>
      <c r="F14" s="106"/>
      <c r="G14" s="114"/>
      <c r="H14" s="106"/>
      <c r="I14" s="115"/>
      <c r="J14" s="109"/>
      <c r="K14" s="381">
        <f t="shared" si="8"/>
        <v>0</v>
      </c>
      <c r="L14" s="382">
        <f t="shared" si="2"/>
        <v>0</v>
      </c>
      <c r="M14" s="107"/>
      <c r="N14" s="386">
        <f t="shared" si="3"/>
        <v>0</v>
      </c>
      <c r="O14" s="386">
        <f t="shared" si="4"/>
        <v>0</v>
      </c>
      <c r="P14" s="387">
        <f t="shared" si="5"/>
        <v>0</v>
      </c>
      <c r="Q14" s="386">
        <f t="shared" si="6"/>
        <v>0</v>
      </c>
      <c r="R14" s="386">
        <f t="shared" si="0"/>
        <v>0</v>
      </c>
      <c r="S14" s="386">
        <f t="shared" si="7"/>
        <v>0</v>
      </c>
      <c r="T14" s="312"/>
      <c r="U14" s="93"/>
      <c r="V14" s="1"/>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row>
    <row r="15" spans="1:85" ht="14.1" customHeight="1">
      <c r="A15" s="112"/>
      <c r="B15" s="772"/>
      <c r="C15" s="773"/>
      <c r="D15" s="105"/>
      <c r="E15" s="106"/>
      <c r="F15" s="106"/>
      <c r="G15" s="107"/>
      <c r="H15" s="106"/>
      <c r="I15" s="115"/>
      <c r="J15" s="192"/>
      <c r="K15" s="376">
        <f t="shared" si="8"/>
        <v>0</v>
      </c>
      <c r="L15" s="378">
        <f t="shared" si="2"/>
        <v>0</v>
      </c>
      <c r="M15" s="107"/>
      <c r="N15" s="386">
        <f t="shared" si="3"/>
        <v>0</v>
      </c>
      <c r="O15" s="386">
        <f t="shared" si="4"/>
        <v>0</v>
      </c>
      <c r="P15" s="387">
        <f t="shared" si="5"/>
        <v>0</v>
      </c>
      <c r="Q15" s="386">
        <f t="shared" si="6"/>
        <v>0</v>
      </c>
      <c r="R15" s="386">
        <f t="shared" si="0"/>
        <v>0</v>
      </c>
      <c r="S15" s="386">
        <f t="shared" si="7"/>
        <v>0</v>
      </c>
      <c r="T15" s="312"/>
      <c r="U15" s="93"/>
      <c r="V15" s="1"/>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row>
    <row r="16" spans="1:85" ht="14.1" customHeight="1">
      <c r="A16" s="112"/>
      <c r="B16" s="772"/>
      <c r="C16" s="773"/>
      <c r="D16" s="105"/>
      <c r="E16" s="106"/>
      <c r="F16" s="106"/>
      <c r="G16" s="107"/>
      <c r="H16" s="106"/>
      <c r="I16" s="115"/>
      <c r="J16" s="192"/>
      <c r="K16" s="376">
        <f>J16*E16</f>
        <v>0</v>
      </c>
      <c r="L16" s="378">
        <f>IF(I16="",K16,I16*K16)</f>
        <v>0</v>
      </c>
      <c r="M16" s="107"/>
      <c r="N16" s="386">
        <f>IF(I16="",INT(K16*M16),INT(K16*I16*M16))</f>
        <v>0</v>
      </c>
      <c r="O16" s="386">
        <f>N16*(G16)</f>
        <v>0</v>
      </c>
      <c r="P16" s="387">
        <f>N16-O16</f>
        <v>0</v>
      </c>
      <c r="Q16" s="386">
        <f>IF(H16="",0,ROUND(P16/H16,0))</f>
        <v>0</v>
      </c>
      <c r="R16" s="386">
        <f t="shared" si="0"/>
        <v>0</v>
      </c>
      <c r="S16" s="386">
        <f t="shared" si="7"/>
        <v>0</v>
      </c>
      <c r="T16" s="312"/>
      <c r="U16" s="93"/>
      <c r="V16" s="1"/>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row>
    <row r="17" spans="1:84" ht="14.1" customHeight="1">
      <c r="A17" s="112"/>
      <c r="B17" s="772"/>
      <c r="C17" s="773"/>
      <c r="D17" s="105"/>
      <c r="E17" s="106"/>
      <c r="F17" s="106"/>
      <c r="G17" s="107"/>
      <c r="H17" s="106"/>
      <c r="I17" s="115"/>
      <c r="J17" s="192"/>
      <c r="K17" s="376">
        <f>J17*E17</f>
        <v>0</v>
      </c>
      <c r="L17" s="378">
        <f>IF(I17="",K17,I17*K17)</f>
        <v>0</v>
      </c>
      <c r="M17" s="107"/>
      <c r="N17" s="386">
        <f>IF(I17="",INT(K17*M17),INT(K17*I17*M17))</f>
        <v>0</v>
      </c>
      <c r="O17" s="386">
        <f>N17*(G17)</f>
        <v>0</v>
      </c>
      <c r="P17" s="387">
        <f>N17-O17</f>
        <v>0</v>
      </c>
      <c r="Q17" s="386">
        <f>IF(H17="",0,ROUND(P17/H17,0))</f>
        <v>0</v>
      </c>
      <c r="R17" s="386">
        <f t="shared" si="0"/>
        <v>0</v>
      </c>
      <c r="S17" s="386">
        <f t="shared" si="7"/>
        <v>0</v>
      </c>
      <c r="T17" s="312"/>
      <c r="U17" s="93"/>
      <c r="V17" s="1"/>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row>
    <row r="18" spans="1:84" ht="14.1" customHeight="1">
      <c r="A18" s="113"/>
      <c r="B18" s="778"/>
      <c r="C18" s="779"/>
      <c r="D18" s="407"/>
      <c r="E18" s="408"/>
      <c r="F18" s="408"/>
      <c r="G18" s="407"/>
      <c r="H18" s="412"/>
      <c r="I18" s="413"/>
      <c r="J18" s="414"/>
      <c r="K18" s="379">
        <f>SUM(K9:K17)</f>
        <v>23474700</v>
      </c>
      <c r="L18" s="383">
        <f>SUM(L9:L17)</f>
        <v>16432290</v>
      </c>
      <c r="M18" s="407"/>
      <c r="N18" s="383">
        <f t="shared" ref="N18:S18" si="9">SUM(N9:N17)</f>
        <v>9859374</v>
      </c>
      <c r="O18" s="383">
        <f t="shared" si="9"/>
        <v>0</v>
      </c>
      <c r="P18" s="383">
        <f t="shared" si="9"/>
        <v>9859374</v>
      </c>
      <c r="Q18" s="383">
        <f t="shared" si="9"/>
        <v>1000800</v>
      </c>
      <c r="R18" s="383">
        <f t="shared" si="9"/>
        <v>333600</v>
      </c>
      <c r="S18" s="383">
        <f t="shared" si="9"/>
        <v>46949.4</v>
      </c>
      <c r="T18" s="111"/>
      <c r="U18" s="93"/>
      <c r="V18" s="1"/>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row>
    <row r="19" spans="1:84" ht="14.1" customHeight="1">
      <c r="A19" s="763" t="s">
        <v>320</v>
      </c>
      <c r="B19" s="770" t="s">
        <v>293</v>
      </c>
      <c r="C19" s="771"/>
      <c r="D19" s="105" t="s">
        <v>319</v>
      </c>
      <c r="E19" s="106">
        <v>1</v>
      </c>
      <c r="F19" s="106" t="s">
        <v>297</v>
      </c>
      <c r="G19" s="114"/>
      <c r="H19" s="106">
        <v>7</v>
      </c>
      <c r="I19" s="115">
        <v>0.67</v>
      </c>
      <c r="J19" s="193">
        <v>390200</v>
      </c>
      <c r="K19" s="376">
        <f>J19*E19</f>
        <v>390200</v>
      </c>
      <c r="L19" s="378">
        <f>IF(I19="",K19,I19*K19)</f>
        <v>261434.00000000003</v>
      </c>
      <c r="M19" s="115">
        <v>0.6</v>
      </c>
      <c r="N19" s="386">
        <f t="shared" ref="N19:N20" si="10">IF(I19="",INT(K19*M19),INT(K19*I19*M19))</f>
        <v>156860</v>
      </c>
      <c r="O19" s="386">
        <f t="shared" ref="O19:O20" si="11">N19*(G19)</f>
        <v>0</v>
      </c>
      <c r="P19" s="387">
        <f t="shared" ref="P19:P20" si="12">N19-O19</f>
        <v>156860</v>
      </c>
      <c r="Q19" s="386">
        <f t="shared" ref="Q19:Q20" si="13">IF(H19="",0,ROUND(P19/H19,0))</f>
        <v>22409</v>
      </c>
      <c r="R19" s="386">
        <f>IF(Q19=0,0,INT(Q19/$E$1*10))</f>
        <v>7469</v>
      </c>
      <c r="S19" s="388">
        <f t="shared" ref="S19:S25" si="14">IF(R19=0,0,$D$35*K19*M19/$E$1*10)</f>
        <v>3121.5999999999995</v>
      </c>
      <c r="T19" s="312"/>
      <c r="U19" s="93"/>
      <c r="V19" s="1"/>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row>
    <row r="20" spans="1:84" ht="14.1" customHeight="1">
      <c r="A20" s="764"/>
      <c r="B20" s="772" t="s">
        <v>294</v>
      </c>
      <c r="C20" s="773"/>
      <c r="D20" s="105" t="s">
        <v>318</v>
      </c>
      <c r="E20" s="106">
        <v>1</v>
      </c>
      <c r="F20" s="106" t="s">
        <v>297</v>
      </c>
      <c r="G20" s="114"/>
      <c r="H20" s="106">
        <v>4</v>
      </c>
      <c r="I20" s="115">
        <v>0.67</v>
      </c>
      <c r="J20" s="193">
        <v>1200000</v>
      </c>
      <c r="K20" s="376">
        <f>J20*E20</f>
        <v>1200000</v>
      </c>
      <c r="L20" s="378">
        <f>IF(I20="",K20,I20*K20)</f>
        <v>804000</v>
      </c>
      <c r="M20" s="115">
        <v>0.6</v>
      </c>
      <c r="N20" s="386">
        <f t="shared" si="10"/>
        <v>482400</v>
      </c>
      <c r="O20" s="386">
        <f t="shared" si="11"/>
        <v>0</v>
      </c>
      <c r="P20" s="387">
        <f t="shared" si="12"/>
        <v>482400</v>
      </c>
      <c r="Q20" s="386">
        <f t="shared" si="13"/>
        <v>120600</v>
      </c>
      <c r="R20" s="386">
        <f t="shared" ref="R20" si="15">IF(Q20=0,0,INT(Q20/$E$1*10))</f>
        <v>40200</v>
      </c>
      <c r="S20" s="386">
        <f t="shared" si="14"/>
        <v>9600</v>
      </c>
      <c r="T20" s="312"/>
      <c r="U20" s="93"/>
      <c r="V20" s="1"/>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row>
    <row r="21" spans="1:84" ht="14.1" customHeight="1">
      <c r="A21" s="764"/>
      <c r="B21" s="772" t="s">
        <v>546</v>
      </c>
      <c r="C21" s="773"/>
      <c r="D21" s="105" t="s">
        <v>602</v>
      </c>
      <c r="E21" s="106">
        <v>2</v>
      </c>
      <c r="F21" s="106" t="s">
        <v>297</v>
      </c>
      <c r="G21" s="114"/>
      <c r="H21" s="106">
        <v>7</v>
      </c>
      <c r="I21" s="115">
        <v>0.7</v>
      </c>
      <c r="J21" s="109">
        <v>451116</v>
      </c>
      <c r="K21" s="381">
        <f t="shared" ref="K21:K28" si="16">J21*E21</f>
        <v>902232</v>
      </c>
      <c r="L21" s="382">
        <f t="shared" ref="L21:L25" si="17">IF(I21="",K21,I21*K21)</f>
        <v>631562.39999999991</v>
      </c>
      <c r="M21" s="115">
        <v>1</v>
      </c>
      <c r="N21" s="386">
        <f t="shared" ref="N21:N25" si="18">IF(I21="",INT(K21*M21),INT(K21*I21*M21))</f>
        <v>631562</v>
      </c>
      <c r="O21" s="386">
        <f t="shared" ref="O21:O25" si="19">N21*(G21)</f>
        <v>0</v>
      </c>
      <c r="P21" s="387">
        <f t="shared" ref="P21:P25" si="20">N21-O21</f>
        <v>631562</v>
      </c>
      <c r="Q21" s="386">
        <f t="shared" ref="Q21:Q25" si="21">IF(H21="",0,ROUND(P21/H21,0))</f>
        <v>90223</v>
      </c>
      <c r="R21" s="386">
        <f t="shared" ref="R21:R25" si="22">IF(Q21=0,0,INT(Q21/$E$1*10))</f>
        <v>30074</v>
      </c>
      <c r="S21" s="386">
        <f t="shared" si="14"/>
        <v>12029.759999999998</v>
      </c>
      <c r="T21" s="312"/>
      <c r="U21" s="93"/>
      <c r="V21" s="1"/>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row>
    <row r="22" spans="1:84" ht="14.1" customHeight="1">
      <c r="A22" s="764"/>
      <c r="B22" s="772" t="s">
        <v>308</v>
      </c>
      <c r="C22" s="773"/>
      <c r="D22" s="105" t="s">
        <v>550</v>
      </c>
      <c r="E22" s="106">
        <v>2</v>
      </c>
      <c r="F22" s="106" t="s">
        <v>297</v>
      </c>
      <c r="G22" s="114"/>
      <c r="H22" s="106">
        <v>7</v>
      </c>
      <c r="I22" s="115">
        <v>0.7</v>
      </c>
      <c r="J22" s="109">
        <v>1914120</v>
      </c>
      <c r="K22" s="381">
        <f t="shared" si="16"/>
        <v>3828240</v>
      </c>
      <c r="L22" s="382">
        <f t="shared" si="17"/>
        <v>2679768</v>
      </c>
      <c r="M22" s="115">
        <v>1</v>
      </c>
      <c r="N22" s="386">
        <f t="shared" si="18"/>
        <v>2679768</v>
      </c>
      <c r="O22" s="386">
        <f t="shared" si="19"/>
        <v>0</v>
      </c>
      <c r="P22" s="387">
        <f t="shared" si="20"/>
        <v>2679768</v>
      </c>
      <c r="Q22" s="386">
        <f t="shared" si="21"/>
        <v>382824</v>
      </c>
      <c r="R22" s="386">
        <f t="shared" si="22"/>
        <v>127608</v>
      </c>
      <c r="S22" s="386">
        <f t="shared" si="14"/>
        <v>51043.200000000004</v>
      </c>
      <c r="T22" s="312"/>
      <c r="U22" s="93"/>
      <c r="V22" s="1"/>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row>
    <row r="23" spans="1:84" ht="14.1" customHeight="1">
      <c r="A23" s="764"/>
      <c r="B23" s="772" t="s">
        <v>309</v>
      </c>
      <c r="C23" s="773"/>
      <c r="D23" s="105" t="s">
        <v>551</v>
      </c>
      <c r="E23" s="106">
        <v>20</v>
      </c>
      <c r="F23" s="106" t="s">
        <v>297</v>
      </c>
      <c r="G23" s="114"/>
      <c r="H23" s="106">
        <v>7</v>
      </c>
      <c r="I23" s="115">
        <v>0.7</v>
      </c>
      <c r="J23" s="109">
        <v>54300</v>
      </c>
      <c r="K23" s="381">
        <f t="shared" si="16"/>
        <v>1086000</v>
      </c>
      <c r="L23" s="382">
        <f t="shared" si="17"/>
        <v>760200</v>
      </c>
      <c r="M23" s="115">
        <v>0.6</v>
      </c>
      <c r="N23" s="386">
        <f t="shared" si="18"/>
        <v>456120</v>
      </c>
      <c r="O23" s="386">
        <f t="shared" si="19"/>
        <v>0</v>
      </c>
      <c r="P23" s="387">
        <f t="shared" si="20"/>
        <v>456120</v>
      </c>
      <c r="Q23" s="386">
        <f t="shared" si="21"/>
        <v>65160</v>
      </c>
      <c r="R23" s="386">
        <f t="shared" si="22"/>
        <v>21720</v>
      </c>
      <c r="S23" s="386">
        <f t="shared" si="14"/>
        <v>8688</v>
      </c>
      <c r="T23" s="312"/>
      <c r="U23" s="93"/>
      <c r="V23" s="1"/>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row>
    <row r="24" spans="1:84" ht="14.1" customHeight="1">
      <c r="A24" s="764"/>
      <c r="B24" s="772"/>
      <c r="C24" s="773"/>
      <c r="D24" s="105"/>
      <c r="E24" s="106"/>
      <c r="F24" s="106"/>
      <c r="G24" s="114"/>
      <c r="H24" s="106"/>
      <c r="I24" s="115"/>
      <c r="J24" s="109"/>
      <c r="K24" s="381">
        <f t="shared" si="16"/>
        <v>0</v>
      </c>
      <c r="L24" s="382">
        <f t="shared" si="17"/>
        <v>0</v>
      </c>
      <c r="M24" s="115"/>
      <c r="N24" s="386">
        <f t="shared" si="18"/>
        <v>0</v>
      </c>
      <c r="O24" s="386">
        <f t="shared" si="19"/>
        <v>0</v>
      </c>
      <c r="P24" s="387">
        <f t="shared" si="20"/>
        <v>0</v>
      </c>
      <c r="Q24" s="386">
        <f t="shared" si="21"/>
        <v>0</v>
      </c>
      <c r="R24" s="386">
        <f t="shared" si="22"/>
        <v>0</v>
      </c>
      <c r="S24" s="386">
        <f t="shared" si="14"/>
        <v>0</v>
      </c>
      <c r="T24" s="312"/>
      <c r="U24" s="93"/>
      <c r="V24" s="1"/>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row>
    <row r="25" spans="1:84" ht="14.1" customHeight="1">
      <c r="A25" s="764"/>
      <c r="B25" s="772"/>
      <c r="C25" s="773"/>
      <c r="D25" s="105"/>
      <c r="E25" s="106"/>
      <c r="F25" s="106"/>
      <c r="G25" s="114"/>
      <c r="H25" s="106"/>
      <c r="I25" s="115"/>
      <c r="J25" s="109"/>
      <c r="K25" s="381">
        <f t="shared" si="16"/>
        <v>0</v>
      </c>
      <c r="L25" s="382">
        <f t="shared" si="17"/>
        <v>0</v>
      </c>
      <c r="M25" s="115"/>
      <c r="N25" s="386">
        <f t="shared" si="18"/>
        <v>0</v>
      </c>
      <c r="O25" s="386">
        <f t="shared" si="19"/>
        <v>0</v>
      </c>
      <c r="P25" s="387">
        <f t="shared" si="20"/>
        <v>0</v>
      </c>
      <c r="Q25" s="386">
        <f t="shared" si="21"/>
        <v>0</v>
      </c>
      <c r="R25" s="386">
        <f t="shared" si="22"/>
        <v>0</v>
      </c>
      <c r="S25" s="386">
        <f t="shared" si="14"/>
        <v>0</v>
      </c>
      <c r="T25" s="312"/>
      <c r="U25" s="93"/>
      <c r="V25" s="1"/>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row>
    <row r="26" spans="1:84" ht="14.1" customHeight="1">
      <c r="A26" s="765"/>
      <c r="B26" s="776" t="s">
        <v>36</v>
      </c>
      <c r="C26" s="777"/>
      <c r="D26" s="407"/>
      <c r="E26" s="408"/>
      <c r="F26" s="408"/>
      <c r="G26" s="415"/>
      <c r="H26" s="412">
        <f>IF(P26&gt;0,P26/Q26,"")</f>
        <v>6.4688879885381434</v>
      </c>
      <c r="I26" s="413"/>
      <c r="J26" s="411"/>
      <c r="K26" s="384">
        <f>SUM(K19:K25)</f>
        <v>7406672</v>
      </c>
      <c r="L26" s="383">
        <f>SUM(L19:L25)</f>
        <v>5136964.4000000004</v>
      </c>
      <c r="M26" s="407"/>
      <c r="N26" s="383">
        <f t="shared" ref="N26:S26" si="23">SUM(N19:N25)</f>
        <v>4406710</v>
      </c>
      <c r="O26" s="383">
        <f t="shared" si="23"/>
        <v>0</v>
      </c>
      <c r="P26" s="383">
        <f t="shared" si="23"/>
        <v>4406710</v>
      </c>
      <c r="Q26" s="383">
        <f t="shared" si="23"/>
        <v>681216</v>
      </c>
      <c r="R26" s="383">
        <f t="shared" si="23"/>
        <v>227071</v>
      </c>
      <c r="S26" s="383">
        <f t="shared" si="23"/>
        <v>84482.559999999998</v>
      </c>
      <c r="T26" s="111"/>
      <c r="U26" s="93"/>
      <c r="V26" s="1"/>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row>
    <row r="27" spans="1:84" ht="14.1" customHeight="1">
      <c r="A27" s="766" t="s">
        <v>37</v>
      </c>
      <c r="B27" s="767"/>
      <c r="C27" s="767"/>
      <c r="D27" s="105"/>
      <c r="E27" s="106"/>
      <c r="F27" s="106"/>
      <c r="G27" s="114"/>
      <c r="H27" s="106"/>
      <c r="I27" s="115"/>
      <c r="J27" s="109"/>
      <c r="K27" s="376">
        <f t="shared" si="16"/>
        <v>0</v>
      </c>
      <c r="L27" s="378">
        <f>K27</f>
        <v>0</v>
      </c>
      <c r="M27" s="115"/>
      <c r="N27" s="531">
        <f t="shared" ref="N27:N28" si="24">IF(I27="",INT(K27*M27),INT(K27*I27*M27))</f>
        <v>0</v>
      </c>
      <c r="O27" s="386">
        <f>N27*(G27)</f>
        <v>0</v>
      </c>
      <c r="P27" s="387">
        <f>N27-O27</f>
        <v>0</v>
      </c>
      <c r="Q27" s="386">
        <f>IF(H27="",0,ROUND(P27/H27,0))</f>
        <v>0</v>
      </c>
      <c r="R27" s="386">
        <f>IF(Q27=0,0,INT(Q27/$E$1*10))</f>
        <v>0</v>
      </c>
      <c r="S27" s="386"/>
      <c r="T27" s="312"/>
      <c r="U27" s="93"/>
      <c r="V27" s="1"/>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row>
    <row r="28" spans="1:84" ht="14.1" customHeight="1">
      <c r="A28" s="766"/>
      <c r="B28" s="768"/>
      <c r="C28" s="768"/>
      <c r="D28" s="105"/>
      <c r="E28" s="106"/>
      <c r="F28" s="106"/>
      <c r="G28" s="114"/>
      <c r="H28" s="106"/>
      <c r="I28" s="115"/>
      <c r="J28" s="109"/>
      <c r="K28" s="376">
        <f t="shared" si="16"/>
        <v>0</v>
      </c>
      <c r="L28" s="378">
        <f>K28</f>
        <v>0</v>
      </c>
      <c r="M28" s="115"/>
      <c r="N28" s="531">
        <f t="shared" si="24"/>
        <v>0</v>
      </c>
      <c r="O28" s="386">
        <f>N28*(G28)</f>
        <v>0</v>
      </c>
      <c r="P28" s="387">
        <f>N28-O28</f>
        <v>0</v>
      </c>
      <c r="Q28" s="386">
        <f>IF(H28="",0,ROUND(P28/H28,0))</f>
        <v>0</v>
      </c>
      <c r="R28" s="386">
        <f>IF(Q28=0,0,INT(Q28/$E$1*10))</f>
        <v>0</v>
      </c>
      <c r="S28" s="386"/>
      <c r="T28" s="312"/>
      <c r="U28" s="93"/>
      <c r="V28" s="1"/>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row>
    <row r="29" spans="1:84" ht="14.1" customHeight="1">
      <c r="A29" s="766"/>
      <c r="B29" s="776" t="s">
        <v>38</v>
      </c>
      <c r="C29" s="777"/>
      <c r="D29" s="407"/>
      <c r="E29" s="408"/>
      <c r="F29" s="408"/>
      <c r="G29" s="407"/>
      <c r="H29" s="416" t="str">
        <f>IF(P29&gt;0,P29/Q29,"")</f>
        <v/>
      </c>
      <c r="I29" s="413"/>
      <c r="J29" s="411"/>
      <c r="K29" s="379"/>
      <c r="L29" s="383">
        <f>L28+L27</f>
        <v>0</v>
      </c>
      <c r="M29" s="407"/>
      <c r="N29" s="383">
        <f>N28+N27</f>
        <v>0</v>
      </c>
      <c r="O29" s="383">
        <f>O28+O27</f>
        <v>0</v>
      </c>
      <c r="P29" s="383">
        <f>P28+P27</f>
        <v>0</v>
      </c>
      <c r="Q29" s="383">
        <f>Q28+Q27</f>
        <v>0</v>
      </c>
      <c r="R29" s="383">
        <f>R28+R27</f>
        <v>0</v>
      </c>
      <c r="S29" s="383"/>
      <c r="T29" s="111"/>
      <c r="U29" s="93"/>
      <c r="V29" s="1"/>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row>
    <row r="30" spans="1:84" ht="14.1" customHeight="1">
      <c r="A30" s="116"/>
      <c r="B30" s="417"/>
      <c r="C30" s="407" t="s">
        <v>39</v>
      </c>
      <c r="D30" s="407"/>
      <c r="E30" s="407"/>
      <c r="F30" s="407"/>
      <c r="G30" s="407"/>
      <c r="H30" s="407"/>
      <c r="I30" s="407"/>
      <c r="J30" s="411"/>
      <c r="K30" s="379">
        <f>K29+K26+K18+K8</f>
        <v>35201372</v>
      </c>
      <c r="L30" s="385">
        <f>L29+L26+L18+L8</f>
        <v>25889254.399999999</v>
      </c>
      <c r="M30" s="418"/>
      <c r="N30" s="389">
        <f t="shared" ref="N30:S30" si="25">N29+N26+N18+N8</f>
        <v>16858084</v>
      </c>
      <c r="O30" s="389">
        <f t="shared" si="25"/>
        <v>0</v>
      </c>
      <c r="P30" s="389">
        <f t="shared" si="25"/>
        <v>16858084</v>
      </c>
      <c r="Q30" s="389">
        <f t="shared" si="25"/>
        <v>1790016</v>
      </c>
      <c r="R30" s="389">
        <f t="shared" si="25"/>
        <v>596671</v>
      </c>
      <c r="S30" s="389">
        <f t="shared" si="25"/>
        <v>140071.96</v>
      </c>
      <c r="T30" s="117"/>
      <c r="U30" s="93"/>
      <c r="V30" s="1"/>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row>
    <row r="31" spans="1:84" ht="12" customHeight="1">
      <c r="C31" s="86"/>
      <c r="D31" s="86"/>
      <c r="E31" s="86"/>
      <c r="F31" s="86"/>
      <c r="J31" s="86"/>
      <c r="K31" s="86"/>
      <c r="L31" s="118">
        <f>L30-L29</f>
        <v>25889254.399999999</v>
      </c>
      <c r="M31" s="86"/>
      <c r="N31" s="119"/>
      <c r="O31" s="86"/>
      <c r="P31" s="118">
        <f>P26+P18+P8</f>
        <v>16858084</v>
      </c>
      <c r="Q31" s="118">
        <f>Q26+Q18+Q8</f>
        <v>1790016</v>
      </c>
      <c r="R31" s="119"/>
      <c r="S31" s="119"/>
      <c r="T31" s="86"/>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row>
    <row r="32" spans="1:84" ht="6" customHeight="1">
      <c r="C32" s="86"/>
      <c r="D32" s="86"/>
      <c r="E32" s="86"/>
      <c r="F32" s="86"/>
      <c r="J32" s="86"/>
      <c r="K32" s="86"/>
      <c r="L32" s="86"/>
      <c r="M32" s="86"/>
      <c r="N32" s="86"/>
      <c r="O32" s="86"/>
      <c r="P32" s="86"/>
      <c r="Q32" s="86"/>
      <c r="R32" s="86"/>
      <c r="S32" s="86"/>
      <c r="T32" s="86"/>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row>
    <row r="33" spans="1:84" ht="13.5" customHeight="1">
      <c r="B33" s="393" t="s">
        <v>40</v>
      </c>
      <c r="C33" s="120"/>
      <c r="D33" s="121" t="s">
        <v>41</v>
      </c>
      <c r="E33" s="86"/>
      <c r="F33" s="122"/>
      <c r="G33" s="123"/>
      <c r="H33" s="41"/>
      <c r="I33" s="124" t="s">
        <v>42</v>
      </c>
      <c r="J33" s="125"/>
      <c r="K33" s="125"/>
      <c r="L33" s="126" t="s">
        <v>43</v>
      </c>
      <c r="M33" s="760" t="s">
        <v>44</v>
      </c>
      <c r="N33" s="760"/>
      <c r="O33" s="198" t="s">
        <v>45</v>
      </c>
      <c r="P33" s="86"/>
      <c r="Q33" s="127" t="s">
        <v>46</v>
      </c>
      <c r="R33" s="128"/>
      <c r="S33" s="86"/>
      <c r="T33" s="86"/>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row>
    <row r="34" spans="1:84" ht="13.5" customHeight="1">
      <c r="A34" s="41"/>
      <c r="B34" s="129" t="s">
        <v>47</v>
      </c>
      <c r="C34" s="130" t="s">
        <v>48</v>
      </c>
      <c r="D34" s="131">
        <v>0.01</v>
      </c>
      <c r="E34" s="41"/>
      <c r="F34" s="132"/>
      <c r="G34" s="123"/>
      <c r="H34" s="41"/>
      <c r="I34" s="133"/>
      <c r="J34" s="132" t="s">
        <v>49</v>
      </c>
      <c r="K34" s="134"/>
      <c r="L34" s="135">
        <f>(N30-O30)/2+O30</f>
        <v>8429042</v>
      </c>
      <c r="M34" s="199"/>
      <c r="N34" s="200">
        <f>((N26+N8-O26-O8)/2+O26+O8)</f>
        <v>3499355</v>
      </c>
      <c r="O34" s="200">
        <f>(N18-O18)/2+O18</f>
        <v>4929687</v>
      </c>
      <c r="P34" s="41"/>
      <c r="Q34" s="136" t="s">
        <v>50</v>
      </c>
      <c r="R34" s="137">
        <f>IF(P8=0,0,P8/Q8)</f>
        <v>24</v>
      </c>
      <c r="S34" s="41"/>
      <c r="T34" s="41"/>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row>
    <row r="35" spans="1:84" ht="13.5" customHeight="1">
      <c r="A35" s="41"/>
      <c r="B35" s="138" t="s">
        <v>51</v>
      </c>
      <c r="C35" s="139" t="s">
        <v>52</v>
      </c>
      <c r="D35" s="140">
        <v>0.04</v>
      </c>
      <c r="E35" s="41"/>
      <c r="F35" s="132"/>
      <c r="G35" s="123"/>
      <c r="H35" s="41"/>
      <c r="I35" s="133"/>
      <c r="J35" s="774" t="s">
        <v>53</v>
      </c>
      <c r="K35" s="775"/>
      <c r="L35" s="141">
        <v>0.5</v>
      </c>
      <c r="M35" s="201"/>
      <c r="N35" s="202">
        <f>L35</f>
        <v>0.5</v>
      </c>
      <c r="O35" s="202">
        <f>N35</f>
        <v>0.5</v>
      </c>
      <c r="P35" s="41"/>
      <c r="Q35" s="142" t="s">
        <v>45</v>
      </c>
      <c r="R35" s="143">
        <f>IF(P18=0,0,P18/Q18)</f>
        <v>9.8514928057553952</v>
      </c>
      <c r="S35" s="41"/>
      <c r="T35" s="41"/>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row>
    <row r="36" spans="1:84" ht="13.5" customHeight="1">
      <c r="A36" s="41"/>
      <c r="B36" s="41"/>
      <c r="C36" s="41"/>
      <c r="D36" s="41"/>
      <c r="E36" s="41"/>
      <c r="F36" s="132"/>
      <c r="G36" s="123"/>
      <c r="H36" s="41"/>
      <c r="I36" s="133"/>
      <c r="J36" s="132" t="s">
        <v>54</v>
      </c>
      <c r="K36" s="132"/>
      <c r="L36" s="135">
        <f>L35*L34</f>
        <v>4214521</v>
      </c>
      <c r="M36" s="201"/>
      <c r="N36" s="203">
        <f>N35*N34</f>
        <v>1749677.5</v>
      </c>
      <c r="O36" s="203">
        <f>O35*O34</f>
        <v>2464843.5</v>
      </c>
      <c r="P36" s="41"/>
      <c r="Q36" s="142" t="s">
        <v>55</v>
      </c>
      <c r="R36" s="143">
        <f>IF(P26=0,0,P26/Q26)</f>
        <v>6.4688879885381434</v>
      </c>
      <c r="S36" s="41"/>
      <c r="T36" s="41"/>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row>
    <row r="37" spans="1:84" ht="13.5" customHeight="1">
      <c r="A37" s="41"/>
      <c r="B37" s="41"/>
      <c r="C37" s="41"/>
      <c r="D37" s="41"/>
      <c r="E37" s="41"/>
      <c r="F37" s="132"/>
      <c r="G37" s="123"/>
      <c r="H37" s="41"/>
      <c r="I37" s="133"/>
      <c r="J37" s="132" t="s">
        <v>56</v>
      </c>
      <c r="K37" s="132"/>
      <c r="L37" s="135">
        <f>IF($E$1=0,0,L36/$E$1*10)</f>
        <v>1404840.3333333333</v>
      </c>
      <c r="M37" s="201"/>
      <c r="N37" s="204">
        <f>IF($E$1=0,0,N36/$E$1*10)</f>
        <v>583225.83333333337</v>
      </c>
      <c r="O37" s="204">
        <f>IF($E$1=0,0,O36/$E$1*10)</f>
        <v>821614.5</v>
      </c>
      <c r="P37" s="41"/>
      <c r="Q37" s="144" t="s">
        <v>43</v>
      </c>
      <c r="R37" s="145">
        <f>IF(P29=0,0,(P30-P29)/(Q30-Q29))</f>
        <v>0</v>
      </c>
      <c r="S37" s="41"/>
      <c r="T37" s="41"/>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row>
    <row r="38" spans="1:84" ht="13.5" customHeight="1">
      <c r="A38" s="41"/>
      <c r="B38" s="41"/>
      <c r="C38" s="41"/>
      <c r="D38" s="41"/>
      <c r="E38" s="41"/>
      <c r="F38" s="132"/>
      <c r="G38" s="123"/>
      <c r="H38" s="41"/>
      <c r="I38" s="133"/>
      <c r="J38" s="132" t="s">
        <v>57</v>
      </c>
      <c r="K38" s="132"/>
      <c r="L38" s="146">
        <v>0.02</v>
      </c>
      <c r="M38" s="201"/>
      <c r="N38" s="202">
        <f>L38</f>
        <v>0.02</v>
      </c>
      <c r="O38" s="202">
        <f>N38</f>
        <v>0.02</v>
      </c>
      <c r="P38" s="41"/>
      <c r="Q38" s="41"/>
      <c r="R38" s="41"/>
      <c r="S38" s="41"/>
      <c r="T38" s="41"/>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row>
    <row r="39" spans="1:84" ht="13.5" customHeight="1">
      <c r="A39" s="41"/>
      <c r="B39" s="41"/>
      <c r="C39" s="41"/>
      <c r="D39" s="41"/>
      <c r="E39" s="41"/>
      <c r="F39" s="132"/>
      <c r="G39" s="123"/>
      <c r="H39" s="41"/>
      <c r="I39" s="147"/>
      <c r="J39" s="148" t="s">
        <v>58</v>
      </c>
      <c r="K39" s="148"/>
      <c r="L39" s="149">
        <f>INT(L38*L37)</f>
        <v>28096</v>
      </c>
      <c r="M39" s="205"/>
      <c r="N39" s="206">
        <f>INT(N38*N37)</f>
        <v>11664</v>
      </c>
      <c r="O39" s="206">
        <f>INT(O38*O37)</f>
        <v>16432</v>
      </c>
      <c r="P39" s="41"/>
      <c r="Q39" s="41"/>
      <c r="R39" s="41"/>
      <c r="S39" s="41"/>
      <c r="T39" s="41"/>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row>
    <row r="40" spans="1:84" ht="13.5" customHeight="1">
      <c r="A40" s="93"/>
      <c r="B40" s="93"/>
      <c r="C40" s="93"/>
      <c r="D40" s="93"/>
      <c r="E40" s="93"/>
      <c r="F40" s="93"/>
      <c r="J40" s="93"/>
      <c r="K40" s="93"/>
      <c r="L40" s="93"/>
      <c r="M40" s="20"/>
      <c r="N40" s="20"/>
      <c r="O40" s="20"/>
      <c r="P40" s="20"/>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row>
    <row r="41" spans="1:84" ht="13.5" customHeight="1">
      <c r="A41" s="93"/>
      <c r="B41" s="93"/>
      <c r="C41" s="93"/>
      <c r="D41" s="93"/>
      <c r="E41" s="93"/>
      <c r="F41" s="93"/>
      <c r="J41" s="93"/>
      <c r="K41" s="93"/>
      <c r="L41" s="93"/>
      <c r="M41" s="20"/>
      <c r="N41" s="20"/>
      <c r="O41" s="20"/>
      <c r="P41" s="20"/>
      <c r="Q41" s="93"/>
      <c r="R41" s="93"/>
      <c r="S41" s="93"/>
      <c r="T41" s="93"/>
      <c r="U41" s="93"/>
      <c r="V41" s="93"/>
      <c r="W41" s="93"/>
      <c r="X41" s="93"/>
      <c r="Y41" s="93"/>
      <c r="Z41" s="93"/>
      <c r="AA41" s="93"/>
      <c r="AB41" s="93"/>
      <c r="AC41" s="93"/>
    </row>
    <row r="42" spans="1:84" ht="13.5" customHeight="1">
      <c r="A42" s="93"/>
      <c r="B42" s="93"/>
      <c r="C42" s="93"/>
      <c r="D42" s="93"/>
      <c r="E42" s="93"/>
      <c r="F42" s="93"/>
      <c r="J42" s="93"/>
      <c r="K42" s="93"/>
      <c r="L42" s="93"/>
      <c r="M42" s="20"/>
      <c r="N42" s="20"/>
      <c r="O42" s="20"/>
      <c r="P42" s="20"/>
      <c r="Q42" s="93"/>
      <c r="R42" s="93"/>
      <c r="S42" s="93"/>
      <c r="T42" s="93"/>
      <c r="U42" s="93"/>
      <c r="V42" s="93"/>
      <c r="W42" s="93"/>
      <c r="X42" s="93"/>
      <c r="Y42" s="93"/>
      <c r="Z42" s="93"/>
      <c r="AA42" s="93"/>
      <c r="AB42" s="93"/>
      <c r="AC42" s="93"/>
    </row>
    <row r="43" spans="1:84" ht="13.5" customHeight="1">
      <c r="A43" s="93"/>
      <c r="B43" s="93"/>
      <c r="C43" s="93"/>
      <c r="D43" s="93"/>
      <c r="E43" s="93"/>
      <c r="F43" s="93"/>
      <c r="J43" s="93"/>
      <c r="K43" s="93"/>
      <c r="L43" s="93"/>
      <c r="M43" s="20"/>
      <c r="N43" s="20"/>
      <c r="O43" s="20"/>
      <c r="P43" s="20"/>
      <c r="Q43" s="93"/>
      <c r="R43" s="93"/>
      <c r="S43" s="93"/>
      <c r="T43" s="93"/>
      <c r="U43" s="93"/>
      <c r="V43" s="93"/>
      <c r="W43" s="93"/>
      <c r="X43" s="93"/>
      <c r="Y43" s="93"/>
      <c r="Z43" s="93"/>
      <c r="AA43" s="93"/>
      <c r="AB43" s="93"/>
      <c r="AC43" s="93"/>
    </row>
    <row r="44" spans="1:84" ht="13.5" customHeight="1">
      <c r="A44" s="93"/>
      <c r="B44" s="93"/>
      <c r="C44" s="93"/>
      <c r="D44" s="93"/>
      <c r="E44" s="93"/>
      <c r="F44" s="93"/>
      <c r="J44" s="93"/>
      <c r="K44" s="93"/>
      <c r="L44" s="93"/>
      <c r="M44" s="20"/>
      <c r="N44" s="20"/>
      <c r="O44" s="20"/>
      <c r="P44" s="20"/>
      <c r="Q44" s="93"/>
      <c r="R44" s="93"/>
      <c r="S44" s="93"/>
      <c r="T44" s="93"/>
      <c r="U44" s="93"/>
      <c r="V44" s="93"/>
      <c r="W44" s="93"/>
      <c r="X44" s="93"/>
      <c r="Y44" s="93"/>
      <c r="Z44" s="93"/>
      <c r="AA44" s="93"/>
      <c r="AB44" s="93"/>
      <c r="AC44" s="93"/>
    </row>
    <row r="45" spans="1:84" ht="13.5" customHeight="1">
      <c r="A45" s="93"/>
      <c r="B45" s="93"/>
      <c r="C45" s="93"/>
      <c r="D45" s="93"/>
      <c r="E45" s="93"/>
      <c r="F45" s="93"/>
      <c r="J45" s="93"/>
      <c r="K45" s="93"/>
      <c r="L45" s="93"/>
      <c r="M45" s="20"/>
      <c r="N45" s="20"/>
      <c r="O45" s="20"/>
      <c r="P45" s="20"/>
      <c r="Q45" s="93"/>
      <c r="R45" s="93"/>
      <c r="S45" s="93"/>
      <c r="T45" s="93"/>
      <c r="U45" s="93"/>
      <c r="V45" s="93"/>
      <c r="W45" s="93"/>
      <c r="X45" s="93"/>
      <c r="Y45" s="93"/>
      <c r="Z45" s="93"/>
      <c r="AA45" s="93"/>
      <c r="AB45" s="93"/>
      <c r="AC45" s="93"/>
    </row>
    <row r="46" spans="1:84" ht="13.5" customHeight="1">
      <c r="A46" s="93"/>
      <c r="B46" s="93"/>
      <c r="C46" s="93"/>
      <c r="D46" s="93"/>
      <c r="E46" s="93"/>
      <c r="F46" s="93"/>
      <c r="J46" s="93"/>
      <c r="K46" s="93"/>
      <c r="L46" s="93"/>
      <c r="M46" s="20"/>
      <c r="N46" s="20"/>
      <c r="O46" s="20"/>
      <c r="P46" s="20"/>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row>
    <row r="47" spans="1:84" ht="13.5" customHeight="1">
      <c r="A47" s="93"/>
      <c r="B47" s="93"/>
      <c r="C47" s="93"/>
      <c r="D47" s="93"/>
      <c r="E47" s="93"/>
      <c r="F47" s="93"/>
      <c r="J47" s="93"/>
      <c r="K47" s="93"/>
      <c r="L47" s="93"/>
      <c r="M47" s="20"/>
      <c r="N47" s="20"/>
      <c r="O47" s="20"/>
      <c r="P47" s="20"/>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row>
    <row r="48" spans="1:84" ht="13.5" customHeight="1">
      <c r="A48" s="93"/>
      <c r="B48" s="93"/>
      <c r="C48" s="93"/>
      <c r="D48" s="93"/>
      <c r="E48" s="93"/>
      <c r="F48" s="93"/>
      <c r="J48" s="93"/>
      <c r="K48" s="93"/>
      <c r="L48" s="93"/>
      <c r="M48" s="20"/>
      <c r="N48" s="20"/>
      <c r="O48" s="20"/>
      <c r="P48" s="20"/>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row>
    <row r="49" spans="1:41" ht="13.5" customHeight="1">
      <c r="A49" s="93"/>
      <c r="B49" s="93"/>
      <c r="C49" s="93"/>
      <c r="D49" s="93"/>
      <c r="E49" s="93"/>
      <c r="F49" s="93"/>
      <c r="J49" s="93"/>
      <c r="K49" s="93"/>
      <c r="L49" s="93"/>
      <c r="M49" s="20"/>
      <c r="N49" s="20"/>
      <c r="O49" s="20"/>
      <c r="P49" s="20"/>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row>
    <row r="50" spans="1:41" ht="13.5" customHeight="1">
      <c r="A50" s="93"/>
      <c r="B50" s="93"/>
      <c r="C50" s="93"/>
      <c r="D50" s="93"/>
      <c r="E50" s="93"/>
      <c r="F50" s="93"/>
      <c r="J50" s="93"/>
      <c r="K50" s="93"/>
      <c r="L50" s="93"/>
      <c r="M50" s="20"/>
      <c r="N50" s="20"/>
      <c r="O50" s="20"/>
      <c r="P50" s="20"/>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row>
    <row r="51" spans="1:41" ht="14.1" customHeight="1">
      <c r="A51" s="93"/>
      <c r="B51" s="93"/>
      <c r="C51" s="93"/>
      <c r="D51" s="93"/>
      <c r="E51" s="93"/>
      <c r="F51" s="93"/>
      <c r="J51" s="93"/>
      <c r="K51" s="93"/>
      <c r="L51" s="93"/>
      <c r="M51" s="20"/>
      <c r="N51" s="20"/>
      <c r="O51" s="20"/>
      <c r="P51" s="20"/>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row>
    <row r="52" spans="1:41" ht="14.1" customHeight="1">
      <c r="A52" s="93"/>
      <c r="B52" s="93"/>
      <c r="C52" s="93"/>
      <c r="D52" s="93"/>
      <c r="E52" s="93"/>
      <c r="F52" s="93"/>
      <c r="J52" s="93"/>
      <c r="K52" s="93"/>
      <c r="L52" s="93"/>
      <c r="M52" s="20"/>
      <c r="N52" s="20"/>
      <c r="O52" s="20"/>
      <c r="P52" s="20"/>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row>
    <row r="53" spans="1:41" ht="14.1" customHeight="1">
      <c r="A53" s="93"/>
      <c r="B53" s="93"/>
      <c r="C53" s="93"/>
      <c r="D53" s="93"/>
      <c r="E53" s="93"/>
      <c r="F53" s="93"/>
      <c r="J53" s="93"/>
      <c r="K53" s="93"/>
      <c r="L53" s="93"/>
      <c r="M53" s="20"/>
      <c r="N53" s="20"/>
      <c r="O53" s="20"/>
      <c r="P53" s="20"/>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row>
    <row r="54" spans="1:41" ht="14.1" customHeight="1">
      <c r="A54" s="93"/>
      <c r="B54" s="93"/>
      <c r="C54" s="93"/>
      <c r="D54" s="93"/>
      <c r="E54" s="93"/>
      <c r="F54" s="93"/>
      <c r="J54" s="93"/>
      <c r="K54" s="93"/>
      <c r="L54" s="93"/>
      <c r="M54" s="20"/>
      <c r="N54" s="20"/>
      <c r="O54" s="20"/>
      <c r="P54" s="20"/>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row>
    <row r="55" spans="1:41" ht="14.1" customHeight="1">
      <c r="A55" s="93"/>
      <c r="B55" s="93"/>
      <c r="C55" s="93"/>
      <c r="D55" s="93"/>
      <c r="E55" s="93"/>
      <c r="F55" s="93"/>
      <c r="J55" s="93"/>
      <c r="K55" s="93"/>
      <c r="L55" s="93"/>
      <c r="M55" s="20"/>
      <c r="N55" s="20"/>
      <c r="O55" s="20"/>
      <c r="P55" s="20"/>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row>
    <row r="56" spans="1:41" ht="14.1" customHeight="1">
      <c r="A56" s="93"/>
      <c r="B56" s="93"/>
      <c r="C56" s="93"/>
      <c r="D56" s="93"/>
      <c r="E56" s="93"/>
      <c r="F56" s="93"/>
      <c r="J56" s="93"/>
      <c r="K56" s="93"/>
      <c r="L56" s="93"/>
      <c r="M56" s="20"/>
      <c r="N56" s="20"/>
      <c r="O56" s="20"/>
      <c r="P56" s="20"/>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row>
    <row r="57" spans="1:41" ht="14.1" customHeight="1">
      <c r="A57" s="93"/>
      <c r="B57" s="93"/>
      <c r="C57" s="93"/>
      <c r="D57" s="93"/>
      <c r="E57" s="93"/>
      <c r="F57" s="93"/>
      <c r="J57" s="93"/>
      <c r="K57" s="93"/>
      <c r="L57" s="93"/>
      <c r="M57" s="20"/>
      <c r="N57" s="20"/>
      <c r="O57" s="20"/>
      <c r="P57" s="20"/>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row>
    <row r="58" spans="1:41" ht="14.1" customHeight="1">
      <c r="A58" s="93"/>
      <c r="B58" s="93"/>
      <c r="C58" s="93"/>
      <c r="D58" s="93"/>
      <c r="E58" s="93"/>
      <c r="F58" s="93"/>
      <c r="J58" s="93"/>
      <c r="K58" s="93"/>
      <c r="L58" s="93"/>
      <c r="M58" s="20"/>
      <c r="N58" s="20"/>
      <c r="O58" s="20"/>
      <c r="P58" s="20"/>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row>
    <row r="59" spans="1:41" ht="14.1" customHeight="1">
      <c r="A59" s="93"/>
      <c r="B59" s="93"/>
      <c r="C59" s="93"/>
      <c r="D59" s="93"/>
      <c r="E59" s="93"/>
      <c r="F59" s="93"/>
      <c r="J59" s="93"/>
      <c r="K59" s="93"/>
      <c r="L59" s="93"/>
      <c r="M59" s="20"/>
      <c r="N59" s="20"/>
      <c r="O59" s="20"/>
      <c r="P59" s="20"/>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row>
    <row r="60" spans="1:41" ht="14.1" customHeight="1">
      <c r="A60" s="93"/>
      <c r="B60" s="93"/>
      <c r="C60" s="93"/>
      <c r="D60" s="93"/>
      <c r="E60" s="93"/>
      <c r="F60" s="93"/>
      <c r="J60" s="93"/>
      <c r="K60" s="93"/>
      <c r="L60" s="93"/>
      <c r="M60" s="20"/>
      <c r="N60" s="20"/>
      <c r="O60" s="20"/>
      <c r="P60" s="20"/>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row>
    <row r="61" spans="1:41" ht="14.1" customHeight="1">
      <c r="A61" s="93"/>
      <c r="B61" s="93"/>
      <c r="C61" s="93"/>
      <c r="D61" s="93"/>
      <c r="E61" s="93"/>
      <c r="F61" s="93"/>
      <c r="J61" s="93"/>
      <c r="K61" s="93"/>
      <c r="L61" s="93"/>
      <c r="M61" s="20"/>
      <c r="N61" s="20"/>
      <c r="O61" s="20"/>
      <c r="P61" s="20"/>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row>
    <row r="62" spans="1:41" ht="14.1" customHeight="1">
      <c r="A62" s="93"/>
      <c r="B62" s="93"/>
      <c r="C62" s="93"/>
      <c r="D62" s="93"/>
      <c r="E62" s="93"/>
      <c r="F62" s="93"/>
      <c r="J62" s="93"/>
      <c r="K62" s="93"/>
      <c r="L62" s="93"/>
      <c r="M62" s="20"/>
      <c r="N62" s="20"/>
      <c r="O62" s="20"/>
      <c r="P62" s="20"/>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row>
    <row r="63" spans="1:41" ht="14.1" customHeight="1">
      <c r="A63" s="93"/>
      <c r="B63" s="93"/>
      <c r="C63" s="93"/>
      <c r="D63" s="93"/>
      <c r="E63" s="93"/>
      <c r="F63" s="93"/>
      <c r="J63" s="93"/>
      <c r="K63" s="93"/>
      <c r="L63" s="93"/>
      <c r="M63" s="20"/>
      <c r="N63" s="20"/>
      <c r="O63" s="20"/>
      <c r="P63" s="20"/>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row>
    <row r="64" spans="1:41" ht="14.1" customHeight="1">
      <c r="A64" s="93"/>
      <c r="B64" s="93"/>
      <c r="C64" s="93"/>
      <c r="D64" s="93"/>
      <c r="E64" s="93"/>
      <c r="F64" s="93"/>
      <c r="J64" s="93"/>
      <c r="K64" s="93"/>
      <c r="L64" s="93"/>
      <c r="M64" s="20"/>
      <c r="N64" s="20"/>
      <c r="O64" s="20"/>
      <c r="P64" s="20"/>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row>
    <row r="65" spans="1:41" ht="14.1" customHeight="1">
      <c r="A65" s="93"/>
      <c r="B65" s="93"/>
      <c r="C65" s="93"/>
      <c r="D65" s="93"/>
      <c r="E65" s="93"/>
      <c r="F65" s="93"/>
      <c r="J65" s="93"/>
      <c r="K65" s="93"/>
      <c r="L65" s="93"/>
      <c r="M65" s="20"/>
      <c r="N65" s="20"/>
      <c r="O65" s="20"/>
      <c r="P65" s="20"/>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row>
    <row r="66" spans="1:41" ht="14.1" customHeight="1">
      <c r="A66" s="93"/>
      <c r="B66" s="93"/>
      <c r="C66" s="93"/>
      <c r="D66" s="93"/>
      <c r="E66" s="93"/>
      <c r="F66" s="93"/>
      <c r="J66" s="93"/>
      <c r="K66" s="93"/>
      <c r="L66" s="93"/>
      <c r="M66" s="20"/>
      <c r="N66" s="20"/>
      <c r="O66" s="20"/>
      <c r="P66" s="20"/>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row>
    <row r="67" spans="1:41" ht="14.1" customHeight="1">
      <c r="A67" s="93"/>
      <c r="B67" s="93"/>
      <c r="C67" s="93"/>
      <c r="D67" s="93"/>
      <c r="E67" s="93"/>
      <c r="F67" s="93"/>
      <c r="J67" s="93"/>
      <c r="K67" s="93"/>
      <c r="L67" s="93"/>
      <c r="M67" s="20"/>
      <c r="N67" s="20"/>
      <c r="O67" s="20"/>
      <c r="P67" s="20"/>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row>
    <row r="68" spans="1:41" ht="14.1" customHeight="1">
      <c r="A68" s="93"/>
      <c r="B68" s="93"/>
      <c r="C68" s="93"/>
      <c r="D68" s="93"/>
      <c r="E68" s="93"/>
      <c r="F68" s="93"/>
      <c r="J68" s="93"/>
      <c r="K68" s="93"/>
      <c r="L68" s="93"/>
      <c r="M68" s="20"/>
      <c r="N68" s="20"/>
      <c r="O68" s="20"/>
      <c r="P68" s="20"/>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row>
    <row r="69" spans="1:41" ht="14.1" customHeight="1">
      <c r="A69" s="93"/>
      <c r="B69" s="93"/>
      <c r="C69" s="93"/>
      <c r="D69" s="93"/>
      <c r="E69" s="93"/>
      <c r="F69" s="93"/>
      <c r="J69" s="93"/>
      <c r="K69" s="93"/>
      <c r="L69" s="93"/>
      <c r="M69" s="20"/>
      <c r="N69" s="20"/>
      <c r="O69" s="20"/>
      <c r="P69" s="20"/>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row>
    <row r="70" spans="1:41" ht="14.1" customHeight="1">
      <c r="A70" s="93"/>
      <c r="B70" s="93"/>
      <c r="C70" s="93"/>
      <c r="D70" s="93"/>
      <c r="E70" s="93"/>
      <c r="F70" s="93"/>
      <c r="J70" s="93"/>
      <c r="K70" s="93"/>
      <c r="L70" s="93"/>
      <c r="M70" s="20"/>
      <c r="N70" s="20"/>
      <c r="O70" s="20"/>
      <c r="P70" s="20"/>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row>
    <row r="71" spans="1:41" ht="14.1" customHeight="1">
      <c r="P71" s="91"/>
    </row>
    <row r="72" spans="1:41" ht="14.1" customHeight="1">
      <c r="P72" s="91"/>
    </row>
    <row r="73" spans="1:41" ht="14.1" customHeight="1"/>
    <row r="74" spans="1:41" ht="14.1" customHeight="1"/>
    <row r="75" spans="1:41" ht="14.1" customHeight="1"/>
    <row r="76" spans="1:41" ht="12.75" hidden="1" customHeight="1"/>
    <row r="77" spans="1:41" ht="12.75" hidden="1" customHeight="1"/>
    <row r="78" spans="1:41" ht="12.75" hidden="1" customHeight="1"/>
    <row r="79" spans="1:41" ht="12.75" hidden="1" customHeight="1"/>
    <row r="80" spans="1:41" ht="12.75" hidden="1" customHeight="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row r="110"/>
    <row r="111"/>
    <row r="112"/>
    <row r="113"/>
    <row r="114"/>
    <row r="115"/>
    <row r="116"/>
    <row r="117"/>
    <row r="118"/>
    <row r="119"/>
    <row r="120"/>
    <row r="121"/>
    <row r="122"/>
  </sheetData>
  <sheetProtection sheet="1" objects="1" scenarios="1" selectLockedCells="1"/>
  <mergeCells count="38">
    <mergeCell ref="J35:K35"/>
    <mergeCell ref="B29:C29"/>
    <mergeCell ref="B26:C26"/>
    <mergeCell ref="B18:C18"/>
    <mergeCell ref="B8:C8"/>
    <mergeCell ref="B21:C21"/>
    <mergeCell ref="B22:C22"/>
    <mergeCell ref="B23:C23"/>
    <mergeCell ref="B24:C24"/>
    <mergeCell ref="B25:C25"/>
    <mergeCell ref="B15:C15"/>
    <mergeCell ref="B16:C16"/>
    <mergeCell ref="B17:C17"/>
    <mergeCell ref="B19:C19"/>
    <mergeCell ref="B20:C20"/>
    <mergeCell ref="A19:A26"/>
    <mergeCell ref="A27:A29"/>
    <mergeCell ref="B27:C27"/>
    <mergeCell ref="B28:C28"/>
    <mergeCell ref="H2:H4"/>
    <mergeCell ref="A2:C2"/>
    <mergeCell ref="B5:C5"/>
    <mergeCell ref="B6:C6"/>
    <mergeCell ref="B7:C7"/>
    <mergeCell ref="B9:C9"/>
    <mergeCell ref="B10:C10"/>
    <mergeCell ref="B11:C11"/>
    <mergeCell ref="B12:C12"/>
    <mergeCell ref="B13:C13"/>
    <mergeCell ref="B14:C14"/>
    <mergeCell ref="I2:I4"/>
    <mergeCell ref="M2:S2"/>
    <mergeCell ref="M3:M4"/>
    <mergeCell ref="M33:N33"/>
    <mergeCell ref="E1:F1"/>
    <mergeCell ref="E2:E4"/>
    <mergeCell ref="F2:F4"/>
    <mergeCell ref="G2:G4"/>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&amp;L冬春トマト（高糖度隔離床栽培ゆめ果菜恵）（沿岸部～中間）</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R155"/>
  <sheetViews>
    <sheetView showGridLines="0" workbookViewId="0">
      <pane ySplit="4" topLeftCell="A138" activePane="bottomLeft" state="frozen"/>
      <selection activeCell="I22" sqref="I22"/>
      <selection pane="bottomLeft" activeCell="A5" sqref="A5"/>
    </sheetView>
  </sheetViews>
  <sheetFormatPr defaultRowHeight="13.5"/>
  <cols>
    <col min="1" max="1" width="15.125" style="8" customWidth="1"/>
    <col min="2" max="2" width="9" style="8"/>
    <col min="3" max="3" width="14.625" style="8" customWidth="1"/>
    <col min="4" max="4" width="16.625" style="8" customWidth="1"/>
    <col min="5" max="5" width="4.875" style="8" bestFit="1" customWidth="1"/>
    <col min="6" max="10" width="9" style="313"/>
    <col min="11" max="11" width="18.375" style="8" customWidth="1"/>
    <col min="12" max="12" width="9.125" style="8" customWidth="1"/>
    <col min="13" max="13" width="9.125" style="314" customWidth="1"/>
    <col min="14" max="14" width="9.125" style="313" customWidth="1"/>
    <col min="15" max="15" width="18.625" style="315" customWidth="1"/>
    <col min="16" max="16" width="9" style="8"/>
    <col min="17" max="18" width="9" style="572"/>
    <col min="19" max="16384" width="9" style="8"/>
  </cols>
  <sheetData>
    <row r="1" spans="1:18" ht="14.25" thickBot="1">
      <c r="A1" s="22" t="str">
        <f>IF(①技術体系!A2=0,"",①技術体系!A2)</f>
        <v>トマト</v>
      </c>
      <c r="D1" s="22" t="str">
        <f>IF(①技術体系!C2=0,"",①技術体系!C2)</f>
        <v>マイロック等</v>
      </c>
    </row>
    <row r="2" spans="1:18" s="420" customFormat="1" ht="24" customHeight="1" thickBot="1">
      <c r="A2" s="796" t="s">
        <v>4</v>
      </c>
      <c r="B2" s="797" t="s">
        <v>59</v>
      </c>
      <c r="C2" s="798" t="s">
        <v>60</v>
      </c>
      <c r="D2" s="798" t="s">
        <v>61</v>
      </c>
      <c r="E2" s="799" t="s">
        <v>450</v>
      </c>
      <c r="F2" s="793" t="s">
        <v>348</v>
      </c>
      <c r="G2" s="794"/>
      <c r="H2" s="794"/>
      <c r="I2" s="794"/>
      <c r="J2" s="794"/>
      <c r="K2" s="795" t="s">
        <v>62</v>
      </c>
      <c r="L2" s="795"/>
      <c r="M2" s="795"/>
      <c r="N2" s="795"/>
      <c r="O2" s="780" t="s">
        <v>63</v>
      </c>
      <c r="Q2" s="573"/>
      <c r="R2" s="573"/>
    </row>
    <row r="3" spans="1:18" s="420" customFormat="1" ht="19.5" customHeight="1" thickBot="1">
      <c r="A3" s="796"/>
      <c r="B3" s="797"/>
      <c r="C3" s="798"/>
      <c r="D3" s="798"/>
      <c r="E3" s="800"/>
      <c r="F3" s="781" t="s">
        <v>349</v>
      </c>
      <c r="G3" s="782"/>
      <c r="H3" s="781" t="s">
        <v>350</v>
      </c>
      <c r="I3" s="783"/>
      <c r="J3" s="784" t="s">
        <v>66</v>
      </c>
      <c r="K3" s="786" t="s">
        <v>67</v>
      </c>
      <c r="L3" s="788" t="s">
        <v>503</v>
      </c>
      <c r="M3" s="790" t="s">
        <v>451</v>
      </c>
      <c r="N3" s="791" t="s">
        <v>452</v>
      </c>
      <c r="O3" s="780"/>
      <c r="Q3" s="573"/>
      <c r="R3" s="573"/>
    </row>
    <row r="4" spans="1:18" s="420" customFormat="1" ht="27.75" thickBot="1">
      <c r="A4" s="796"/>
      <c r="B4" s="797"/>
      <c r="C4" s="798"/>
      <c r="D4" s="798"/>
      <c r="E4" s="800"/>
      <c r="F4" s="316" t="s">
        <v>64</v>
      </c>
      <c r="G4" s="317" t="s">
        <v>346</v>
      </c>
      <c r="H4" s="318" t="s">
        <v>65</v>
      </c>
      <c r="I4" s="317" t="s">
        <v>347</v>
      </c>
      <c r="J4" s="785"/>
      <c r="K4" s="787"/>
      <c r="L4" s="789"/>
      <c r="M4" s="789"/>
      <c r="N4" s="792"/>
      <c r="O4" s="780"/>
      <c r="Q4" s="573" t="s">
        <v>252</v>
      </c>
      <c r="R4" s="573" t="s">
        <v>253</v>
      </c>
    </row>
    <row r="5" spans="1:18">
      <c r="A5" s="532" t="s">
        <v>573</v>
      </c>
      <c r="B5" s="533" t="s">
        <v>248</v>
      </c>
      <c r="C5" s="532"/>
      <c r="D5" s="535"/>
      <c r="E5" s="3">
        <v>1</v>
      </c>
      <c r="F5" s="260">
        <v>5</v>
      </c>
      <c r="G5" s="260">
        <v>1</v>
      </c>
      <c r="H5" s="6"/>
      <c r="I5" s="4"/>
      <c r="J5" s="390">
        <f t="shared" ref="J5:J69" si="0">(+F5*G5+H5*I5)*E5</f>
        <v>5</v>
      </c>
      <c r="K5" s="2"/>
      <c r="L5" s="6"/>
      <c r="M5" s="5"/>
      <c r="N5" s="7" t="str">
        <f t="shared" ref="N5:N69" si="1">IF(K5=0,"",L5*M5*E5)</f>
        <v/>
      </c>
      <c r="O5" s="18" t="s">
        <v>493</v>
      </c>
      <c r="Q5" s="572">
        <f t="shared" ref="Q5:Q6" si="2">F5*G5*E5</f>
        <v>5</v>
      </c>
      <c r="R5" s="572">
        <f t="shared" ref="R5:R6" si="3">H5*E5*I5</f>
        <v>0</v>
      </c>
    </row>
    <row r="6" spans="1:18">
      <c r="A6" s="532" t="s">
        <v>573</v>
      </c>
      <c r="B6" s="533" t="s">
        <v>248</v>
      </c>
      <c r="C6" s="532"/>
      <c r="D6" s="535"/>
      <c r="E6" s="3">
        <v>1</v>
      </c>
      <c r="F6" s="260">
        <v>15</v>
      </c>
      <c r="G6" s="260">
        <v>1</v>
      </c>
      <c r="H6" s="6"/>
      <c r="I6" s="4"/>
      <c r="J6" s="390">
        <f t="shared" si="0"/>
        <v>15</v>
      </c>
      <c r="K6" s="2"/>
      <c r="L6" s="6"/>
      <c r="M6" s="5"/>
      <c r="N6" s="7" t="str">
        <f t="shared" si="1"/>
        <v/>
      </c>
      <c r="O6" s="18" t="s">
        <v>494</v>
      </c>
      <c r="Q6" s="572">
        <f t="shared" si="2"/>
        <v>15</v>
      </c>
      <c r="R6" s="572">
        <f t="shared" si="3"/>
        <v>0</v>
      </c>
    </row>
    <row r="7" spans="1:18">
      <c r="A7" s="630"/>
      <c r="B7" s="631"/>
      <c r="C7" s="638"/>
      <c r="D7" s="632"/>
      <c r="E7" s="3"/>
      <c r="F7" s="633"/>
      <c r="G7" s="633"/>
      <c r="H7" s="634"/>
      <c r="I7" s="4"/>
      <c r="J7" s="390"/>
      <c r="K7" s="635"/>
      <c r="L7" s="634"/>
      <c r="M7" s="636"/>
      <c r="N7" s="637"/>
      <c r="O7" s="18"/>
      <c r="Q7" s="572">
        <f t="shared" ref="Q7:Q70" si="4">F7*G7*E7</f>
        <v>0</v>
      </c>
      <c r="R7" s="572">
        <f t="shared" ref="R7:R70" si="5">H7*E7*I7</f>
        <v>0</v>
      </c>
    </row>
    <row r="8" spans="1:18">
      <c r="A8" s="532" t="s">
        <v>287</v>
      </c>
      <c r="B8" s="533" t="s">
        <v>249</v>
      </c>
      <c r="C8" s="535"/>
      <c r="D8" s="535"/>
      <c r="E8" s="3">
        <v>1</v>
      </c>
      <c r="F8" s="260">
        <v>8</v>
      </c>
      <c r="G8" s="260">
        <v>1</v>
      </c>
      <c r="H8" s="6"/>
      <c r="I8" s="4"/>
      <c r="J8" s="390">
        <f t="shared" si="0"/>
        <v>8</v>
      </c>
      <c r="K8" s="2"/>
      <c r="L8" s="6"/>
      <c r="M8" s="5"/>
      <c r="N8" s="7" t="str">
        <f t="shared" si="1"/>
        <v/>
      </c>
      <c r="O8" s="18"/>
      <c r="Q8" s="572">
        <f t="shared" si="4"/>
        <v>8</v>
      </c>
      <c r="R8" s="572">
        <f t="shared" si="5"/>
        <v>0</v>
      </c>
    </row>
    <row r="9" spans="1:18">
      <c r="A9" s="630"/>
      <c r="B9" s="631"/>
      <c r="C9" s="632"/>
      <c r="D9" s="632"/>
      <c r="E9" s="3"/>
      <c r="F9" s="633"/>
      <c r="G9" s="633"/>
      <c r="H9" s="634"/>
      <c r="I9" s="4"/>
      <c r="J9" s="390"/>
      <c r="K9" s="635"/>
      <c r="L9" s="634"/>
      <c r="M9" s="636"/>
      <c r="N9" s="637"/>
      <c r="O9" s="18"/>
      <c r="Q9" s="572">
        <f t="shared" si="4"/>
        <v>0</v>
      </c>
      <c r="R9" s="572">
        <f t="shared" si="5"/>
        <v>0</v>
      </c>
    </row>
    <row r="10" spans="1:18">
      <c r="A10" s="532" t="s">
        <v>316</v>
      </c>
      <c r="B10" s="533" t="s">
        <v>249</v>
      </c>
      <c r="C10" s="536"/>
      <c r="D10" s="535"/>
      <c r="E10" s="3">
        <v>1</v>
      </c>
      <c r="F10" s="260">
        <v>1</v>
      </c>
      <c r="G10" s="260">
        <v>1</v>
      </c>
      <c r="H10" s="6"/>
      <c r="I10" s="4"/>
      <c r="J10" s="390">
        <f t="shared" si="0"/>
        <v>1</v>
      </c>
      <c r="K10" s="2"/>
      <c r="L10" s="6"/>
      <c r="M10" s="5"/>
      <c r="N10" s="7" t="str">
        <f t="shared" si="1"/>
        <v/>
      </c>
      <c r="O10" s="18"/>
      <c r="Q10" s="572">
        <f t="shared" si="4"/>
        <v>1</v>
      </c>
      <c r="R10" s="572">
        <f t="shared" si="5"/>
        <v>0</v>
      </c>
    </row>
    <row r="11" spans="1:18">
      <c r="A11" s="532" t="s">
        <v>316</v>
      </c>
      <c r="B11" s="533" t="s">
        <v>199</v>
      </c>
      <c r="C11" s="536"/>
      <c r="D11" s="535"/>
      <c r="E11" s="3">
        <v>1</v>
      </c>
      <c r="F11" s="260">
        <v>1</v>
      </c>
      <c r="G11" s="260">
        <v>1</v>
      </c>
      <c r="H11" s="6"/>
      <c r="I11" s="4"/>
      <c r="J11" s="390">
        <f t="shared" si="0"/>
        <v>1</v>
      </c>
      <c r="K11" s="2"/>
      <c r="L11" s="6"/>
      <c r="M11" s="5"/>
      <c r="N11" s="7" t="str">
        <f t="shared" si="1"/>
        <v/>
      </c>
      <c r="O11" s="18"/>
      <c r="Q11" s="572">
        <f t="shared" si="4"/>
        <v>1</v>
      </c>
      <c r="R11" s="572">
        <f t="shared" si="5"/>
        <v>0</v>
      </c>
    </row>
    <row r="12" spans="1:18">
      <c r="A12" s="532" t="s">
        <v>316</v>
      </c>
      <c r="B12" s="533" t="s">
        <v>204</v>
      </c>
      <c r="C12" s="536"/>
      <c r="D12" s="535"/>
      <c r="E12" s="3">
        <v>1</v>
      </c>
      <c r="F12" s="260">
        <v>1</v>
      </c>
      <c r="G12" s="260">
        <v>1</v>
      </c>
      <c r="H12" s="6"/>
      <c r="I12" s="4"/>
      <c r="J12" s="390">
        <f t="shared" si="0"/>
        <v>1</v>
      </c>
      <c r="K12" s="2"/>
      <c r="L12" s="6"/>
      <c r="M12" s="5"/>
      <c r="N12" s="7" t="str">
        <f t="shared" si="1"/>
        <v/>
      </c>
      <c r="O12" s="18"/>
      <c r="Q12" s="572">
        <f t="shared" si="4"/>
        <v>1</v>
      </c>
      <c r="R12" s="572">
        <f t="shared" si="5"/>
        <v>0</v>
      </c>
    </row>
    <row r="13" spans="1:18">
      <c r="A13" s="532" t="s">
        <v>316</v>
      </c>
      <c r="B13" s="533" t="s">
        <v>210</v>
      </c>
      <c r="C13" s="536"/>
      <c r="D13" s="535"/>
      <c r="E13" s="3">
        <v>1</v>
      </c>
      <c r="F13" s="260">
        <v>1</v>
      </c>
      <c r="G13" s="260">
        <v>1</v>
      </c>
      <c r="H13" s="6"/>
      <c r="I13" s="4"/>
      <c r="J13" s="390">
        <f t="shared" si="0"/>
        <v>1</v>
      </c>
      <c r="K13" s="2"/>
      <c r="L13" s="6"/>
      <c r="M13" s="5"/>
      <c r="N13" s="7" t="str">
        <f t="shared" si="1"/>
        <v/>
      </c>
      <c r="O13" s="18"/>
      <c r="Q13" s="572">
        <f t="shared" si="4"/>
        <v>1</v>
      </c>
      <c r="R13" s="572">
        <f t="shared" si="5"/>
        <v>0</v>
      </c>
    </row>
    <row r="14" spans="1:18">
      <c r="A14" s="532" t="s">
        <v>316</v>
      </c>
      <c r="B14" s="533" t="s">
        <v>216</v>
      </c>
      <c r="C14" s="536"/>
      <c r="D14" s="535"/>
      <c r="E14" s="3">
        <v>1</v>
      </c>
      <c r="F14" s="260">
        <v>1</v>
      </c>
      <c r="G14" s="260">
        <v>1</v>
      </c>
      <c r="H14" s="6"/>
      <c r="I14" s="4"/>
      <c r="J14" s="390">
        <f t="shared" si="0"/>
        <v>1</v>
      </c>
      <c r="K14" s="2"/>
      <c r="L14" s="6"/>
      <c r="M14" s="5"/>
      <c r="N14" s="7" t="str">
        <f t="shared" si="1"/>
        <v/>
      </c>
      <c r="O14" s="18"/>
      <c r="Q14" s="572">
        <f t="shared" si="4"/>
        <v>1</v>
      </c>
      <c r="R14" s="572">
        <f t="shared" si="5"/>
        <v>0</v>
      </c>
    </row>
    <row r="15" spans="1:18">
      <c r="A15" s="532" t="s">
        <v>316</v>
      </c>
      <c r="B15" s="533" t="s">
        <v>223</v>
      </c>
      <c r="C15" s="536"/>
      <c r="D15" s="535"/>
      <c r="E15" s="3">
        <v>1</v>
      </c>
      <c r="F15" s="260">
        <v>1</v>
      </c>
      <c r="G15" s="260">
        <v>1</v>
      </c>
      <c r="H15" s="6"/>
      <c r="I15" s="4"/>
      <c r="J15" s="390">
        <f t="shared" si="0"/>
        <v>1</v>
      </c>
      <c r="K15" s="2"/>
      <c r="L15" s="6"/>
      <c r="M15" s="5"/>
      <c r="N15" s="7" t="str">
        <f t="shared" si="1"/>
        <v/>
      </c>
      <c r="O15" s="18"/>
      <c r="Q15" s="572">
        <f t="shared" si="4"/>
        <v>1</v>
      </c>
      <c r="R15" s="572">
        <f t="shared" si="5"/>
        <v>0</v>
      </c>
    </row>
    <row r="16" spans="1:18">
      <c r="A16" s="630" t="s">
        <v>286</v>
      </c>
      <c r="B16" s="631" t="s">
        <v>229</v>
      </c>
      <c r="C16" s="639"/>
      <c r="D16" s="632"/>
      <c r="E16" s="3">
        <v>1</v>
      </c>
      <c r="F16" s="260">
        <v>1</v>
      </c>
      <c r="G16" s="260">
        <v>1</v>
      </c>
      <c r="H16" s="6"/>
      <c r="I16" s="4"/>
      <c r="J16" s="390">
        <f t="shared" ref="J16" si="6">(+F16*G16+H16*I16)*E16</f>
        <v>1</v>
      </c>
      <c r="K16" s="635"/>
      <c r="L16" s="634"/>
      <c r="M16" s="636"/>
      <c r="N16" s="637"/>
      <c r="O16" s="18"/>
      <c r="Q16" s="572">
        <f t="shared" si="4"/>
        <v>1</v>
      </c>
      <c r="R16" s="572">
        <f t="shared" si="5"/>
        <v>0</v>
      </c>
    </row>
    <row r="17" spans="1:18">
      <c r="A17" s="630"/>
      <c r="B17" s="631"/>
      <c r="C17" s="639"/>
      <c r="D17" s="632"/>
      <c r="E17" s="3"/>
      <c r="F17" s="633"/>
      <c r="G17" s="633"/>
      <c r="H17" s="634"/>
      <c r="I17" s="4"/>
      <c r="J17" s="390"/>
      <c r="K17" s="635"/>
      <c r="L17" s="634"/>
      <c r="M17" s="636"/>
      <c r="N17" s="637"/>
      <c r="O17" s="18"/>
      <c r="Q17" s="572">
        <f t="shared" si="4"/>
        <v>0</v>
      </c>
      <c r="R17" s="572">
        <f t="shared" si="5"/>
        <v>0</v>
      </c>
    </row>
    <row r="18" spans="1:18">
      <c r="A18" s="532" t="s">
        <v>534</v>
      </c>
      <c r="B18" s="533" t="s">
        <v>250</v>
      </c>
      <c r="C18" s="535"/>
      <c r="D18" s="535"/>
      <c r="E18" s="3">
        <v>1</v>
      </c>
      <c r="F18" s="260">
        <v>6</v>
      </c>
      <c r="G18" s="260">
        <v>1</v>
      </c>
      <c r="H18" s="6"/>
      <c r="I18" s="4"/>
      <c r="J18" s="390">
        <f t="shared" si="0"/>
        <v>6</v>
      </c>
      <c r="K18" s="2"/>
      <c r="L18" s="6"/>
      <c r="M18" s="5"/>
      <c r="N18" s="7" t="str">
        <f t="shared" si="1"/>
        <v/>
      </c>
      <c r="O18" s="18" t="s">
        <v>317</v>
      </c>
      <c r="Q18" s="572">
        <f t="shared" si="4"/>
        <v>6</v>
      </c>
      <c r="R18" s="572">
        <f t="shared" si="5"/>
        <v>0</v>
      </c>
    </row>
    <row r="19" spans="1:18">
      <c r="A19" s="532" t="s">
        <v>533</v>
      </c>
      <c r="B19" s="533" t="s">
        <v>251</v>
      </c>
      <c r="C19" s="535"/>
      <c r="D19" s="535"/>
      <c r="E19" s="3">
        <v>1</v>
      </c>
      <c r="F19" s="260">
        <v>6</v>
      </c>
      <c r="G19" s="260">
        <v>1</v>
      </c>
      <c r="H19" s="6"/>
      <c r="I19" s="4"/>
      <c r="J19" s="390">
        <f t="shared" si="0"/>
        <v>6</v>
      </c>
      <c r="K19" s="2"/>
      <c r="L19" s="6"/>
      <c r="M19" s="5"/>
      <c r="N19" s="7" t="str">
        <f t="shared" si="1"/>
        <v/>
      </c>
      <c r="O19" s="18" t="s">
        <v>317</v>
      </c>
      <c r="Q19" s="572">
        <f t="shared" si="4"/>
        <v>6</v>
      </c>
      <c r="R19" s="572">
        <f t="shared" si="5"/>
        <v>0</v>
      </c>
    </row>
    <row r="20" spans="1:18">
      <c r="A20" s="532" t="s">
        <v>533</v>
      </c>
      <c r="B20" s="533" t="s">
        <v>199</v>
      </c>
      <c r="C20" s="535"/>
      <c r="D20" s="535"/>
      <c r="E20" s="3">
        <v>1</v>
      </c>
      <c r="F20" s="260">
        <v>6</v>
      </c>
      <c r="G20" s="260">
        <v>1</v>
      </c>
      <c r="H20" s="6"/>
      <c r="I20" s="4"/>
      <c r="J20" s="390">
        <f t="shared" si="0"/>
        <v>6</v>
      </c>
      <c r="K20" s="2"/>
      <c r="L20" s="6"/>
      <c r="M20" s="5"/>
      <c r="N20" s="7" t="str">
        <f t="shared" si="1"/>
        <v/>
      </c>
      <c r="O20" s="18" t="s">
        <v>317</v>
      </c>
      <c r="Q20" s="572">
        <f t="shared" si="4"/>
        <v>6</v>
      </c>
      <c r="R20" s="572">
        <f t="shared" si="5"/>
        <v>0</v>
      </c>
    </row>
    <row r="21" spans="1:18">
      <c r="A21" s="532" t="s">
        <v>533</v>
      </c>
      <c r="B21" s="533" t="s">
        <v>200</v>
      </c>
      <c r="C21" s="535"/>
      <c r="D21" s="535"/>
      <c r="E21" s="3">
        <v>1</v>
      </c>
      <c r="F21" s="260">
        <v>6</v>
      </c>
      <c r="G21" s="260">
        <v>1</v>
      </c>
      <c r="H21" s="6"/>
      <c r="I21" s="4"/>
      <c r="J21" s="390">
        <f t="shared" si="0"/>
        <v>6</v>
      </c>
      <c r="K21" s="2"/>
      <c r="L21" s="6"/>
      <c r="M21" s="5"/>
      <c r="N21" s="7" t="str">
        <f t="shared" si="1"/>
        <v/>
      </c>
      <c r="O21" s="18" t="s">
        <v>317</v>
      </c>
      <c r="Q21" s="572">
        <f t="shared" si="4"/>
        <v>6</v>
      </c>
      <c r="R21" s="572">
        <f t="shared" si="5"/>
        <v>0</v>
      </c>
    </row>
    <row r="22" spans="1:18">
      <c r="A22" s="532" t="s">
        <v>533</v>
      </c>
      <c r="B22" s="533" t="s">
        <v>202</v>
      </c>
      <c r="C22" s="535"/>
      <c r="D22" s="535"/>
      <c r="E22" s="3">
        <v>1</v>
      </c>
      <c r="F22" s="260">
        <v>6</v>
      </c>
      <c r="G22" s="260">
        <v>1</v>
      </c>
      <c r="H22" s="6"/>
      <c r="I22" s="4"/>
      <c r="J22" s="390">
        <f t="shared" si="0"/>
        <v>6</v>
      </c>
      <c r="K22" s="2"/>
      <c r="L22" s="6"/>
      <c r="M22" s="5"/>
      <c r="N22" s="7" t="str">
        <f t="shared" si="1"/>
        <v/>
      </c>
      <c r="O22" s="18" t="s">
        <v>317</v>
      </c>
      <c r="Q22" s="572">
        <f t="shared" si="4"/>
        <v>6</v>
      </c>
      <c r="R22" s="572">
        <f t="shared" si="5"/>
        <v>0</v>
      </c>
    </row>
    <row r="23" spans="1:18">
      <c r="A23" s="532" t="s">
        <v>533</v>
      </c>
      <c r="B23" s="533" t="s">
        <v>204</v>
      </c>
      <c r="C23" s="535"/>
      <c r="D23" s="535"/>
      <c r="E23" s="3">
        <v>1</v>
      </c>
      <c r="F23" s="260">
        <v>6</v>
      </c>
      <c r="G23" s="260">
        <v>1</v>
      </c>
      <c r="H23" s="6"/>
      <c r="I23" s="4"/>
      <c r="J23" s="390">
        <f t="shared" si="0"/>
        <v>6</v>
      </c>
      <c r="K23" s="2"/>
      <c r="L23" s="6"/>
      <c r="M23" s="5"/>
      <c r="N23" s="7" t="str">
        <f t="shared" si="1"/>
        <v/>
      </c>
      <c r="O23" s="18" t="s">
        <v>317</v>
      </c>
      <c r="Q23" s="572">
        <f t="shared" si="4"/>
        <v>6</v>
      </c>
      <c r="R23" s="572">
        <f t="shared" si="5"/>
        <v>0</v>
      </c>
    </row>
    <row r="24" spans="1:18">
      <c r="A24" s="532" t="s">
        <v>533</v>
      </c>
      <c r="B24" s="533" t="s">
        <v>205</v>
      </c>
      <c r="C24" s="535"/>
      <c r="D24" s="535"/>
      <c r="E24" s="3">
        <v>1</v>
      </c>
      <c r="F24" s="260">
        <v>6</v>
      </c>
      <c r="G24" s="260">
        <v>1</v>
      </c>
      <c r="H24" s="6"/>
      <c r="I24" s="4"/>
      <c r="J24" s="390">
        <f t="shared" si="0"/>
        <v>6</v>
      </c>
      <c r="K24" s="2"/>
      <c r="L24" s="6"/>
      <c r="M24" s="5"/>
      <c r="N24" s="7" t="str">
        <f t="shared" si="1"/>
        <v/>
      </c>
      <c r="O24" s="18" t="s">
        <v>317</v>
      </c>
      <c r="Q24" s="572">
        <f t="shared" si="4"/>
        <v>6</v>
      </c>
      <c r="R24" s="572">
        <f t="shared" si="5"/>
        <v>0</v>
      </c>
    </row>
    <row r="25" spans="1:18">
      <c r="A25" s="532" t="s">
        <v>533</v>
      </c>
      <c r="B25" s="533" t="s">
        <v>208</v>
      </c>
      <c r="C25" s="535"/>
      <c r="D25" s="535"/>
      <c r="E25" s="3">
        <v>1</v>
      </c>
      <c r="F25" s="260">
        <v>6</v>
      </c>
      <c r="G25" s="260">
        <v>1</v>
      </c>
      <c r="H25" s="6"/>
      <c r="I25" s="4"/>
      <c r="J25" s="390">
        <f t="shared" si="0"/>
        <v>6</v>
      </c>
      <c r="K25" s="2"/>
      <c r="L25" s="6"/>
      <c r="M25" s="5"/>
      <c r="N25" s="7" t="str">
        <f t="shared" si="1"/>
        <v/>
      </c>
      <c r="O25" s="18" t="s">
        <v>317</v>
      </c>
      <c r="Q25" s="572">
        <f t="shared" si="4"/>
        <v>6</v>
      </c>
      <c r="R25" s="572">
        <f t="shared" si="5"/>
        <v>0</v>
      </c>
    </row>
    <row r="26" spans="1:18">
      <c r="A26" s="532" t="s">
        <v>533</v>
      </c>
      <c r="B26" s="533" t="s">
        <v>210</v>
      </c>
      <c r="C26" s="535"/>
      <c r="D26" s="535"/>
      <c r="E26" s="3">
        <v>1</v>
      </c>
      <c r="F26" s="260">
        <v>6</v>
      </c>
      <c r="G26" s="260">
        <v>1</v>
      </c>
      <c r="H26" s="6"/>
      <c r="I26" s="4"/>
      <c r="J26" s="390">
        <f t="shared" si="0"/>
        <v>6</v>
      </c>
      <c r="K26" s="2"/>
      <c r="L26" s="6"/>
      <c r="M26" s="5"/>
      <c r="N26" s="7" t="str">
        <f t="shared" si="1"/>
        <v/>
      </c>
      <c r="O26" s="18" t="s">
        <v>317</v>
      </c>
      <c r="Q26" s="572">
        <f t="shared" si="4"/>
        <v>6</v>
      </c>
      <c r="R26" s="572">
        <f t="shared" si="5"/>
        <v>0</v>
      </c>
    </row>
    <row r="27" spans="1:18">
      <c r="A27" s="532" t="s">
        <v>533</v>
      </c>
      <c r="B27" s="533" t="s">
        <v>212</v>
      </c>
      <c r="C27" s="535"/>
      <c r="D27" s="535"/>
      <c r="E27" s="3">
        <v>1</v>
      </c>
      <c r="F27" s="260">
        <v>6</v>
      </c>
      <c r="G27" s="260">
        <v>1</v>
      </c>
      <c r="H27" s="6"/>
      <c r="I27" s="4"/>
      <c r="J27" s="390">
        <f t="shared" si="0"/>
        <v>6</v>
      </c>
      <c r="K27" s="2"/>
      <c r="L27" s="6"/>
      <c r="M27" s="5"/>
      <c r="N27" s="7" t="str">
        <f t="shared" si="1"/>
        <v/>
      </c>
      <c r="O27" s="18" t="s">
        <v>317</v>
      </c>
      <c r="Q27" s="572">
        <f t="shared" si="4"/>
        <v>6</v>
      </c>
      <c r="R27" s="572">
        <f t="shared" si="5"/>
        <v>0</v>
      </c>
    </row>
    <row r="28" spans="1:18">
      <c r="A28" s="532" t="s">
        <v>533</v>
      </c>
      <c r="B28" s="533" t="s">
        <v>214</v>
      </c>
      <c r="C28" s="535"/>
      <c r="D28" s="535"/>
      <c r="E28" s="3">
        <v>1</v>
      </c>
      <c r="F28" s="260">
        <v>6</v>
      </c>
      <c r="G28" s="260">
        <v>1</v>
      </c>
      <c r="H28" s="6"/>
      <c r="I28" s="4"/>
      <c r="J28" s="390">
        <f t="shared" si="0"/>
        <v>6</v>
      </c>
      <c r="K28" s="2"/>
      <c r="L28" s="6"/>
      <c r="M28" s="5"/>
      <c r="N28" s="7" t="str">
        <f t="shared" si="1"/>
        <v/>
      </c>
      <c r="O28" s="18" t="s">
        <v>317</v>
      </c>
      <c r="Q28" s="572">
        <f t="shared" si="4"/>
        <v>6</v>
      </c>
      <c r="R28" s="572">
        <f t="shared" si="5"/>
        <v>0</v>
      </c>
    </row>
    <row r="29" spans="1:18">
      <c r="A29" s="532" t="s">
        <v>533</v>
      </c>
      <c r="B29" s="533" t="s">
        <v>216</v>
      </c>
      <c r="C29" s="535"/>
      <c r="D29" s="535"/>
      <c r="E29" s="3">
        <v>1</v>
      </c>
      <c r="F29" s="260">
        <v>6</v>
      </c>
      <c r="G29" s="260">
        <v>1</v>
      </c>
      <c r="H29" s="6"/>
      <c r="I29" s="4"/>
      <c r="J29" s="390">
        <f t="shared" si="0"/>
        <v>6</v>
      </c>
      <c r="K29" s="2"/>
      <c r="L29" s="6"/>
      <c r="M29" s="5"/>
      <c r="N29" s="7" t="str">
        <f t="shared" si="1"/>
        <v/>
      </c>
      <c r="O29" s="18" t="s">
        <v>317</v>
      </c>
      <c r="Q29" s="572">
        <f t="shared" si="4"/>
        <v>6</v>
      </c>
      <c r="R29" s="572">
        <f t="shared" si="5"/>
        <v>0</v>
      </c>
    </row>
    <row r="30" spans="1:18">
      <c r="A30" s="532" t="s">
        <v>533</v>
      </c>
      <c r="B30" s="533" t="s">
        <v>219</v>
      </c>
      <c r="C30" s="535"/>
      <c r="D30" s="535"/>
      <c r="E30" s="3">
        <v>1</v>
      </c>
      <c r="F30" s="260">
        <v>6</v>
      </c>
      <c r="G30" s="260">
        <v>1</v>
      </c>
      <c r="H30" s="6"/>
      <c r="I30" s="4"/>
      <c r="J30" s="390">
        <f t="shared" si="0"/>
        <v>6</v>
      </c>
      <c r="K30" s="2"/>
      <c r="L30" s="6"/>
      <c r="M30" s="5"/>
      <c r="N30" s="7" t="str">
        <f t="shared" si="1"/>
        <v/>
      </c>
      <c r="O30" s="18" t="s">
        <v>317</v>
      </c>
      <c r="Q30" s="572">
        <f t="shared" si="4"/>
        <v>6</v>
      </c>
      <c r="R30" s="572">
        <f t="shared" si="5"/>
        <v>0</v>
      </c>
    </row>
    <row r="31" spans="1:18">
      <c r="A31" s="532" t="s">
        <v>533</v>
      </c>
      <c r="B31" s="533" t="s">
        <v>220</v>
      </c>
      <c r="C31" s="535"/>
      <c r="D31" s="535"/>
      <c r="E31" s="3">
        <v>1</v>
      </c>
      <c r="F31" s="260">
        <v>6</v>
      </c>
      <c r="G31" s="260">
        <v>1</v>
      </c>
      <c r="H31" s="6"/>
      <c r="I31" s="4"/>
      <c r="J31" s="390">
        <f t="shared" si="0"/>
        <v>6</v>
      </c>
      <c r="K31" s="2"/>
      <c r="L31" s="6"/>
      <c r="M31" s="5"/>
      <c r="N31" s="7" t="str">
        <f t="shared" si="1"/>
        <v/>
      </c>
      <c r="O31" s="18" t="s">
        <v>317</v>
      </c>
      <c r="Q31" s="572">
        <f t="shared" si="4"/>
        <v>6</v>
      </c>
      <c r="R31" s="572">
        <f t="shared" si="5"/>
        <v>0</v>
      </c>
    </row>
    <row r="32" spans="1:18">
      <c r="A32" s="532" t="s">
        <v>533</v>
      </c>
      <c r="B32" s="533" t="s">
        <v>223</v>
      </c>
      <c r="C32" s="535"/>
      <c r="D32" s="535"/>
      <c r="E32" s="3">
        <v>1</v>
      </c>
      <c r="F32" s="260">
        <v>6</v>
      </c>
      <c r="G32" s="260">
        <v>1</v>
      </c>
      <c r="H32" s="6"/>
      <c r="I32" s="4"/>
      <c r="J32" s="390">
        <f t="shared" si="0"/>
        <v>6</v>
      </c>
      <c r="K32" s="2"/>
      <c r="L32" s="6"/>
      <c r="M32" s="5"/>
      <c r="N32" s="7" t="str">
        <f t="shared" si="1"/>
        <v/>
      </c>
      <c r="O32" s="18" t="s">
        <v>317</v>
      </c>
      <c r="Q32" s="572">
        <f t="shared" si="4"/>
        <v>6</v>
      </c>
      <c r="R32" s="572">
        <f t="shared" si="5"/>
        <v>0</v>
      </c>
    </row>
    <row r="33" spans="1:18">
      <c r="A33" s="630"/>
      <c r="B33" s="631"/>
      <c r="C33" s="632"/>
      <c r="D33" s="632"/>
      <c r="E33" s="3"/>
      <c r="F33" s="633"/>
      <c r="G33" s="633"/>
      <c r="H33" s="634"/>
      <c r="I33" s="4"/>
      <c r="J33" s="390"/>
      <c r="K33" s="635"/>
      <c r="L33" s="634"/>
      <c r="M33" s="636"/>
      <c r="N33" s="637"/>
      <c r="O33" s="18"/>
      <c r="Q33" s="572">
        <f t="shared" si="4"/>
        <v>0</v>
      </c>
      <c r="R33" s="572">
        <f t="shared" si="5"/>
        <v>0</v>
      </c>
    </row>
    <row r="34" spans="1:18">
      <c r="A34" s="630" t="s">
        <v>289</v>
      </c>
      <c r="B34" s="631" t="s">
        <v>249</v>
      </c>
      <c r="C34" s="632"/>
      <c r="D34" s="632"/>
      <c r="E34" s="3">
        <v>1</v>
      </c>
      <c r="F34" s="633">
        <v>7</v>
      </c>
      <c r="G34" s="633">
        <v>1</v>
      </c>
      <c r="H34" s="634"/>
      <c r="I34" s="4"/>
      <c r="J34" s="390">
        <f t="shared" si="0"/>
        <v>7</v>
      </c>
      <c r="K34" s="635"/>
      <c r="L34" s="634"/>
      <c r="M34" s="636"/>
      <c r="N34" s="637" t="str">
        <f t="shared" si="1"/>
        <v/>
      </c>
      <c r="O34" s="18"/>
      <c r="Q34" s="572">
        <f t="shared" si="4"/>
        <v>7</v>
      </c>
      <c r="R34" s="572">
        <f t="shared" si="5"/>
        <v>0</v>
      </c>
    </row>
    <row r="35" spans="1:18">
      <c r="A35" s="532" t="s">
        <v>289</v>
      </c>
      <c r="B35" s="533" t="s">
        <v>250</v>
      </c>
      <c r="C35" s="535"/>
      <c r="D35" s="535"/>
      <c r="E35" s="3">
        <v>1</v>
      </c>
      <c r="F35" s="260">
        <v>7</v>
      </c>
      <c r="G35" s="260">
        <v>1</v>
      </c>
      <c r="H35" s="6"/>
      <c r="I35" s="4"/>
      <c r="J35" s="390">
        <f t="shared" si="0"/>
        <v>7</v>
      </c>
      <c r="K35" s="2"/>
      <c r="L35" s="6"/>
      <c r="M35" s="5"/>
      <c r="N35" s="7" t="str">
        <f t="shared" si="1"/>
        <v/>
      </c>
      <c r="O35" s="18"/>
      <c r="Q35" s="572">
        <f t="shared" si="4"/>
        <v>7</v>
      </c>
      <c r="R35" s="572">
        <f t="shared" si="5"/>
        <v>0</v>
      </c>
    </row>
    <row r="36" spans="1:18">
      <c r="A36" s="532" t="s">
        <v>289</v>
      </c>
      <c r="B36" s="533" t="s">
        <v>251</v>
      </c>
      <c r="C36" s="535"/>
      <c r="D36" s="535"/>
      <c r="E36" s="3">
        <v>1</v>
      </c>
      <c r="F36" s="260">
        <v>7</v>
      </c>
      <c r="G36" s="260">
        <v>1</v>
      </c>
      <c r="H36" s="6"/>
      <c r="I36" s="4"/>
      <c r="J36" s="390">
        <f t="shared" si="0"/>
        <v>7</v>
      </c>
      <c r="K36" s="2"/>
      <c r="L36" s="6"/>
      <c r="M36" s="5"/>
      <c r="N36" s="7" t="str">
        <f t="shared" si="1"/>
        <v/>
      </c>
      <c r="O36" s="18"/>
      <c r="Q36" s="572">
        <f t="shared" si="4"/>
        <v>7</v>
      </c>
      <c r="R36" s="572">
        <f t="shared" si="5"/>
        <v>0</v>
      </c>
    </row>
    <row r="37" spans="1:18">
      <c r="A37" s="532" t="s">
        <v>289</v>
      </c>
      <c r="B37" s="533" t="s">
        <v>199</v>
      </c>
      <c r="C37" s="535"/>
      <c r="D37" s="535"/>
      <c r="E37" s="3">
        <v>1</v>
      </c>
      <c r="F37" s="260">
        <v>7</v>
      </c>
      <c r="G37" s="260">
        <v>1</v>
      </c>
      <c r="H37" s="6"/>
      <c r="I37" s="4"/>
      <c r="J37" s="390">
        <f t="shared" si="0"/>
        <v>7</v>
      </c>
      <c r="K37" s="2"/>
      <c r="L37" s="6"/>
      <c r="M37" s="5"/>
      <c r="N37" s="7" t="str">
        <f t="shared" si="1"/>
        <v/>
      </c>
      <c r="O37" s="18"/>
      <c r="Q37" s="572">
        <f t="shared" si="4"/>
        <v>7</v>
      </c>
      <c r="R37" s="572">
        <f t="shared" si="5"/>
        <v>0</v>
      </c>
    </row>
    <row r="38" spans="1:18">
      <c r="A38" s="532" t="s">
        <v>289</v>
      </c>
      <c r="B38" s="533" t="s">
        <v>200</v>
      </c>
      <c r="C38" s="535"/>
      <c r="D38" s="535"/>
      <c r="E38" s="3">
        <v>1</v>
      </c>
      <c r="F38" s="260">
        <v>7</v>
      </c>
      <c r="G38" s="260">
        <v>1</v>
      </c>
      <c r="H38" s="6"/>
      <c r="I38" s="4"/>
      <c r="J38" s="390">
        <f t="shared" si="0"/>
        <v>7</v>
      </c>
      <c r="K38" s="2"/>
      <c r="L38" s="6"/>
      <c r="M38" s="5"/>
      <c r="N38" s="7" t="str">
        <f t="shared" si="1"/>
        <v/>
      </c>
      <c r="O38" s="18"/>
      <c r="Q38" s="572">
        <f t="shared" si="4"/>
        <v>7</v>
      </c>
      <c r="R38" s="572">
        <f t="shared" si="5"/>
        <v>0</v>
      </c>
    </row>
    <row r="39" spans="1:18">
      <c r="A39" s="532" t="s">
        <v>289</v>
      </c>
      <c r="B39" s="533" t="s">
        <v>202</v>
      </c>
      <c r="C39" s="535"/>
      <c r="D39" s="535"/>
      <c r="E39" s="3">
        <v>1</v>
      </c>
      <c r="F39" s="260">
        <v>7</v>
      </c>
      <c r="G39" s="260">
        <v>1</v>
      </c>
      <c r="H39" s="6"/>
      <c r="I39" s="4"/>
      <c r="J39" s="390">
        <f t="shared" si="0"/>
        <v>7</v>
      </c>
      <c r="K39" s="2"/>
      <c r="L39" s="6"/>
      <c r="M39" s="5"/>
      <c r="N39" s="7" t="str">
        <f t="shared" si="1"/>
        <v/>
      </c>
      <c r="O39" s="18"/>
      <c r="Q39" s="572">
        <f t="shared" si="4"/>
        <v>7</v>
      </c>
      <c r="R39" s="572">
        <f t="shared" si="5"/>
        <v>0</v>
      </c>
    </row>
    <row r="40" spans="1:18">
      <c r="A40" s="532" t="s">
        <v>289</v>
      </c>
      <c r="B40" s="533" t="s">
        <v>204</v>
      </c>
      <c r="C40" s="535"/>
      <c r="D40" s="535"/>
      <c r="E40" s="3">
        <v>1</v>
      </c>
      <c r="F40" s="260">
        <v>7</v>
      </c>
      <c r="G40" s="260">
        <v>1</v>
      </c>
      <c r="H40" s="6"/>
      <c r="I40" s="4"/>
      <c r="J40" s="390">
        <f t="shared" si="0"/>
        <v>7</v>
      </c>
      <c r="K40" s="2"/>
      <c r="L40" s="6"/>
      <c r="M40" s="5"/>
      <c r="N40" s="7" t="str">
        <f t="shared" si="1"/>
        <v/>
      </c>
      <c r="O40" s="18"/>
      <c r="Q40" s="572">
        <f t="shared" si="4"/>
        <v>7</v>
      </c>
      <c r="R40" s="572">
        <f t="shared" si="5"/>
        <v>0</v>
      </c>
    </row>
    <row r="41" spans="1:18">
      <c r="A41" s="532" t="s">
        <v>289</v>
      </c>
      <c r="B41" s="533" t="s">
        <v>205</v>
      </c>
      <c r="C41" s="535"/>
      <c r="D41" s="535"/>
      <c r="E41" s="3">
        <v>1</v>
      </c>
      <c r="F41" s="260">
        <v>7</v>
      </c>
      <c r="G41" s="260">
        <v>1</v>
      </c>
      <c r="H41" s="6"/>
      <c r="I41" s="4"/>
      <c r="J41" s="390">
        <f t="shared" si="0"/>
        <v>7</v>
      </c>
      <c r="K41" s="2"/>
      <c r="L41" s="6"/>
      <c r="M41" s="5"/>
      <c r="N41" s="7" t="str">
        <f t="shared" si="1"/>
        <v/>
      </c>
      <c r="O41" s="18"/>
      <c r="Q41" s="572">
        <f t="shared" si="4"/>
        <v>7</v>
      </c>
      <c r="R41" s="572">
        <f t="shared" si="5"/>
        <v>0</v>
      </c>
    </row>
    <row r="42" spans="1:18">
      <c r="A42" s="532" t="s">
        <v>289</v>
      </c>
      <c r="B42" s="533" t="s">
        <v>208</v>
      </c>
      <c r="C42" s="535"/>
      <c r="D42" s="535"/>
      <c r="E42" s="3">
        <v>1</v>
      </c>
      <c r="F42" s="260">
        <v>7</v>
      </c>
      <c r="G42" s="260">
        <v>1</v>
      </c>
      <c r="H42" s="6"/>
      <c r="I42" s="4"/>
      <c r="J42" s="390">
        <f t="shared" si="0"/>
        <v>7</v>
      </c>
      <c r="K42" s="2"/>
      <c r="L42" s="6"/>
      <c r="M42" s="5"/>
      <c r="N42" s="7" t="str">
        <f t="shared" si="1"/>
        <v/>
      </c>
      <c r="O42" s="18"/>
      <c r="Q42" s="572">
        <f t="shared" si="4"/>
        <v>7</v>
      </c>
      <c r="R42" s="572">
        <f t="shared" si="5"/>
        <v>0</v>
      </c>
    </row>
    <row r="43" spans="1:18">
      <c r="A43" s="532" t="s">
        <v>289</v>
      </c>
      <c r="B43" s="533" t="s">
        <v>210</v>
      </c>
      <c r="C43" s="535"/>
      <c r="D43" s="535"/>
      <c r="E43" s="3">
        <v>1</v>
      </c>
      <c r="F43" s="260">
        <v>10</v>
      </c>
      <c r="G43" s="260">
        <v>1</v>
      </c>
      <c r="H43" s="6"/>
      <c r="I43" s="4"/>
      <c r="J43" s="390">
        <f t="shared" si="0"/>
        <v>10</v>
      </c>
      <c r="K43" s="2"/>
      <c r="L43" s="6"/>
      <c r="M43" s="5"/>
      <c r="N43" s="7" t="str">
        <f t="shared" si="1"/>
        <v/>
      </c>
      <c r="O43" s="18"/>
      <c r="Q43" s="572">
        <f t="shared" si="4"/>
        <v>10</v>
      </c>
      <c r="R43" s="572">
        <f t="shared" si="5"/>
        <v>0</v>
      </c>
    </row>
    <row r="44" spans="1:18">
      <c r="A44" s="532" t="s">
        <v>289</v>
      </c>
      <c r="B44" s="533" t="s">
        <v>212</v>
      </c>
      <c r="C44" s="535"/>
      <c r="D44" s="535"/>
      <c r="E44" s="3">
        <v>1</v>
      </c>
      <c r="F44" s="260">
        <v>10</v>
      </c>
      <c r="G44" s="260">
        <v>1</v>
      </c>
      <c r="H44" s="6"/>
      <c r="I44" s="4"/>
      <c r="J44" s="390">
        <f t="shared" si="0"/>
        <v>10</v>
      </c>
      <c r="K44" s="2"/>
      <c r="L44" s="6"/>
      <c r="M44" s="5"/>
      <c r="N44" s="7" t="str">
        <f t="shared" si="1"/>
        <v/>
      </c>
      <c r="O44" s="18"/>
      <c r="Q44" s="572">
        <f t="shared" si="4"/>
        <v>10</v>
      </c>
      <c r="R44" s="572">
        <f t="shared" si="5"/>
        <v>0</v>
      </c>
    </row>
    <row r="45" spans="1:18">
      <c r="A45" s="532" t="s">
        <v>289</v>
      </c>
      <c r="B45" s="533" t="s">
        <v>214</v>
      </c>
      <c r="C45" s="535"/>
      <c r="D45" s="535"/>
      <c r="E45" s="3">
        <v>1</v>
      </c>
      <c r="F45" s="260">
        <v>10</v>
      </c>
      <c r="G45" s="260">
        <v>1</v>
      </c>
      <c r="H45" s="6"/>
      <c r="I45" s="4"/>
      <c r="J45" s="390">
        <f t="shared" si="0"/>
        <v>10</v>
      </c>
      <c r="K45" s="2"/>
      <c r="L45" s="6"/>
      <c r="M45" s="5"/>
      <c r="N45" s="7" t="str">
        <f t="shared" si="1"/>
        <v/>
      </c>
      <c r="O45" s="18"/>
      <c r="Q45" s="572">
        <f t="shared" si="4"/>
        <v>10</v>
      </c>
      <c r="R45" s="572">
        <f t="shared" si="5"/>
        <v>0</v>
      </c>
    </row>
    <row r="46" spans="1:18">
      <c r="A46" s="532" t="s">
        <v>289</v>
      </c>
      <c r="B46" s="533" t="s">
        <v>216</v>
      </c>
      <c r="C46" s="535"/>
      <c r="D46" s="535"/>
      <c r="E46" s="3">
        <v>1</v>
      </c>
      <c r="F46" s="260">
        <v>13</v>
      </c>
      <c r="G46" s="260">
        <v>1</v>
      </c>
      <c r="H46" s="6"/>
      <c r="I46" s="4"/>
      <c r="J46" s="390">
        <f t="shared" si="0"/>
        <v>13</v>
      </c>
      <c r="K46" s="2"/>
      <c r="L46" s="6"/>
      <c r="M46" s="5"/>
      <c r="N46" s="7" t="str">
        <f t="shared" si="1"/>
        <v/>
      </c>
      <c r="O46" s="18"/>
      <c r="Q46" s="572">
        <f t="shared" si="4"/>
        <v>13</v>
      </c>
      <c r="R46" s="572">
        <f t="shared" si="5"/>
        <v>0</v>
      </c>
    </row>
    <row r="47" spans="1:18">
      <c r="A47" s="532" t="s">
        <v>289</v>
      </c>
      <c r="B47" s="533" t="s">
        <v>219</v>
      </c>
      <c r="C47" s="535"/>
      <c r="D47" s="535"/>
      <c r="E47" s="3">
        <v>1</v>
      </c>
      <c r="F47" s="260">
        <v>13</v>
      </c>
      <c r="G47" s="260">
        <v>1</v>
      </c>
      <c r="H47" s="6"/>
      <c r="I47" s="4"/>
      <c r="J47" s="390">
        <f t="shared" si="0"/>
        <v>13</v>
      </c>
      <c r="K47" s="2"/>
      <c r="L47" s="6"/>
      <c r="M47" s="5"/>
      <c r="N47" s="7" t="str">
        <f t="shared" si="1"/>
        <v/>
      </c>
      <c r="O47" s="18"/>
      <c r="Q47" s="572">
        <f t="shared" si="4"/>
        <v>13</v>
      </c>
      <c r="R47" s="572">
        <f t="shared" si="5"/>
        <v>0</v>
      </c>
    </row>
    <row r="48" spans="1:18">
      <c r="A48" s="532" t="s">
        <v>289</v>
      </c>
      <c r="B48" s="533" t="s">
        <v>220</v>
      </c>
      <c r="C48" s="535"/>
      <c r="D48" s="535"/>
      <c r="E48" s="3">
        <v>1</v>
      </c>
      <c r="F48" s="260">
        <v>13</v>
      </c>
      <c r="G48" s="260">
        <v>1</v>
      </c>
      <c r="H48" s="6"/>
      <c r="I48" s="4"/>
      <c r="J48" s="390">
        <f t="shared" si="0"/>
        <v>13</v>
      </c>
      <c r="K48" s="2"/>
      <c r="L48" s="6"/>
      <c r="M48" s="5"/>
      <c r="N48" s="7" t="str">
        <f t="shared" si="1"/>
        <v/>
      </c>
      <c r="O48" s="18"/>
      <c r="Q48" s="572">
        <f t="shared" si="4"/>
        <v>13</v>
      </c>
      <c r="R48" s="572">
        <f t="shared" si="5"/>
        <v>0</v>
      </c>
    </row>
    <row r="49" spans="1:18">
      <c r="A49" s="532" t="s">
        <v>289</v>
      </c>
      <c r="B49" s="533" t="s">
        <v>223</v>
      </c>
      <c r="C49" s="535"/>
      <c r="D49" s="535"/>
      <c r="E49" s="3">
        <v>1</v>
      </c>
      <c r="F49" s="260">
        <v>13</v>
      </c>
      <c r="G49" s="260">
        <v>1</v>
      </c>
      <c r="H49" s="6"/>
      <c r="I49" s="4"/>
      <c r="J49" s="390">
        <f t="shared" si="0"/>
        <v>13</v>
      </c>
      <c r="K49" s="2"/>
      <c r="L49" s="6"/>
      <c r="M49" s="5"/>
      <c r="N49" s="7" t="str">
        <f t="shared" si="1"/>
        <v/>
      </c>
      <c r="O49" s="18"/>
      <c r="Q49" s="572">
        <f t="shared" si="4"/>
        <v>13</v>
      </c>
      <c r="R49" s="572">
        <f t="shared" si="5"/>
        <v>0</v>
      </c>
    </row>
    <row r="50" spans="1:18">
      <c r="A50" s="532" t="s">
        <v>289</v>
      </c>
      <c r="B50" s="533" t="s">
        <v>225</v>
      </c>
      <c r="C50" s="535"/>
      <c r="D50" s="535"/>
      <c r="E50" s="3">
        <v>1</v>
      </c>
      <c r="F50" s="260">
        <v>13</v>
      </c>
      <c r="G50" s="260">
        <v>1</v>
      </c>
      <c r="H50" s="6"/>
      <c r="I50" s="4"/>
      <c r="J50" s="390">
        <f t="shared" si="0"/>
        <v>13</v>
      </c>
      <c r="K50" s="2"/>
      <c r="L50" s="6"/>
      <c r="M50" s="5"/>
      <c r="N50" s="7" t="str">
        <f t="shared" si="1"/>
        <v/>
      </c>
      <c r="O50" s="18"/>
      <c r="Q50" s="572">
        <f t="shared" si="4"/>
        <v>13</v>
      </c>
      <c r="R50" s="572">
        <f t="shared" si="5"/>
        <v>0</v>
      </c>
    </row>
    <row r="51" spans="1:18">
      <c r="A51" s="532" t="s">
        <v>289</v>
      </c>
      <c r="B51" s="533" t="s">
        <v>227</v>
      </c>
      <c r="C51" s="535"/>
      <c r="D51" s="535"/>
      <c r="E51" s="3">
        <v>1</v>
      </c>
      <c r="F51" s="260">
        <v>13</v>
      </c>
      <c r="G51" s="260">
        <v>1</v>
      </c>
      <c r="H51" s="6"/>
      <c r="I51" s="4"/>
      <c r="J51" s="390">
        <f t="shared" si="0"/>
        <v>13</v>
      </c>
      <c r="K51" s="2"/>
      <c r="L51" s="6"/>
      <c r="M51" s="5"/>
      <c r="N51" s="7" t="str">
        <f t="shared" si="1"/>
        <v/>
      </c>
      <c r="O51" s="18"/>
      <c r="Q51" s="572">
        <f t="shared" si="4"/>
        <v>13</v>
      </c>
      <c r="R51" s="572">
        <f t="shared" si="5"/>
        <v>0</v>
      </c>
    </row>
    <row r="52" spans="1:18">
      <c r="A52" s="532" t="s">
        <v>289</v>
      </c>
      <c r="B52" s="533" t="s">
        <v>229</v>
      </c>
      <c r="C52" s="535"/>
      <c r="D52" s="535"/>
      <c r="E52" s="3">
        <v>1</v>
      </c>
      <c r="F52" s="260">
        <v>10</v>
      </c>
      <c r="G52" s="260">
        <v>1</v>
      </c>
      <c r="H52" s="6"/>
      <c r="I52" s="4"/>
      <c r="J52" s="390">
        <f t="shared" si="0"/>
        <v>10</v>
      </c>
      <c r="K52" s="2"/>
      <c r="L52" s="6"/>
      <c r="M52" s="5"/>
      <c r="N52" s="7" t="str">
        <f t="shared" si="1"/>
        <v/>
      </c>
      <c r="O52" s="18"/>
      <c r="Q52" s="572">
        <f t="shared" si="4"/>
        <v>10</v>
      </c>
      <c r="R52" s="572">
        <f t="shared" si="5"/>
        <v>0</v>
      </c>
    </row>
    <row r="53" spans="1:18">
      <c r="A53" s="630"/>
      <c r="B53" s="631"/>
      <c r="C53" s="632"/>
      <c r="D53" s="632"/>
      <c r="E53" s="3"/>
      <c r="F53" s="633"/>
      <c r="G53" s="633"/>
      <c r="H53" s="634"/>
      <c r="I53" s="4"/>
      <c r="J53" s="390"/>
      <c r="K53" s="635"/>
      <c r="L53" s="634"/>
      <c r="M53" s="636"/>
      <c r="N53" s="637"/>
      <c r="O53" s="18"/>
      <c r="Q53" s="572">
        <f t="shared" si="4"/>
        <v>0</v>
      </c>
      <c r="R53" s="572">
        <f t="shared" si="5"/>
        <v>0</v>
      </c>
    </row>
    <row r="54" spans="1:18">
      <c r="A54" s="532" t="s">
        <v>288</v>
      </c>
      <c r="B54" s="533" t="s">
        <v>250</v>
      </c>
      <c r="C54" s="535"/>
      <c r="D54" s="535"/>
      <c r="E54" s="3">
        <v>1</v>
      </c>
      <c r="F54" s="260">
        <v>8</v>
      </c>
      <c r="G54" s="260">
        <v>1</v>
      </c>
      <c r="H54" s="6"/>
      <c r="I54" s="4"/>
      <c r="J54" s="390">
        <f t="shared" si="0"/>
        <v>8</v>
      </c>
      <c r="K54" s="2"/>
      <c r="L54" s="6"/>
      <c r="M54" s="5"/>
      <c r="N54" s="7" t="str">
        <f t="shared" si="1"/>
        <v/>
      </c>
      <c r="O54" s="18" t="s">
        <v>317</v>
      </c>
      <c r="Q54" s="572">
        <f t="shared" si="4"/>
        <v>8</v>
      </c>
      <c r="R54" s="572">
        <f t="shared" si="5"/>
        <v>0</v>
      </c>
    </row>
    <row r="55" spans="1:18">
      <c r="A55" s="532" t="s">
        <v>288</v>
      </c>
      <c r="B55" s="533" t="s">
        <v>251</v>
      </c>
      <c r="C55" s="535"/>
      <c r="D55" s="535"/>
      <c r="E55" s="3">
        <v>1</v>
      </c>
      <c r="F55" s="260">
        <v>3</v>
      </c>
      <c r="G55" s="260">
        <v>1</v>
      </c>
      <c r="H55" s="6"/>
      <c r="I55" s="4"/>
      <c r="J55" s="390">
        <f t="shared" si="0"/>
        <v>3</v>
      </c>
      <c r="K55" s="2"/>
      <c r="L55" s="6"/>
      <c r="M55" s="5"/>
      <c r="N55" s="7" t="str">
        <f t="shared" si="1"/>
        <v/>
      </c>
      <c r="O55" s="18" t="s">
        <v>317</v>
      </c>
      <c r="Q55" s="572">
        <f t="shared" si="4"/>
        <v>3</v>
      </c>
      <c r="R55" s="572">
        <f t="shared" si="5"/>
        <v>0</v>
      </c>
    </row>
    <row r="56" spans="1:18">
      <c r="A56" s="532" t="s">
        <v>288</v>
      </c>
      <c r="B56" s="533" t="s">
        <v>199</v>
      </c>
      <c r="C56" s="535"/>
      <c r="D56" s="535"/>
      <c r="E56" s="3">
        <v>1</v>
      </c>
      <c r="F56" s="260">
        <v>3</v>
      </c>
      <c r="G56" s="260">
        <v>1</v>
      </c>
      <c r="H56" s="6"/>
      <c r="I56" s="4"/>
      <c r="J56" s="390">
        <f t="shared" si="0"/>
        <v>3</v>
      </c>
      <c r="K56" s="2"/>
      <c r="L56" s="6"/>
      <c r="M56" s="5"/>
      <c r="N56" s="7" t="str">
        <f t="shared" si="1"/>
        <v/>
      </c>
      <c r="O56" s="18" t="s">
        <v>317</v>
      </c>
      <c r="Q56" s="572">
        <f t="shared" si="4"/>
        <v>3</v>
      </c>
      <c r="R56" s="572">
        <f t="shared" si="5"/>
        <v>0</v>
      </c>
    </row>
    <row r="57" spans="1:18">
      <c r="A57" s="532" t="s">
        <v>288</v>
      </c>
      <c r="B57" s="533" t="s">
        <v>200</v>
      </c>
      <c r="C57" s="535"/>
      <c r="D57" s="535"/>
      <c r="E57" s="3">
        <v>1</v>
      </c>
      <c r="F57" s="260">
        <v>3</v>
      </c>
      <c r="G57" s="260">
        <v>1</v>
      </c>
      <c r="H57" s="6"/>
      <c r="I57" s="4"/>
      <c r="J57" s="390">
        <f t="shared" si="0"/>
        <v>3</v>
      </c>
      <c r="K57" s="2"/>
      <c r="L57" s="6"/>
      <c r="M57" s="5"/>
      <c r="N57" s="7" t="str">
        <f t="shared" si="1"/>
        <v/>
      </c>
      <c r="O57" s="18" t="s">
        <v>317</v>
      </c>
      <c r="Q57" s="572">
        <f t="shared" si="4"/>
        <v>3</v>
      </c>
      <c r="R57" s="572">
        <f t="shared" si="5"/>
        <v>0</v>
      </c>
    </row>
    <row r="58" spans="1:18">
      <c r="A58" s="532" t="s">
        <v>288</v>
      </c>
      <c r="B58" s="533" t="s">
        <v>202</v>
      </c>
      <c r="C58" s="535"/>
      <c r="D58" s="535"/>
      <c r="E58" s="3">
        <v>1</v>
      </c>
      <c r="F58" s="260">
        <v>3</v>
      </c>
      <c r="G58" s="260">
        <v>1</v>
      </c>
      <c r="H58" s="6"/>
      <c r="I58" s="4"/>
      <c r="J58" s="390">
        <f t="shared" si="0"/>
        <v>3</v>
      </c>
      <c r="K58" s="2"/>
      <c r="L58" s="6"/>
      <c r="M58" s="5"/>
      <c r="N58" s="7" t="str">
        <f t="shared" si="1"/>
        <v/>
      </c>
      <c r="O58" s="18" t="s">
        <v>317</v>
      </c>
      <c r="Q58" s="572">
        <f t="shared" si="4"/>
        <v>3</v>
      </c>
      <c r="R58" s="572">
        <f t="shared" si="5"/>
        <v>0</v>
      </c>
    </row>
    <row r="59" spans="1:18">
      <c r="A59" s="532" t="s">
        <v>288</v>
      </c>
      <c r="B59" s="533" t="s">
        <v>204</v>
      </c>
      <c r="C59" s="535"/>
      <c r="D59" s="535"/>
      <c r="E59" s="3">
        <v>1</v>
      </c>
      <c r="F59" s="260">
        <v>3</v>
      </c>
      <c r="G59" s="260">
        <v>1</v>
      </c>
      <c r="H59" s="6"/>
      <c r="I59" s="4"/>
      <c r="J59" s="390">
        <f t="shared" si="0"/>
        <v>3</v>
      </c>
      <c r="K59" s="2"/>
      <c r="L59" s="6"/>
      <c r="M59" s="5"/>
      <c r="N59" s="7" t="str">
        <f t="shared" si="1"/>
        <v/>
      </c>
      <c r="O59" s="18" t="s">
        <v>317</v>
      </c>
      <c r="Q59" s="572">
        <f t="shared" si="4"/>
        <v>3</v>
      </c>
      <c r="R59" s="572">
        <f t="shared" si="5"/>
        <v>0</v>
      </c>
    </row>
    <row r="60" spans="1:18">
      <c r="A60" s="532" t="s">
        <v>288</v>
      </c>
      <c r="B60" s="533" t="s">
        <v>205</v>
      </c>
      <c r="C60" s="535"/>
      <c r="D60" s="535"/>
      <c r="E60" s="3">
        <v>1</v>
      </c>
      <c r="F60" s="260">
        <v>3</v>
      </c>
      <c r="G60" s="260">
        <v>1</v>
      </c>
      <c r="H60" s="6"/>
      <c r="I60" s="4"/>
      <c r="J60" s="390">
        <f t="shared" si="0"/>
        <v>3</v>
      </c>
      <c r="K60" s="2"/>
      <c r="L60" s="6"/>
      <c r="M60" s="5"/>
      <c r="N60" s="7" t="str">
        <f t="shared" si="1"/>
        <v/>
      </c>
      <c r="O60" s="18" t="s">
        <v>317</v>
      </c>
      <c r="Q60" s="572">
        <f t="shared" si="4"/>
        <v>3</v>
      </c>
      <c r="R60" s="572">
        <f t="shared" si="5"/>
        <v>0</v>
      </c>
    </row>
    <row r="61" spans="1:18">
      <c r="A61" s="532" t="s">
        <v>288</v>
      </c>
      <c r="B61" s="533" t="s">
        <v>208</v>
      </c>
      <c r="C61" s="535"/>
      <c r="D61" s="535"/>
      <c r="E61" s="3">
        <v>1</v>
      </c>
      <c r="F61" s="260">
        <v>3</v>
      </c>
      <c r="G61" s="260">
        <v>1</v>
      </c>
      <c r="H61" s="6"/>
      <c r="I61" s="4"/>
      <c r="J61" s="390">
        <f t="shared" si="0"/>
        <v>3</v>
      </c>
      <c r="K61" s="2"/>
      <c r="L61" s="6"/>
      <c r="M61" s="5"/>
      <c r="N61" s="7" t="str">
        <f t="shared" si="1"/>
        <v/>
      </c>
      <c r="O61" s="18" t="s">
        <v>317</v>
      </c>
      <c r="Q61" s="572">
        <f t="shared" si="4"/>
        <v>3</v>
      </c>
      <c r="R61" s="572">
        <f t="shared" si="5"/>
        <v>0</v>
      </c>
    </row>
    <row r="62" spans="1:18">
      <c r="A62" s="532" t="s">
        <v>288</v>
      </c>
      <c r="B62" s="533" t="s">
        <v>210</v>
      </c>
      <c r="C62" s="535"/>
      <c r="D62" s="535"/>
      <c r="E62" s="3">
        <v>1</v>
      </c>
      <c r="F62" s="260">
        <v>5</v>
      </c>
      <c r="G62" s="260">
        <v>1</v>
      </c>
      <c r="H62" s="6"/>
      <c r="I62" s="4"/>
      <c r="J62" s="390">
        <f t="shared" si="0"/>
        <v>5</v>
      </c>
      <c r="K62" s="2"/>
      <c r="L62" s="6"/>
      <c r="M62" s="5"/>
      <c r="N62" s="7" t="str">
        <f t="shared" si="1"/>
        <v/>
      </c>
      <c r="O62" s="18" t="s">
        <v>317</v>
      </c>
      <c r="Q62" s="572">
        <f t="shared" si="4"/>
        <v>5</v>
      </c>
      <c r="R62" s="572">
        <f t="shared" si="5"/>
        <v>0</v>
      </c>
    </row>
    <row r="63" spans="1:18">
      <c r="A63" s="532" t="s">
        <v>288</v>
      </c>
      <c r="B63" s="533" t="s">
        <v>212</v>
      </c>
      <c r="C63" s="535"/>
      <c r="D63" s="535"/>
      <c r="E63" s="3">
        <v>1</v>
      </c>
      <c r="F63" s="260">
        <v>9</v>
      </c>
      <c r="G63" s="260">
        <v>1</v>
      </c>
      <c r="H63" s="6"/>
      <c r="I63" s="4"/>
      <c r="J63" s="390">
        <f t="shared" si="0"/>
        <v>9</v>
      </c>
      <c r="K63" s="2"/>
      <c r="L63" s="6"/>
      <c r="M63" s="5"/>
      <c r="N63" s="7" t="str">
        <f t="shared" si="1"/>
        <v/>
      </c>
      <c r="O63" s="18" t="s">
        <v>317</v>
      </c>
      <c r="Q63" s="572">
        <f t="shared" si="4"/>
        <v>9</v>
      </c>
      <c r="R63" s="572">
        <f t="shared" si="5"/>
        <v>0</v>
      </c>
    </row>
    <row r="64" spans="1:18">
      <c r="A64" s="532" t="s">
        <v>288</v>
      </c>
      <c r="B64" s="533" t="s">
        <v>214</v>
      </c>
      <c r="C64" s="535"/>
      <c r="D64" s="535"/>
      <c r="E64" s="3">
        <v>1</v>
      </c>
      <c r="F64" s="260">
        <v>3</v>
      </c>
      <c r="G64" s="260">
        <v>1</v>
      </c>
      <c r="H64" s="6"/>
      <c r="I64" s="4"/>
      <c r="J64" s="390">
        <f t="shared" si="0"/>
        <v>3</v>
      </c>
      <c r="K64" s="2"/>
      <c r="L64" s="6"/>
      <c r="M64" s="5"/>
      <c r="N64" s="7" t="str">
        <f t="shared" si="1"/>
        <v/>
      </c>
      <c r="O64" s="18" t="s">
        <v>317</v>
      </c>
      <c r="Q64" s="572">
        <f t="shared" si="4"/>
        <v>3</v>
      </c>
      <c r="R64" s="572">
        <f t="shared" si="5"/>
        <v>0</v>
      </c>
    </row>
    <row r="65" spans="1:18">
      <c r="A65" s="532" t="s">
        <v>288</v>
      </c>
      <c r="B65" s="533" t="s">
        <v>216</v>
      </c>
      <c r="C65" s="535"/>
      <c r="D65" s="535"/>
      <c r="E65" s="3">
        <v>1</v>
      </c>
      <c r="F65" s="260">
        <v>7</v>
      </c>
      <c r="G65" s="260">
        <v>1</v>
      </c>
      <c r="H65" s="6"/>
      <c r="I65" s="4"/>
      <c r="J65" s="390">
        <f t="shared" si="0"/>
        <v>7</v>
      </c>
      <c r="K65" s="2"/>
      <c r="L65" s="6"/>
      <c r="M65" s="5"/>
      <c r="N65" s="7" t="str">
        <f t="shared" si="1"/>
        <v/>
      </c>
      <c r="O65" s="18" t="s">
        <v>317</v>
      </c>
      <c r="Q65" s="572">
        <f t="shared" si="4"/>
        <v>7</v>
      </c>
      <c r="R65" s="572">
        <f t="shared" si="5"/>
        <v>0</v>
      </c>
    </row>
    <row r="66" spans="1:18">
      <c r="A66" s="532" t="s">
        <v>288</v>
      </c>
      <c r="B66" s="533" t="s">
        <v>219</v>
      </c>
      <c r="C66" s="535"/>
      <c r="D66" s="535"/>
      <c r="E66" s="3">
        <v>1</v>
      </c>
      <c r="F66" s="260">
        <v>3</v>
      </c>
      <c r="G66" s="260">
        <v>1</v>
      </c>
      <c r="H66" s="6"/>
      <c r="I66" s="4"/>
      <c r="J66" s="390">
        <f t="shared" si="0"/>
        <v>3</v>
      </c>
      <c r="K66" s="2"/>
      <c r="L66" s="6"/>
      <c r="M66" s="5"/>
      <c r="N66" s="7" t="str">
        <f t="shared" si="1"/>
        <v/>
      </c>
      <c r="O66" s="18" t="s">
        <v>317</v>
      </c>
      <c r="Q66" s="572">
        <f t="shared" si="4"/>
        <v>3</v>
      </c>
      <c r="R66" s="572">
        <f t="shared" si="5"/>
        <v>0</v>
      </c>
    </row>
    <row r="67" spans="1:18">
      <c r="A67" s="532" t="s">
        <v>288</v>
      </c>
      <c r="B67" s="533" t="s">
        <v>220</v>
      </c>
      <c r="C67" s="535"/>
      <c r="D67" s="535"/>
      <c r="E67" s="3">
        <v>1</v>
      </c>
      <c r="F67" s="260">
        <v>7</v>
      </c>
      <c r="G67" s="260">
        <v>1</v>
      </c>
      <c r="H67" s="6"/>
      <c r="I67" s="4"/>
      <c r="J67" s="390">
        <f t="shared" si="0"/>
        <v>7</v>
      </c>
      <c r="K67" s="2"/>
      <c r="L67" s="6"/>
      <c r="M67" s="5"/>
      <c r="N67" s="7" t="str">
        <f t="shared" si="1"/>
        <v/>
      </c>
      <c r="O67" s="18" t="s">
        <v>317</v>
      </c>
      <c r="Q67" s="572">
        <f t="shared" si="4"/>
        <v>7</v>
      </c>
      <c r="R67" s="572">
        <f t="shared" si="5"/>
        <v>0</v>
      </c>
    </row>
    <row r="68" spans="1:18">
      <c r="A68" s="532" t="s">
        <v>288</v>
      </c>
      <c r="B68" s="533" t="s">
        <v>223</v>
      </c>
      <c r="C68" s="535"/>
      <c r="D68" s="535"/>
      <c r="E68" s="3">
        <v>1</v>
      </c>
      <c r="F68" s="260">
        <v>3</v>
      </c>
      <c r="G68" s="260">
        <v>1</v>
      </c>
      <c r="H68" s="6"/>
      <c r="I68" s="4"/>
      <c r="J68" s="390">
        <f t="shared" si="0"/>
        <v>3</v>
      </c>
      <c r="K68" s="2"/>
      <c r="L68" s="6"/>
      <c r="M68" s="5"/>
      <c r="N68" s="7" t="str">
        <f t="shared" si="1"/>
        <v/>
      </c>
      <c r="O68" s="18" t="s">
        <v>317</v>
      </c>
      <c r="Q68" s="572">
        <f t="shared" si="4"/>
        <v>3</v>
      </c>
      <c r="R68" s="572">
        <f t="shared" si="5"/>
        <v>0</v>
      </c>
    </row>
    <row r="69" spans="1:18">
      <c r="A69" s="532" t="s">
        <v>288</v>
      </c>
      <c r="B69" s="533" t="s">
        <v>225</v>
      </c>
      <c r="C69" s="535"/>
      <c r="D69" s="535"/>
      <c r="E69" s="3">
        <v>1</v>
      </c>
      <c r="F69" s="260">
        <v>7</v>
      </c>
      <c r="G69" s="260">
        <v>1</v>
      </c>
      <c r="H69" s="6"/>
      <c r="I69" s="4"/>
      <c r="J69" s="390">
        <f t="shared" si="0"/>
        <v>7</v>
      </c>
      <c r="K69" s="2"/>
      <c r="L69" s="6"/>
      <c r="M69" s="5"/>
      <c r="N69" s="7" t="str">
        <f t="shared" si="1"/>
        <v/>
      </c>
      <c r="O69" s="18" t="s">
        <v>317</v>
      </c>
      <c r="Q69" s="572">
        <f t="shared" si="4"/>
        <v>7</v>
      </c>
      <c r="R69" s="572">
        <f t="shared" si="5"/>
        <v>0</v>
      </c>
    </row>
    <row r="70" spans="1:18">
      <c r="A70" s="532" t="s">
        <v>288</v>
      </c>
      <c r="B70" s="533" t="s">
        <v>227</v>
      </c>
      <c r="C70" s="535"/>
      <c r="D70" s="535"/>
      <c r="E70" s="3">
        <v>1</v>
      </c>
      <c r="F70" s="260">
        <v>3</v>
      </c>
      <c r="G70" s="260">
        <v>1</v>
      </c>
      <c r="H70" s="6"/>
      <c r="I70" s="4"/>
      <c r="J70" s="390">
        <f t="shared" ref="J70:J146" si="7">(+F70*G70+H70*I70)*E70</f>
        <v>3</v>
      </c>
      <c r="K70" s="2"/>
      <c r="L70" s="6"/>
      <c r="M70" s="5"/>
      <c r="N70" s="7" t="str">
        <f t="shared" ref="N70:N146" si="8">IF(K70=0,"",L70*M70*E70)</f>
        <v/>
      </c>
      <c r="O70" s="18" t="s">
        <v>317</v>
      </c>
      <c r="Q70" s="572">
        <f t="shared" si="4"/>
        <v>3</v>
      </c>
      <c r="R70" s="572">
        <f t="shared" si="5"/>
        <v>0</v>
      </c>
    </row>
    <row r="71" spans="1:18">
      <c r="A71" s="630"/>
      <c r="B71" s="631"/>
      <c r="C71" s="632"/>
      <c r="D71" s="632"/>
      <c r="E71" s="3"/>
      <c r="F71" s="633"/>
      <c r="G71" s="633"/>
      <c r="H71" s="634"/>
      <c r="I71" s="4"/>
      <c r="J71" s="390"/>
      <c r="K71" s="635"/>
      <c r="L71" s="634"/>
      <c r="M71" s="636"/>
      <c r="N71" s="637"/>
      <c r="O71" s="18"/>
      <c r="Q71" s="572">
        <f t="shared" ref="Q71:Q134" si="9">F71*G71*E71</f>
        <v>0</v>
      </c>
      <c r="R71" s="572">
        <f t="shared" ref="R71:R134" si="10">H71*E71*I71</f>
        <v>0</v>
      </c>
    </row>
    <row r="72" spans="1:18">
      <c r="A72" s="532" t="s">
        <v>574</v>
      </c>
      <c r="B72" s="533" t="s">
        <v>250</v>
      </c>
      <c r="C72" s="535"/>
      <c r="D72" s="535"/>
      <c r="E72" s="3">
        <v>1</v>
      </c>
      <c r="F72" s="260">
        <v>2</v>
      </c>
      <c r="G72" s="260">
        <v>1</v>
      </c>
      <c r="H72" s="6"/>
      <c r="I72" s="4"/>
      <c r="J72" s="390">
        <f t="shared" si="7"/>
        <v>2</v>
      </c>
      <c r="K72" s="2"/>
      <c r="L72" s="6"/>
      <c r="M72" s="5"/>
      <c r="N72" s="7" t="str">
        <f t="shared" si="8"/>
        <v/>
      </c>
      <c r="O72" s="18" t="s">
        <v>317</v>
      </c>
      <c r="Q72" s="572">
        <f t="shared" si="9"/>
        <v>2</v>
      </c>
      <c r="R72" s="572">
        <f t="shared" si="10"/>
        <v>0</v>
      </c>
    </row>
    <row r="73" spans="1:18">
      <c r="A73" s="532" t="s">
        <v>574</v>
      </c>
      <c r="B73" s="533" t="s">
        <v>199</v>
      </c>
      <c r="C73" s="535"/>
      <c r="D73" s="535"/>
      <c r="E73" s="3">
        <v>1</v>
      </c>
      <c r="F73" s="260">
        <v>2</v>
      </c>
      <c r="G73" s="260">
        <v>1</v>
      </c>
      <c r="H73" s="6"/>
      <c r="I73" s="4"/>
      <c r="J73" s="390">
        <f t="shared" si="7"/>
        <v>2</v>
      </c>
      <c r="K73" s="2"/>
      <c r="L73" s="6"/>
      <c r="M73" s="5"/>
      <c r="N73" s="7" t="str">
        <f t="shared" si="8"/>
        <v/>
      </c>
      <c r="O73" s="18" t="s">
        <v>317</v>
      </c>
      <c r="Q73" s="572">
        <f t="shared" si="9"/>
        <v>2</v>
      </c>
      <c r="R73" s="572">
        <f t="shared" si="10"/>
        <v>0</v>
      </c>
    </row>
    <row r="74" spans="1:18">
      <c r="A74" s="532" t="s">
        <v>574</v>
      </c>
      <c r="B74" s="533" t="s">
        <v>202</v>
      </c>
      <c r="C74" s="535"/>
      <c r="D74" s="535"/>
      <c r="E74" s="3">
        <v>1</v>
      </c>
      <c r="F74" s="260">
        <v>2</v>
      </c>
      <c r="G74" s="260">
        <v>1</v>
      </c>
      <c r="H74" s="6"/>
      <c r="I74" s="4"/>
      <c r="J74" s="390">
        <f t="shared" si="7"/>
        <v>2</v>
      </c>
      <c r="K74" s="2"/>
      <c r="L74" s="6"/>
      <c r="M74" s="5"/>
      <c r="N74" s="7" t="str">
        <f t="shared" si="8"/>
        <v/>
      </c>
      <c r="O74" s="18" t="s">
        <v>317</v>
      </c>
      <c r="Q74" s="572">
        <f t="shared" si="9"/>
        <v>2</v>
      </c>
      <c r="R74" s="572">
        <f t="shared" si="10"/>
        <v>0</v>
      </c>
    </row>
    <row r="75" spans="1:18">
      <c r="A75" s="532" t="s">
        <v>574</v>
      </c>
      <c r="B75" s="533" t="s">
        <v>205</v>
      </c>
      <c r="C75" s="535"/>
      <c r="D75" s="535"/>
      <c r="E75" s="3">
        <v>1</v>
      </c>
      <c r="F75" s="260">
        <v>2</v>
      </c>
      <c r="G75" s="260">
        <v>1</v>
      </c>
      <c r="H75" s="6"/>
      <c r="I75" s="4"/>
      <c r="J75" s="390">
        <f t="shared" si="7"/>
        <v>2</v>
      </c>
      <c r="K75" s="2"/>
      <c r="L75" s="6"/>
      <c r="M75" s="5"/>
      <c r="N75" s="7" t="str">
        <f t="shared" si="8"/>
        <v/>
      </c>
      <c r="O75" s="18" t="s">
        <v>317</v>
      </c>
      <c r="Q75" s="572">
        <f t="shared" si="9"/>
        <v>2</v>
      </c>
      <c r="R75" s="572">
        <f t="shared" si="10"/>
        <v>0</v>
      </c>
    </row>
    <row r="76" spans="1:18">
      <c r="A76" s="532" t="s">
        <v>574</v>
      </c>
      <c r="B76" s="533" t="s">
        <v>210</v>
      </c>
      <c r="C76" s="535"/>
      <c r="D76" s="535"/>
      <c r="E76" s="3">
        <v>1</v>
      </c>
      <c r="F76" s="260">
        <v>2</v>
      </c>
      <c r="G76" s="260">
        <v>1</v>
      </c>
      <c r="H76" s="6"/>
      <c r="I76" s="4"/>
      <c r="J76" s="390">
        <f t="shared" si="7"/>
        <v>2</v>
      </c>
      <c r="K76" s="2"/>
      <c r="L76" s="6"/>
      <c r="M76" s="5"/>
      <c r="N76" s="7" t="str">
        <f t="shared" si="8"/>
        <v/>
      </c>
      <c r="O76" s="18" t="s">
        <v>317</v>
      </c>
      <c r="Q76" s="572">
        <f t="shared" si="9"/>
        <v>2</v>
      </c>
      <c r="R76" s="572">
        <f t="shared" si="10"/>
        <v>0</v>
      </c>
    </row>
    <row r="77" spans="1:18">
      <c r="A77" s="532" t="s">
        <v>574</v>
      </c>
      <c r="B77" s="533" t="s">
        <v>214</v>
      </c>
      <c r="C77" s="535"/>
      <c r="D77" s="535"/>
      <c r="E77" s="3">
        <v>1</v>
      </c>
      <c r="F77" s="260">
        <v>2</v>
      </c>
      <c r="G77" s="260">
        <v>1</v>
      </c>
      <c r="H77" s="6"/>
      <c r="I77" s="4"/>
      <c r="J77" s="390">
        <f t="shared" si="7"/>
        <v>2</v>
      </c>
      <c r="K77" s="2"/>
      <c r="L77" s="6"/>
      <c r="M77" s="5"/>
      <c r="N77" s="7" t="str">
        <f t="shared" si="8"/>
        <v/>
      </c>
      <c r="O77" s="18" t="s">
        <v>317</v>
      </c>
      <c r="Q77" s="572">
        <f t="shared" si="9"/>
        <v>2</v>
      </c>
      <c r="R77" s="572">
        <f t="shared" si="10"/>
        <v>0</v>
      </c>
    </row>
    <row r="78" spans="1:18">
      <c r="A78" s="532" t="s">
        <v>574</v>
      </c>
      <c r="B78" s="533" t="s">
        <v>219</v>
      </c>
      <c r="C78" s="535"/>
      <c r="D78" s="535"/>
      <c r="E78" s="3">
        <v>1</v>
      </c>
      <c r="F78" s="260">
        <v>2</v>
      </c>
      <c r="G78" s="260">
        <v>1</v>
      </c>
      <c r="H78" s="6"/>
      <c r="I78" s="4"/>
      <c r="J78" s="390">
        <f t="shared" si="7"/>
        <v>2</v>
      </c>
      <c r="K78" s="2"/>
      <c r="L78" s="6"/>
      <c r="M78" s="5"/>
      <c r="N78" s="7" t="str">
        <f t="shared" si="8"/>
        <v/>
      </c>
      <c r="O78" s="18" t="s">
        <v>317</v>
      </c>
      <c r="Q78" s="572">
        <f t="shared" si="9"/>
        <v>2</v>
      </c>
      <c r="R78" s="572">
        <f t="shared" si="10"/>
        <v>0</v>
      </c>
    </row>
    <row r="79" spans="1:18">
      <c r="A79" s="532" t="s">
        <v>574</v>
      </c>
      <c r="B79" s="533" t="s">
        <v>223</v>
      </c>
      <c r="C79" s="535"/>
      <c r="D79" s="535"/>
      <c r="E79" s="3">
        <v>1</v>
      </c>
      <c r="F79" s="260">
        <v>2</v>
      </c>
      <c r="G79" s="260">
        <v>1</v>
      </c>
      <c r="H79" s="6"/>
      <c r="I79" s="4"/>
      <c r="J79" s="390">
        <f t="shared" si="7"/>
        <v>2</v>
      </c>
      <c r="K79" s="2"/>
      <c r="L79" s="6"/>
      <c r="M79" s="5"/>
      <c r="N79" s="7" t="str">
        <f t="shared" si="8"/>
        <v/>
      </c>
      <c r="O79" s="18" t="s">
        <v>317</v>
      </c>
      <c r="Q79" s="572">
        <f t="shared" si="9"/>
        <v>2</v>
      </c>
      <c r="R79" s="572">
        <f t="shared" si="10"/>
        <v>0</v>
      </c>
    </row>
    <row r="80" spans="1:18">
      <c r="A80" s="532" t="s">
        <v>574</v>
      </c>
      <c r="B80" s="533" t="s">
        <v>227</v>
      </c>
      <c r="C80" s="535"/>
      <c r="D80" s="535"/>
      <c r="E80" s="3">
        <v>1</v>
      </c>
      <c r="F80" s="260">
        <v>2</v>
      </c>
      <c r="G80" s="260">
        <v>1</v>
      </c>
      <c r="H80" s="6"/>
      <c r="I80" s="4"/>
      <c r="J80" s="390">
        <f t="shared" si="7"/>
        <v>2</v>
      </c>
      <c r="K80" s="2"/>
      <c r="L80" s="6"/>
      <c r="M80" s="5"/>
      <c r="N80" s="7" t="str">
        <f t="shared" si="8"/>
        <v/>
      </c>
      <c r="O80" s="18" t="s">
        <v>317</v>
      </c>
      <c r="Q80" s="572">
        <f t="shared" si="9"/>
        <v>2</v>
      </c>
      <c r="R80" s="572">
        <f t="shared" si="10"/>
        <v>0</v>
      </c>
    </row>
    <row r="81" spans="1:18">
      <c r="A81" s="532" t="s">
        <v>574</v>
      </c>
      <c r="B81" s="533" t="s">
        <v>231</v>
      </c>
      <c r="C81" s="535"/>
      <c r="D81" s="535"/>
      <c r="E81" s="3">
        <v>1</v>
      </c>
      <c r="F81" s="260">
        <v>2</v>
      </c>
      <c r="G81" s="260">
        <v>1</v>
      </c>
      <c r="H81" s="6"/>
      <c r="I81" s="4"/>
      <c r="J81" s="390">
        <f t="shared" si="7"/>
        <v>2</v>
      </c>
      <c r="K81" s="2"/>
      <c r="L81" s="6"/>
      <c r="M81" s="5"/>
      <c r="N81" s="7" t="str">
        <f t="shared" si="8"/>
        <v/>
      </c>
      <c r="O81" s="18" t="s">
        <v>317</v>
      </c>
      <c r="Q81" s="572">
        <f t="shared" si="9"/>
        <v>2</v>
      </c>
      <c r="R81" s="572">
        <f t="shared" si="10"/>
        <v>0</v>
      </c>
    </row>
    <row r="82" spans="1:18">
      <c r="A82" s="630" t="s">
        <v>574</v>
      </c>
      <c r="B82" s="631" t="s">
        <v>248</v>
      </c>
      <c r="C82" s="632"/>
      <c r="D82" s="632"/>
      <c r="E82" s="3">
        <v>1</v>
      </c>
      <c r="F82" s="633">
        <v>5</v>
      </c>
      <c r="G82" s="633">
        <v>1</v>
      </c>
      <c r="H82" s="634"/>
      <c r="I82" s="4"/>
      <c r="J82" s="390">
        <f t="shared" si="7"/>
        <v>5</v>
      </c>
      <c r="K82" s="635"/>
      <c r="L82" s="634"/>
      <c r="M82" s="636"/>
      <c r="N82" s="637" t="str">
        <f t="shared" si="8"/>
        <v/>
      </c>
      <c r="O82" s="18" t="s">
        <v>586</v>
      </c>
      <c r="Q82" s="572">
        <f t="shared" si="9"/>
        <v>5</v>
      </c>
      <c r="R82" s="572">
        <f t="shared" si="10"/>
        <v>0</v>
      </c>
    </row>
    <row r="83" spans="1:18">
      <c r="A83" s="630"/>
      <c r="B83" s="631"/>
      <c r="C83" s="632"/>
      <c r="D83" s="632"/>
      <c r="E83" s="3"/>
      <c r="F83" s="633"/>
      <c r="G83" s="633"/>
      <c r="H83" s="634"/>
      <c r="I83" s="4"/>
      <c r="J83" s="390"/>
      <c r="K83" s="635"/>
      <c r="L83" s="634"/>
      <c r="M83" s="636"/>
      <c r="N83" s="637"/>
      <c r="O83" s="18"/>
      <c r="Q83" s="572">
        <f t="shared" si="9"/>
        <v>0</v>
      </c>
      <c r="R83" s="572">
        <f t="shared" si="10"/>
        <v>0</v>
      </c>
    </row>
    <row r="84" spans="1:18">
      <c r="A84" s="532" t="s">
        <v>321</v>
      </c>
      <c r="B84" s="533" t="s">
        <v>74</v>
      </c>
      <c r="C84" s="535"/>
      <c r="D84" s="535"/>
      <c r="E84" s="3">
        <v>1</v>
      </c>
      <c r="F84" s="260">
        <v>6</v>
      </c>
      <c r="G84" s="260">
        <v>1</v>
      </c>
      <c r="H84" s="6"/>
      <c r="I84" s="4"/>
      <c r="J84" s="390">
        <f t="shared" si="7"/>
        <v>6</v>
      </c>
      <c r="K84" s="2"/>
      <c r="L84" s="6"/>
      <c r="M84" s="5"/>
      <c r="N84" s="7" t="str">
        <f t="shared" si="8"/>
        <v/>
      </c>
      <c r="O84" s="18" t="s">
        <v>317</v>
      </c>
      <c r="Q84" s="572">
        <f t="shared" si="9"/>
        <v>6</v>
      </c>
      <c r="R84" s="572">
        <f t="shared" si="10"/>
        <v>0</v>
      </c>
    </row>
    <row r="85" spans="1:18">
      <c r="A85" s="532" t="s">
        <v>321</v>
      </c>
      <c r="B85" s="533" t="s">
        <v>199</v>
      </c>
      <c r="C85" s="535"/>
      <c r="D85" s="535"/>
      <c r="E85" s="3">
        <v>1</v>
      </c>
      <c r="F85" s="260">
        <v>6</v>
      </c>
      <c r="G85" s="260">
        <v>1</v>
      </c>
      <c r="H85" s="6"/>
      <c r="I85" s="4"/>
      <c r="J85" s="390">
        <f t="shared" si="7"/>
        <v>6</v>
      </c>
      <c r="K85" s="2"/>
      <c r="L85" s="6"/>
      <c r="M85" s="5"/>
      <c r="N85" s="7" t="str">
        <f t="shared" si="8"/>
        <v/>
      </c>
      <c r="O85" s="18" t="s">
        <v>317</v>
      </c>
      <c r="Q85" s="572">
        <f t="shared" si="9"/>
        <v>6</v>
      </c>
      <c r="R85" s="572">
        <f t="shared" si="10"/>
        <v>0</v>
      </c>
    </row>
    <row r="86" spans="1:18">
      <c r="A86" s="630" t="s">
        <v>321</v>
      </c>
      <c r="B86" s="631" t="s">
        <v>200</v>
      </c>
      <c r="C86" s="632"/>
      <c r="D86" s="632"/>
      <c r="E86" s="3">
        <v>1</v>
      </c>
      <c r="F86" s="633">
        <v>6</v>
      </c>
      <c r="G86" s="260">
        <v>1</v>
      </c>
      <c r="H86" s="634"/>
      <c r="I86" s="4"/>
      <c r="J86" s="390">
        <f t="shared" si="7"/>
        <v>6</v>
      </c>
      <c r="K86" s="635"/>
      <c r="L86" s="634"/>
      <c r="M86" s="636"/>
      <c r="N86" s="637" t="str">
        <f t="shared" si="8"/>
        <v/>
      </c>
      <c r="O86" s="18" t="s">
        <v>317</v>
      </c>
      <c r="Q86" s="572">
        <f t="shared" si="9"/>
        <v>6</v>
      </c>
      <c r="R86" s="572">
        <f t="shared" si="10"/>
        <v>0</v>
      </c>
    </row>
    <row r="87" spans="1:18">
      <c r="A87" s="630" t="s">
        <v>321</v>
      </c>
      <c r="B87" s="631" t="s">
        <v>202</v>
      </c>
      <c r="C87" s="632"/>
      <c r="D87" s="632"/>
      <c r="E87" s="3">
        <v>1</v>
      </c>
      <c r="F87" s="633">
        <v>6</v>
      </c>
      <c r="G87" s="260">
        <v>1</v>
      </c>
      <c r="H87" s="634"/>
      <c r="I87" s="4"/>
      <c r="J87" s="390">
        <f t="shared" si="7"/>
        <v>6</v>
      </c>
      <c r="K87" s="635"/>
      <c r="L87" s="634"/>
      <c r="M87" s="636"/>
      <c r="N87" s="637" t="str">
        <f t="shared" si="8"/>
        <v/>
      </c>
      <c r="O87" s="18" t="s">
        <v>317</v>
      </c>
      <c r="Q87" s="572">
        <f t="shared" si="9"/>
        <v>6</v>
      </c>
      <c r="R87" s="572">
        <f t="shared" si="10"/>
        <v>0</v>
      </c>
    </row>
    <row r="88" spans="1:18">
      <c r="A88" s="532" t="s">
        <v>321</v>
      </c>
      <c r="B88" s="533" t="s">
        <v>204</v>
      </c>
      <c r="C88" s="535"/>
      <c r="D88" s="535"/>
      <c r="E88" s="3">
        <v>1</v>
      </c>
      <c r="F88" s="260">
        <v>6</v>
      </c>
      <c r="G88" s="260">
        <v>1</v>
      </c>
      <c r="H88" s="6"/>
      <c r="I88" s="4"/>
      <c r="J88" s="390">
        <f t="shared" si="7"/>
        <v>6</v>
      </c>
      <c r="K88" s="2"/>
      <c r="L88" s="6"/>
      <c r="M88" s="5"/>
      <c r="N88" s="7" t="str">
        <f t="shared" si="8"/>
        <v/>
      </c>
      <c r="O88" s="18" t="s">
        <v>317</v>
      </c>
      <c r="Q88" s="572">
        <f t="shared" si="9"/>
        <v>6</v>
      </c>
      <c r="R88" s="572">
        <f t="shared" si="10"/>
        <v>0</v>
      </c>
    </row>
    <row r="89" spans="1:18">
      <c r="A89" s="630" t="s">
        <v>321</v>
      </c>
      <c r="B89" s="631" t="s">
        <v>205</v>
      </c>
      <c r="C89" s="632"/>
      <c r="D89" s="632"/>
      <c r="E89" s="3">
        <v>1</v>
      </c>
      <c r="F89" s="633">
        <v>6</v>
      </c>
      <c r="G89" s="260">
        <v>1</v>
      </c>
      <c r="H89" s="634"/>
      <c r="I89" s="4"/>
      <c r="J89" s="390">
        <f t="shared" si="7"/>
        <v>6</v>
      </c>
      <c r="K89" s="635"/>
      <c r="L89" s="634"/>
      <c r="M89" s="636"/>
      <c r="N89" s="637" t="str">
        <f t="shared" si="8"/>
        <v/>
      </c>
      <c r="O89" s="18" t="s">
        <v>317</v>
      </c>
      <c r="Q89" s="572">
        <f t="shared" si="9"/>
        <v>6</v>
      </c>
      <c r="R89" s="572">
        <f t="shared" si="10"/>
        <v>0</v>
      </c>
    </row>
    <row r="90" spans="1:18">
      <c r="A90" s="630" t="s">
        <v>321</v>
      </c>
      <c r="B90" s="631" t="s">
        <v>208</v>
      </c>
      <c r="C90" s="632"/>
      <c r="D90" s="632"/>
      <c r="E90" s="3">
        <v>1</v>
      </c>
      <c r="F90" s="633">
        <v>6</v>
      </c>
      <c r="G90" s="260">
        <v>1</v>
      </c>
      <c r="H90" s="634"/>
      <c r="I90" s="4"/>
      <c r="J90" s="390">
        <f t="shared" si="7"/>
        <v>6</v>
      </c>
      <c r="K90" s="635"/>
      <c r="L90" s="634"/>
      <c r="M90" s="636"/>
      <c r="N90" s="637" t="str">
        <f t="shared" si="8"/>
        <v/>
      </c>
      <c r="O90" s="18" t="s">
        <v>317</v>
      </c>
      <c r="Q90" s="572">
        <f t="shared" si="9"/>
        <v>6</v>
      </c>
      <c r="R90" s="572">
        <f t="shared" si="10"/>
        <v>0</v>
      </c>
    </row>
    <row r="91" spans="1:18">
      <c r="A91" s="532" t="s">
        <v>321</v>
      </c>
      <c r="B91" s="533" t="s">
        <v>210</v>
      </c>
      <c r="C91" s="535"/>
      <c r="D91" s="535"/>
      <c r="E91" s="3">
        <v>1</v>
      </c>
      <c r="F91" s="260">
        <v>6</v>
      </c>
      <c r="G91" s="260">
        <v>1</v>
      </c>
      <c r="H91" s="6"/>
      <c r="I91" s="4"/>
      <c r="J91" s="390">
        <f t="shared" si="7"/>
        <v>6</v>
      </c>
      <c r="K91" s="2"/>
      <c r="L91" s="6"/>
      <c r="M91" s="5"/>
      <c r="N91" s="7" t="str">
        <f t="shared" si="8"/>
        <v/>
      </c>
      <c r="O91" s="18" t="s">
        <v>317</v>
      </c>
      <c r="Q91" s="572">
        <f t="shared" si="9"/>
        <v>6</v>
      </c>
      <c r="R91" s="572">
        <f t="shared" si="10"/>
        <v>0</v>
      </c>
    </row>
    <row r="92" spans="1:18">
      <c r="A92" s="630" t="s">
        <v>321</v>
      </c>
      <c r="B92" s="631" t="s">
        <v>212</v>
      </c>
      <c r="C92" s="632"/>
      <c r="D92" s="632"/>
      <c r="E92" s="3">
        <v>1</v>
      </c>
      <c r="F92" s="633">
        <v>8</v>
      </c>
      <c r="G92" s="260">
        <v>1</v>
      </c>
      <c r="H92" s="634"/>
      <c r="I92" s="4"/>
      <c r="J92" s="390">
        <f t="shared" si="7"/>
        <v>8</v>
      </c>
      <c r="K92" s="635"/>
      <c r="L92" s="634"/>
      <c r="M92" s="636"/>
      <c r="N92" s="637" t="str">
        <f t="shared" si="8"/>
        <v/>
      </c>
      <c r="O92" s="18" t="s">
        <v>317</v>
      </c>
      <c r="Q92" s="572">
        <f t="shared" si="9"/>
        <v>8</v>
      </c>
      <c r="R92" s="572">
        <f t="shared" si="10"/>
        <v>0</v>
      </c>
    </row>
    <row r="93" spans="1:18">
      <c r="A93" s="630" t="s">
        <v>321</v>
      </c>
      <c r="B93" s="631" t="s">
        <v>214</v>
      </c>
      <c r="C93" s="632"/>
      <c r="D93" s="632"/>
      <c r="E93" s="3">
        <v>1</v>
      </c>
      <c r="F93" s="633">
        <v>8</v>
      </c>
      <c r="G93" s="260">
        <v>1</v>
      </c>
      <c r="H93" s="634"/>
      <c r="I93" s="4"/>
      <c r="J93" s="390">
        <f t="shared" si="7"/>
        <v>8</v>
      </c>
      <c r="K93" s="635"/>
      <c r="L93" s="634"/>
      <c r="M93" s="636"/>
      <c r="N93" s="637" t="str">
        <f t="shared" si="8"/>
        <v/>
      </c>
      <c r="O93" s="18" t="s">
        <v>317</v>
      </c>
      <c r="Q93" s="572">
        <f t="shared" si="9"/>
        <v>8</v>
      </c>
      <c r="R93" s="572">
        <f t="shared" si="10"/>
        <v>0</v>
      </c>
    </row>
    <row r="94" spans="1:18">
      <c r="A94" s="532" t="s">
        <v>321</v>
      </c>
      <c r="B94" s="533" t="s">
        <v>216</v>
      </c>
      <c r="C94" s="535"/>
      <c r="D94" s="535"/>
      <c r="E94" s="3">
        <v>1</v>
      </c>
      <c r="F94" s="260">
        <v>8</v>
      </c>
      <c r="G94" s="260">
        <v>1</v>
      </c>
      <c r="H94" s="6"/>
      <c r="I94" s="4"/>
      <c r="J94" s="390">
        <f t="shared" si="7"/>
        <v>8</v>
      </c>
      <c r="K94" s="2"/>
      <c r="L94" s="6"/>
      <c r="M94" s="5"/>
      <c r="N94" s="7" t="str">
        <f t="shared" si="8"/>
        <v/>
      </c>
      <c r="O94" s="18" t="s">
        <v>317</v>
      </c>
      <c r="Q94" s="572">
        <f t="shared" si="9"/>
        <v>8</v>
      </c>
      <c r="R94" s="572">
        <f t="shared" si="10"/>
        <v>0</v>
      </c>
    </row>
    <row r="95" spans="1:18">
      <c r="A95" s="630" t="s">
        <v>321</v>
      </c>
      <c r="B95" s="631" t="s">
        <v>219</v>
      </c>
      <c r="C95" s="632"/>
      <c r="D95" s="632"/>
      <c r="E95" s="3">
        <v>1</v>
      </c>
      <c r="F95" s="633">
        <v>8</v>
      </c>
      <c r="G95" s="260">
        <v>1</v>
      </c>
      <c r="H95" s="634"/>
      <c r="I95" s="4"/>
      <c r="J95" s="390">
        <f t="shared" si="7"/>
        <v>8</v>
      </c>
      <c r="K95" s="635"/>
      <c r="L95" s="634"/>
      <c r="M95" s="636"/>
      <c r="N95" s="637" t="str">
        <f t="shared" si="8"/>
        <v/>
      </c>
      <c r="O95" s="18" t="s">
        <v>317</v>
      </c>
      <c r="Q95" s="572">
        <f t="shared" si="9"/>
        <v>8</v>
      </c>
      <c r="R95" s="572">
        <f t="shared" si="10"/>
        <v>0</v>
      </c>
    </row>
    <row r="96" spans="1:18">
      <c r="A96" s="630" t="s">
        <v>321</v>
      </c>
      <c r="B96" s="631" t="s">
        <v>220</v>
      </c>
      <c r="C96" s="632"/>
      <c r="D96" s="632"/>
      <c r="E96" s="3">
        <v>1</v>
      </c>
      <c r="F96" s="633">
        <v>8</v>
      </c>
      <c r="G96" s="260">
        <v>1</v>
      </c>
      <c r="H96" s="634"/>
      <c r="I96" s="4"/>
      <c r="J96" s="390">
        <f t="shared" si="7"/>
        <v>8</v>
      </c>
      <c r="K96" s="635"/>
      <c r="L96" s="634"/>
      <c r="M96" s="636"/>
      <c r="N96" s="637" t="str">
        <f t="shared" si="8"/>
        <v/>
      </c>
      <c r="O96" s="18" t="s">
        <v>317</v>
      </c>
      <c r="Q96" s="572">
        <f t="shared" si="9"/>
        <v>8</v>
      </c>
      <c r="R96" s="572">
        <f t="shared" si="10"/>
        <v>0</v>
      </c>
    </row>
    <row r="97" spans="1:18">
      <c r="A97" s="532" t="s">
        <v>321</v>
      </c>
      <c r="B97" s="533" t="s">
        <v>223</v>
      </c>
      <c r="C97" s="535"/>
      <c r="D97" s="535"/>
      <c r="E97" s="3">
        <v>1</v>
      </c>
      <c r="F97" s="260">
        <v>8</v>
      </c>
      <c r="G97" s="260">
        <v>1</v>
      </c>
      <c r="H97" s="6"/>
      <c r="I97" s="4"/>
      <c r="J97" s="390">
        <f t="shared" si="7"/>
        <v>8</v>
      </c>
      <c r="K97" s="2"/>
      <c r="L97" s="6"/>
      <c r="M97" s="5"/>
      <c r="N97" s="7" t="str">
        <f t="shared" si="8"/>
        <v/>
      </c>
      <c r="O97" s="18" t="s">
        <v>317</v>
      </c>
      <c r="Q97" s="572">
        <f t="shared" si="9"/>
        <v>8</v>
      </c>
      <c r="R97" s="572">
        <f t="shared" si="10"/>
        <v>0</v>
      </c>
    </row>
    <row r="98" spans="1:18">
      <c r="A98" s="630" t="s">
        <v>321</v>
      </c>
      <c r="B98" s="631" t="s">
        <v>225</v>
      </c>
      <c r="C98" s="632"/>
      <c r="D98" s="632"/>
      <c r="E98" s="3">
        <v>1</v>
      </c>
      <c r="F98" s="633">
        <v>8</v>
      </c>
      <c r="G98" s="260">
        <v>1</v>
      </c>
      <c r="H98" s="634"/>
      <c r="I98" s="4"/>
      <c r="J98" s="390">
        <f t="shared" si="7"/>
        <v>8</v>
      </c>
      <c r="K98" s="635"/>
      <c r="L98" s="634"/>
      <c r="M98" s="636"/>
      <c r="N98" s="637" t="str">
        <f t="shared" si="8"/>
        <v/>
      </c>
      <c r="O98" s="18" t="s">
        <v>317</v>
      </c>
      <c r="Q98" s="572">
        <f t="shared" si="9"/>
        <v>8</v>
      </c>
      <c r="R98" s="572">
        <f t="shared" si="10"/>
        <v>0</v>
      </c>
    </row>
    <row r="99" spans="1:18">
      <c r="A99" s="630" t="s">
        <v>321</v>
      </c>
      <c r="B99" s="631" t="s">
        <v>227</v>
      </c>
      <c r="C99" s="632"/>
      <c r="D99" s="632"/>
      <c r="E99" s="3">
        <v>1</v>
      </c>
      <c r="F99" s="633">
        <v>8</v>
      </c>
      <c r="G99" s="260">
        <v>1</v>
      </c>
      <c r="H99" s="634"/>
      <c r="I99" s="4"/>
      <c r="J99" s="390">
        <f t="shared" si="7"/>
        <v>8</v>
      </c>
      <c r="K99" s="635"/>
      <c r="L99" s="634"/>
      <c r="M99" s="636"/>
      <c r="N99" s="637" t="str">
        <f t="shared" si="8"/>
        <v/>
      </c>
      <c r="O99" s="18" t="s">
        <v>317</v>
      </c>
      <c r="Q99" s="572">
        <f t="shared" si="9"/>
        <v>8</v>
      </c>
      <c r="R99" s="572">
        <f t="shared" si="10"/>
        <v>0</v>
      </c>
    </row>
    <row r="100" spans="1:18">
      <c r="A100" s="537" t="s">
        <v>321</v>
      </c>
      <c r="B100" s="538" t="s">
        <v>229</v>
      </c>
      <c r="C100" s="535"/>
      <c r="D100" s="535"/>
      <c r="E100" s="3">
        <v>1</v>
      </c>
      <c r="F100" s="260">
        <v>6</v>
      </c>
      <c r="G100" s="260">
        <v>1</v>
      </c>
      <c r="H100" s="6"/>
      <c r="I100" s="4"/>
      <c r="J100" s="390">
        <f t="shared" si="7"/>
        <v>6</v>
      </c>
      <c r="K100" s="2"/>
      <c r="L100" s="6"/>
      <c r="M100" s="5"/>
      <c r="N100" s="7" t="str">
        <f t="shared" si="8"/>
        <v/>
      </c>
      <c r="O100" s="18" t="s">
        <v>317</v>
      </c>
      <c r="Q100" s="572">
        <f t="shared" si="9"/>
        <v>6</v>
      </c>
      <c r="R100" s="572">
        <f t="shared" si="10"/>
        <v>0</v>
      </c>
    </row>
    <row r="101" spans="1:18">
      <c r="A101" s="640"/>
      <c r="B101" s="641"/>
      <c r="C101" s="632"/>
      <c r="D101" s="632"/>
      <c r="E101" s="3"/>
      <c r="F101" s="633"/>
      <c r="G101" s="633"/>
      <c r="H101" s="634"/>
      <c r="I101" s="4"/>
      <c r="J101" s="390"/>
      <c r="K101" s="635"/>
      <c r="L101" s="634"/>
      <c r="M101" s="636"/>
      <c r="N101" s="637"/>
      <c r="O101" s="18"/>
      <c r="Q101" s="572">
        <f t="shared" si="9"/>
        <v>0</v>
      </c>
      <c r="R101" s="572">
        <f t="shared" si="10"/>
        <v>0</v>
      </c>
    </row>
    <row r="102" spans="1:18">
      <c r="A102" s="532" t="s">
        <v>285</v>
      </c>
      <c r="B102" s="533" t="s">
        <v>74</v>
      </c>
      <c r="C102" s="535"/>
      <c r="D102" s="535"/>
      <c r="E102" s="3">
        <v>1</v>
      </c>
      <c r="F102" s="260">
        <v>1</v>
      </c>
      <c r="G102" s="260">
        <v>1</v>
      </c>
      <c r="H102" s="6"/>
      <c r="I102" s="4"/>
      <c r="J102" s="390">
        <f t="shared" si="7"/>
        <v>1</v>
      </c>
      <c r="K102" s="2"/>
      <c r="L102" s="6"/>
      <c r="M102" s="5"/>
      <c r="N102" s="7" t="str">
        <f t="shared" si="8"/>
        <v/>
      </c>
      <c r="O102" s="18" t="s">
        <v>317</v>
      </c>
      <c r="Q102" s="572">
        <f t="shared" si="9"/>
        <v>1</v>
      </c>
      <c r="R102" s="572">
        <f t="shared" si="10"/>
        <v>0</v>
      </c>
    </row>
    <row r="103" spans="1:18">
      <c r="A103" s="532" t="s">
        <v>285</v>
      </c>
      <c r="B103" s="533" t="s">
        <v>250</v>
      </c>
      <c r="C103" s="535"/>
      <c r="D103" s="535"/>
      <c r="E103" s="3">
        <v>1</v>
      </c>
      <c r="F103" s="260">
        <v>1</v>
      </c>
      <c r="G103" s="260">
        <v>1</v>
      </c>
      <c r="H103" s="6"/>
      <c r="I103" s="4"/>
      <c r="J103" s="390">
        <f t="shared" si="7"/>
        <v>1</v>
      </c>
      <c r="K103" s="2"/>
      <c r="L103" s="6"/>
      <c r="M103" s="5"/>
      <c r="N103" s="7" t="str">
        <f t="shared" si="8"/>
        <v/>
      </c>
      <c r="O103" s="18" t="s">
        <v>317</v>
      </c>
      <c r="Q103" s="572">
        <f t="shared" si="9"/>
        <v>1</v>
      </c>
      <c r="R103" s="572">
        <f t="shared" si="10"/>
        <v>0</v>
      </c>
    </row>
    <row r="104" spans="1:18">
      <c r="A104" s="532" t="s">
        <v>285</v>
      </c>
      <c r="B104" s="533" t="s">
        <v>520</v>
      </c>
      <c r="C104" s="535"/>
      <c r="D104" s="535"/>
      <c r="E104" s="3">
        <v>1</v>
      </c>
      <c r="F104" s="260">
        <v>1</v>
      </c>
      <c r="G104" s="260">
        <v>1</v>
      </c>
      <c r="H104" s="6"/>
      <c r="I104" s="4"/>
      <c r="J104" s="390">
        <f t="shared" si="7"/>
        <v>1</v>
      </c>
      <c r="K104" s="2"/>
      <c r="L104" s="6"/>
      <c r="M104" s="5"/>
      <c r="N104" s="7" t="str">
        <f t="shared" si="8"/>
        <v/>
      </c>
      <c r="O104" s="18" t="s">
        <v>317</v>
      </c>
      <c r="Q104" s="572">
        <f t="shared" si="9"/>
        <v>1</v>
      </c>
      <c r="R104" s="572">
        <f t="shared" si="10"/>
        <v>0</v>
      </c>
    </row>
    <row r="105" spans="1:18">
      <c r="A105" s="532" t="s">
        <v>285</v>
      </c>
      <c r="B105" s="533" t="s">
        <v>199</v>
      </c>
      <c r="C105" s="535"/>
      <c r="D105" s="535"/>
      <c r="E105" s="3">
        <v>1</v>
      </c>
      <c r="F105" s="260">
        <v>1</v>
      </c>
      <c r="G105" s="260">
        <v>1</v>
      </c>
      <c r="H105" s="6"/>
      <c r="I105" s="4"/>
      <c r="J105" s="390">
        <f t="shared" si="7"/>
        <v>1</v>
      </c>
      <c r="K105" s="2"/>
      <c r="L105" s="6"/>
      <c r="M105" s="5"/>
      <c r="N105" s="7" t="str">
        <f t="shared" si="8"/>
        <v/>
      </c>
      <c r="O105" s="18" t="s">
        <v>317</v>
      </c>
      <c r="Q105" s="572">
        <f t="shared" si="9"/>
        <v>1</v>
      </c>
      <c r="R105" s="572">
        <f t="shared" si="10"/>
        <v>0</v>
      </c>
    </row>
    <row r="106" spans="1:18">
      <c r="A106" s="532" t="s">
        <v>285</v>
      </c>
      <c r="B106" s="533" t="s">
        <v>200</v>
      </c>
      <c r="C106" s="535"/>
      <c r="D106" s="535"/>
      <c r="E106" s="3">
        <v>1</v>
      </c>
      <c r="F106" s="260">
        <v>1</v>
      </c>
      <c r="G106" s="260">
        <v>1</v>
      </c>
      <c r="H106" s="6"/>
      <c r="I106" s="4"/>
      <c r="J106" s="390">
        <f t="shared" si="7"/>
        <v>1</v>
      </c>
      <c r="K106" s="2"/>
      <c r="L106" s="6"/>
      <c r="M106" s="5"/>
      <c r="N106" s="7" t="str">
        <f t="shared" si="8"/>
        <v/>
      </c>
      <c r="O106" s="18" t="s">
        <v>317</v>
      </c>
      <c r="Q106" s="572">
        <f t="shared" si="9"/>
        <v>1</v>
      </c>
      <c r="R106" s="572">
        <f t="shared" si="10"/>
        <v>0</v>
      </c>
    </row>
    <row r="107" spans="1:18">
      <c r="A107" s="532" t="s">
        <v>285</v>
      </c>
      <c r="B107" s="533" t="s">
        <v>202</v>
      </c>
      <c r="C107" s="535"/>
      <c r="D107" s="535"/>
      <c r="E107" s="3">
        <v>1</v>
      </c>
      <c r="F107" s="260">
        <v>1</v>
      </c>
      <c r="G107" s="260">
        <v>1</v>
      </c>
      <c r="H107" s="6"/>
      <c r="I107" s="4"/>
      <c r="J107" s="390">
        <f t="shared" si="7"/>
        <v>1</v>
      </c>
      <c r="K107" s="2"/>
      <c r="L107" s="6"/>
      <c r="M107" s="5"/>
      <c r="N107" s="7" t="str">
        <f t="shared" si="8"/>
        <v/>
      </c>
      <c r="O107" s="18" t="s">
        <v>317</v>
      </c>
      <c r="Q107" s="572">
        <f t="shared" si="9"/>
        <v>1</v>
      </c>
      <c r="R107" s="572">
        <f t="shared" si="10"/>
        <v>0</v>
      </c>
    </row>
    <row r="108" spans="1:18">
      <c r="A108" s="532" t="s">
        <v>285</v>
      </c>
      <c r="B108" s="533" t="s">
        <v>204</v>
      </c>
      <c r="C108" s="535"/>
      <c r="D108" s="535"/>
      <c r="E108" s="3">
        <v>1</v>
      </c>
      <c r="F108" s="260">
        <v>1</v>
      </c>
      <c r="G108" s="260">
        <v>1</v>
      </c>
      <c r="H108" s="6"/>
      <c r="I108" s="4"/>
      <c r="J108" s="390">
        <f t="shared" si="7"/>
        <v>1</v>
      </c>
      <c r="K108" s="2"/>
      <c r="L108" s="6"/>
      <c r="M108" s="5"/>
      <c r="N108" s="7" t="str">
        <f t="shared" si="8"/>
        <v/>
      </c>
      <c r="O108" s="18" t="s">
        <v>317</v>
      </c>
      <c r="Q108" s="572">
        <f t="shared" si="9"/>
        <v>1</v>
      </c>
      <c r="R108" s="572">
        <f t="shared" si="10"/>
        <v>0</v>
      </c>
    </row>
    <row r="109" spans="1:18">
      <c r="A109" s="532" t="s">
        <v>285</v>
      </c>
      <c r="B109" s="533" t="s">
        <v>205</v>
      </c>
      <c r="C109" s="535"/>
      <c r="D109" s="535"/>
      <c r="E109" s="3">
        <v>1</v>
      </c>
      <c r="F109" s="260">
        <v>1</v>
      </c>
      <c r="G109" s="260">
        <v>1</v>
      </c>
      <c r="H109" s="6"/>
      <c r="I109" s="4"/>
      <c r="J109" s="390">
        <f t="shared" si="7"/>
        <v>1</v>
      </c>
      <c r="K109" s="2"/>
      <c r="L109" s="6"/>
      <c r="M109" s="5"/>
      <c r="N109" s="7" t="str">
        <f t="shared" si="8"/>
        <v/>
      </c>
      <c r="O109" s="18" t="s">
        <v>317</v>
      </c>
      <c r="Q109" s="572">
        <f t="shared" si="9"/>
        <v>1</v>
      </c>
      <c r="R109" s="572">
        <f t="shared" si="10"/>
        <v>0</v>
      </c>
    </row>
    <row r="110" spans="1:18">
      <c r="A110" s="532" t="s">
        <v>285</v>
      </c>
      <c r="B110" s="533" t="s">
        <v>208</v>
      </c>
      <c r="C110" s="535"/>
      <c r="D110" s="535"/>
      <c r="E110" s="3">
        <v>1</v>
      </c>
      <c r="F110" s="260">
        <v>1</v>
      </c>
      <c r="G110" s="260">
        <v>1</v>
      </c>
      <c r="H110" s="6"/>
      <c r="I110" s="4"/>
      <c r="J110" s="390">
        <f t="shared" si="7"/>
        <v>1</v>
      </c>
      <c r="K110" s="2"/>
      <c r="L110" s="6"/>
      <c r="M110" s="5"/>
      <c r="N110" s="7" t="str">
        <f t="shared" si="8"/>
        <v/>
      </c>
      <c r="O110" s="18" t="s">
        <v>317</v>
      </c>
      <c r="Q110" s="572">
        <f t="shared" si="9"/>
        <v>1</v>
      </c>
      <c r="R110" s="572">
        <f t="shared" si="10"/>
        <v>0</v>
      </c>
    </row>
    <row r="111" spans="1:18">
      <c r="A111" s="532" t="s">
        <v>285</v>
      </c>
      <c r="B111" s="533" t="s">
        <v>210</v>
      </c>
      <c r="C111" s="535"/>
      <c r="D111" s="535"/>
      <c r="E111" s="3">
        <v>1</v>
      </c>
      <c r="F111" s="260">
        <v>2</v>
      </c>
      <c r="G111" s="260">
        <v>1</v>
      </c>
      <c r="H111" s="6"/>
      <c r="I111" s="4"/>
      <c r="J111" s="390">
        <f t="shared" si="7"/>
        <v>2</v>
      </c>
      <c r="K111" s="2"/>
      <c r="L111" s="6"/>
      <c r="M111" s="5"/>
      <c r="N111" s="7" t="str">
        <f t="shared" si="8"/>
        <v/>
      </c>
      <c r="O111" s="18" t="s">
        <v>317</v>
      </c>
      <c r="Q111" s="572">
        <f t="shared" si="9"/>
        <v>2</v>
      </c>
      <c r="R111" s="572">
        <f t="shared" si="10"/>
        <v>0</v>
      </c>
    </row>
    <row r="112" spans="1:18">
      <c r="A112" s="532" t="s">
        <v>285</v>
      </c>
      <c r="B112" s="533" t="s">
        <v>212</v>
      </c>
      <c r="C112" s="535"/>
      <c r="D112" s="535"/>
      <c r="E112" s="3">
        <v>1</v>
      </c>
      <c r="F112" s="260">
        <v>2</v>
      </c>
      <c r="G112" s="260">
        <v>1</v>
      </c>
      <c r="H112" s="6"/>
      <c r="I112" s="4"/>
      <c r="J112" s="390">
        <f t="shared" si="7"/>
        <v>2</v>
      </c>
      <c r="K112" s="2"/>
      <c r="L112" s="6"/>
      <c r="M112" s="5"/>
      <c r="N112" s="7" t="str">
        <f t="shared" si="8"/>
        <v/>
      </c>
      <c r="O112" s="18" t="s">
        <v>317</v>
      </c>
      <c r="Q112" s="572">
        <f t="shared" si="9"/>
        <v>2</v>
      </c>
      <c r="R112" s="572">
        <f t="shared" si="10"/>
        <v>0</v>
      </c>
    </row>
    <row r="113" spans="1:18">
      <c r="A113" s="532" t="s">
        <v>285</v>
      </c>
      <c r="B113" s="533" t="s">
        <v>214</v>
      </c>
      <c r="C113" s="535"/>
      <c r="D113" s="535"/>
      <c r="E113" s="3">
        <v>1</v>
      </c>
      <c r="F113" s="260">
        <v>2</v>
      </c>
      <c r="G113" s="260">
        <v>1</v>
      </c>
      <c r="H113" s="6"/>
      <c r="I113" s="4"/>
      <c r="J113" s="390">
        <f t="shared" si="7"/>
        <v>2</v>
      </c>
      <c r="K113" s="2"/>
      <c r="L113" s="6"/>
      <c r="M113" s="5"/>
      <c r="N113" s="7" t="str">
        <f t="shared" si="8"/>
        <v/>
      </c>
      <c r="O113" s="18" t="s">
        <v>317</v>
      </c>
      <c r="Q113" s="572">
        <f t="shared" si="9"/>
        <v>2</v>
      </c>
      <c r="R113" s="572">
        <f t="shared" si="10"/>
        <v>0</v>
      </c>
    </row>
    <row r="114" spans="1:18">
      <c r="A114" s="532" t="s">
        <v>285</v>
      </c>
      <c r="B114" s="533" t="s">
        <v>216</v>
      </c>
      <c r="C114" s="535"/>
      <c r="D114" s="535"/>
      <c r="E114" s="3">
        <v>1</v>
      </c>
      <c r="F114" s="260">
        <v>2</v>
      </c>
      <c r="G114" s="260">
        <v>1</v>
      </c>
      <c r="H114" s="6"/>
      <c r="I114" s="4"/>
      <c r="J114" s="390">
        <f t="shared" si="7"/>
        <v>2</v>
      </c>
      <c r="K114" s="2"/>
      <c r="L114" s="6"/>
      <c r="M114" s="5"/>
      <c r="N114" s="7" t="str">
        <f t="shared" si="8"/>
        <v/>
      </c>
      <c r="O114" s="18" t="s">
        <v>317</v>
      </c>
      <c r="Q114" s="572">
        <f t="shared" si="9"/>
        <v>2</v>
      </c>
      <c r="R114" s="572">
        <f t="shared" si="10"/>
        <v>0</v>
      </c>
    </row>
    <row r="115" spans="1:18">
      <c r="A115" s="532" t="s">
        <v>285</v>
      </c>
      <c r="B115" s="533" t="s">
        <v>219</v>
      </c>
      <c r="C115" s="535"/>
      <c r="D115" s="535"/>
      <c r="E115" s="3">
        <v>1</v>
      </c>
      <c r="F115" s="260">
        <v>2</v>
      </c>
      <c r="G115" s="260">
        <v>1</v>
      </c>
      <c r="H115" s="6"/>
      <c r="I115" s="4"/>
      <c r="J115" s="390">
        <f t="shared" si="7"/>
        <v>2</v>
      </c>
      <c r="K115" s="2"/>
      <c r="L115" s="6"/>
      <c r="M115" s="5"/>
      <c r="N115" s="7" t="str">
        <f t="shared" si="8"/>
        <v/>
      </c>
      <c r="O115" s="18" t="s">
        <v>317</v>
      </c>
      <c r="Q115" s="572">
        <f t="shared" si="9"/>
        <v>2</v>
      </c>
      <c r="R115" s="572">
        <f t="shared" si="10"/>
        <v>0</v>
      </c>
    </row>
    <row r="116" spans="1:18">
      <c r="A116" s="532" t="s">
        <v>285</v>
      </c>
      <c r="B116" s="533" t="s">
        <v>220</v>
      </c>
      <c r="C116" s="535"/>
      <c r="D116" s="535"/>
      <c r="E116" s="3">
        <v>1</v>
      </c>
      <c r="F116" s="260">
        <v>2</v>
      </c>
      <c r="G116" s="260">
        <v>1</v>
      </c>
      <c r="H116" s="6"/>
      <c r="I116" s="4"/>
      <c r="J116" s="390">
        <f t="shared" si="7"/>
        <v>2</v>
      </c>
      <c r="K116" s="2"/>
      <c r="L116" s="6"/>
      <c r="M116" s="5"/>
      <c r="N116" s="7" t="str">
        <f t="shared" si="8"/>
        <v/>
      </c>
      <c r="O116" s="18" t="s">
        <v>317</v>
      </c>
      <c r="Q116" s="572">
        <f t="shared" si="9"/>
        <v>2</v>
      </c>
      <c r="R116" s="572">
        <f t="shared" si="10"/>
        <v>0</v>
      </c>
    </row>
    <row r="117" spans="1:18">
      <c r="A117" s="532" t="s">
        <v>285</v>
      </c>
      <c r="B117" s="533" t="s">
        <v>223</v>
      </c>
      <c r="C117" s="535"/>
      <c r="D117" s="535"/>
      <c r="E117" s="3">
        <v>1</v>
      </c>
      <c r="F117" s="260">
        <v>2</v>
      </c>
      <c r="G117" s="260">
        <v>1</v>
      </c>
      <c r="H117" s="6"/>
      <c r="I117" s="4"/>
      <c r="J117" s="390">
        <f t="shared" si="7"/>
        <v>2</v>
      </c>
      <c r="K117" s="2"/>
      <c r="L117" s="6"/>
      <c r="M117" s="5"/>
      <c r="N117" s="7" t="str">
        <f t="shared" si="8"/>
        <v/>
      </c>
      <c r="O117" s="18" t="s">
        <v>317</v>
      </c>
      <c r="Q117" s="572">
        <f t="shared" si="9"/>
        <v>2</v>
      </c>
      <c r="R117" s="572">
        <f t="shared" si="10"/>
        <v>0</v>
      </c>
    </row>
    <row r="118" spans="1:18">
      <c r="A118" s="630"/>
      <c r="B118" s="631"/>
      <c r="C118" s="632"/>
      <c r="D118" s="632"/>
      <c r="E118" s="3"/>
      <c r="F118" s="633"/>
      <c r="G118" s="633"/>
      <c r="H118" s="634"/>
      <c r="I118" s="4"/>
      <c r="J118" s="390"/>
      <c r="K118" s="635"/>
      <c r="L118" s="634"/>
      <c r="M118" s="636"/>
      <c r="N118" s="637"/>
      <c r="O118" s="18"/>
      <c r="Q118" s="572">
        <f t="shared" si="9"/>
        <v>0</v>
      </c>
      <c r="R118" s="572">
        <f t="shared" si="10"/>
        <v>0</v>
      </c>
    </row>
    <row r="119" spans="1:18">
      <c r="A119" s="532" t="s">
        <v>290</v>
      </c>
      <c r="B119" s="533" t="s">
        <v>210</v>
      </c>
      <c r="C119" s="535"/>
      <c r="D119" s="535"/>
      <c r="E119" s="3">
        <v>1</v>
      </c>
      <c r="F119" s="260">
        <v>20</v>
      </c>
      <c r="G119" s="260">
        <v>1</v>
      </c>
      <c r="H119" s="6"/>
      <c r="I119" s="4"/>
      <c r="J119" s="390">
        <f t="shared" si="7"/>
        <v>20</v>
      </c>
      <c r="K119" s="2"/>
      <c r="L119" s="6"/>
      <c r="M119" s="5"/>
      <c r="N119" s="7" t="str">
        <f t="shared" si="8"/>
        <v/>
      </c>
      <c r="O119" s="18" t="s">
        <v>317</v>
      </c>
      <c r="Q119" s="572">
        <f t="shared" si="9"/>
        <v>20</v>
      </c>
      <c r="R119" s="572">
        <f t="shared" si="10"/>
        <v>0</v>
      </c>
    </row>
    <row r="120" spans="1:18">
      <c r="A120" s="532" t="s">
        <v>290</v>
      </c>
      <c r="B120" s="533" t="s">
        <v>212</v>
      </c>
      <c r="C120" s="535"/>
      <c r="D120" s="535"/>
      <c r="E120" s="3">
        <v>1</v>
      </c>
      <c r="F120" s="260">
        <v>20</v>
      </c>
      <c r="G120" s="260">
        <v>1</v>
      </c>
      <c r="H120" s="6"/>
      <c r="I120" s="4"/>
      <c r="J120" s="390">
        <f t="shared" si="7"/>
        <v>20</v>
      </c>
      <c r="K120" s="2"/>
      <c r="L120" s="6"/>
      <c r="M120" s="5"/>
      <c r="N120" s="7" t="str">
        <f t="shared" si="8"/>
        <v/>
      </c>
      <c r="O120" s="18" t="s">
        <v>317</v>
      </c>
      <c r="Q120" s="572">
        <f t="shared" si="9"/>
        <v>20</v>
      </c>
      <c r="R120" s="572">
        <f t="shared" si="10"/>
        <v>0</v>
      </c>
    </row>
    <row r="121" spans="1:18">
      <c r="A121" s="532" t="s">
        <v>290</v>
      </c>
      <c r="B121" s="533" t="s">
        <v>214</v>
      </c>
      <c r="C121" s="535"/>
      <c r="D121" s="535"/>
      <c r="E121" s="3">
        <v>1</v>
      </c>
      <c r="F121" s="260">
        <v>30</v>
      </c>
      <c r="G121" s="260">
        <v>1</v>
      </c>
      <c r="H121" s="6"/>
      <c r="I121" s="4"/>
      <c r="J121" s="390">
        <f t="shared" si="7"/>
        <v>30</v>
      </c>
      <c r="K121" s="2"/>
      <c r="L121" s="6"/>
      <c r="M121" s="5"/>
      <c r="N121" s="7" t="str">
        <f t="shared" si="8"/>
        <v/>
      </c>
      <c r="O121" s="18" t="s">
        <v>317</v>
      </c>
      <c r="Q121" s="572">
        <f t="shared" si="9"/>
        <v>30</v>
      </c>
      <c r="R121" s="572">
        <f t="shared" si="10"/>
        <v>0</v>
      </c>
    </row>
    <row r="122" spans="1:18">
      <c r="A122" s="532" t="s">
        <v>290</v>
      </c>
      <c r="B122" s="533" t="s">
        <v>216</v>
      </c>
      <c r="C122" s="535"/>
      <c r="D122" s="535"/>
      <c r="E122" s="3">
        <v>1</v>
      </c>
      <c r="F122" s="260">
        <v>30</v>
      </c>
      <c r="G122" s="260">
        <v>1</v>
      </c>
      <c r="H122" s="6"/>
      <c r="I122" s="4"/>
      <c r="J122" s="390">
        <f t="shared" si="7"/>
        <v>30</v>
      </c>
      <c r="K122" s="2"/>
      <c r="L122" s="6"/>
      <c r="M122" s="5"/>
      <c r="N122" s="7" t="str">
        <f t="shared" si="8"/>
        <v/>
      </c>
      <c r="O122" s="18" t="s">
        <v>317</v>
      </c>
      <c r="Q122" s="572">
        <f t="shared" si="9"/>
        <v>30</v>
      </c>
      <c r="R122" s="572">
        <f t="shared" si="10"/>
        <v>0</v>
      </c>
    </row>
    <row r="123" spans="1:18">
      <c r="A123" s="532" t="s">
        <v>290</v>
      </c>
      <c r="B123" s="533" t="s">
        <v>219</v>
      </c>
      <c r="C123" s="535"/>
      <c r="D123" s="535"/>
      <c r="E123" s="3">
        <v>1</v>
      </c>
      <c r="F123" s="260">
        <v>30</v>
      </c>
      <c r="G123" s="260">
        <v>1</v>
      </c>
      <c r="H123" s="6"/>
      <c r="I123" s="4"/>
      <c r="J123" s="390">
        <f t="shared" si="7"/>
        <v>30</v>
      </c>
      <c r="K123" s="2"/>
      <c r="L123" s="6"/>
      <c r="M123" s="5"/>
      <c r="N123" s="7" t="str">
        <f t="shared" si="8"/>
        <v/>
      </c>
      <c r="O123" s="18" t="s">
        <v>317</v>
      </c>
      <c r="Q123" s="572">
        <f t="shared" si="9"/>
        <v>30</v>
      </c>
      <c r="R123" s="572">
        <f t="shared" si="10"/>
        <v>0</v>
      </c>
    </row>
    <row r="124" spans="1:18">
      <c r="A124" s="532" t="s">
        <v>290</v>
      </c>
      <c r="B124" s="533" t="s">
        <v>220</v>
      </c>
      <c r="C124" s="535"/>
      <c r="D124" s="535"/>
      <c r="E124" s="3">
        <v>1</v>
      </c>
      <c r="F124" s="260">
        <v>30</v>
      </c>
      <c r="G124" s="260">
        <v>1</v>
      </c>
      <c r="H124" s="6"/>
      <c r="I124" s="4"/>
      <c r="J124" s="390">
        <f t="shared" si="7"/>
        <v>30</v>
      </c>
      <c r="K124" s="2"/>
      <c r="L124" s="6"/>
      <c r="M124" s="5"/>
      <c r="N124" s="7" t="str">
        <f t="shared" si="8"/>
        <v/>
      </c>
      <c r="O124" s="18" t="s">
        <v>317</v>
      </c>
      <c r="Q124" s="572">
        <f t="shared" si="9"/>
        <v>30</v>
      </c>
      <c r="R124" s="572">
        <f t="shared" si="10"/>
        <v>0</v>
      </c>
    </row>
    <row r="125" spans="1:18">
      <c r="A125" s="532" t="s">
        <v>290</v>
      </c>
      <c r="B125" s="533" t="s">
        <v>223</v>
      </c>
      <c r="C125" s="535"/>
      <c r="D125" s="535"/>
      <c r="E125" s="3">
        <v>1</v>
      </c>
      <c r="F125" s="260">
        <v>30</v>
      </c>
      <c r="G125" s="260">
        <v>1</v>
      </c>
      <c r="H125" s="6"/>
      <c r="I125" s="4"/>
      <c r="J125" s="390">
        <f t="shared" si="7"/>
        <v>30</v>
      </c>
      <c r="K125" s="2"/>
      <c r="L125" s="6"/>
      <c r="M125" s="5"/>
      <c r="N125" s="7" t="str">
        <f t="shared" si="8"/>
        <v/>
      </c>
      <c r="O125" s="18" t="s">
        <v>317</v>
      </c>
      <c r="Q125" s="572">
        <f t="shared" si="9"/>
        <v>30</v>
      </c>
      <c r="R125" s="572">
        <f t="shared" si="10"/>
        <v>0</v>
      </c>
    </row>
    <row r="126" spans="1:18">
      <c r="A126" s="532" t="s">
        <v>290</v>
      </c>
      <c r="B126" s="533" t="s">
        <v>225</v>
      </c>
      <c r="C126" s="535"/>
      <c r="D126" s="535"/>
      <c r="E126" s="3">
        <v>1</v>
      </c>
      <c r="F126" s="260">
        <v>30</v>
      </c>
      <c r="G126" s="260">
        <v>1</v>
      </c>
      <c r="H126" s="6"/>
      <c r="I126" s="4"/>
      <c r="J126" s="390">
        <f t="shared" si="7"/>
        <v>30</v>
      </c>
      <c r="K126" s="2"/>
      <c r="L126" s="6"/>
      <c r="M126" s="5"/>
      <c r="N126" s="7" t="str">
        <f t="shared" si="8"/>
        <v/>
      </c>
      <c r="O126" s="18" t="s">
        <v>317</v>
      </c>
      <c r="Q126" s="572">
        <f t="shared" si="9"/>
        <v>30</v>
      </c>
      <c r="R126" s="572">
        <f t="shared" si="10"/>
        <v>0</v>
      </c>
    </row>
    <row r="127" spans="1:18">
      <c r="A127" s="532" t="s">
        <v>290</v>
      </c>
      <c r="B127" s="533" t="s">
        <v>227</v>
      </c>
      <c r="C127" s="535"/>
      <c r="D127" s="535"/>
      <c r="E127" s="3">
        <v>1</v>
      </c>
      <c r="F127" s="260">
        <v>35</v>
      </c>
      <c r="G127" s="260">
        <v>1</v>
      </c>
      <c r="H127" s="6"/>
      <c r="I127" s="4"/>
      <c r="J127" s="390">
        <f t="shared" si="7"/>
        <v>35</v>
      </c>
      <c r="K127" s="2"/>
      <c r="L127" s="6"/>
      <c r="M127" s="5"/>
      <c r="N127" s="7" t="str">
        <f t="shared" si="8"/>
        <v/>
      </c>
      <c r="O127" s="18" t="s">
        <v>317</v>
      </c>
      <c r="Q127" s="572">
        <f t="shared" si="9"/>
        <v>35</v>
      </c>
      <c r="R127" s="572">
        <f t="shared" si="10"/>
        <v>0</v>
      </c>
    </row>
    <row r="128" spans="1:18">
      <c r="A128" s="532" t="s">
        <v>290</v>
      </c>
      <c r="B128" s="533" t="s">
        <v>229</v>
      </c>
      <c r="C128" s="535"/>
      <c r="D128" s="535"/>
      <c r="E128" s="3">
        <v>1</v>
      </c>
      <c r="F128" s="260">
        <v>40</v>
      </c>
      <c r="G128" s="260">
        <v>1</v>
      </c>
      <c r="H128" s="6"/>
      <c r="I128" s="4"/>
      <c r="J128" s="390">
        <f t="shared" si="7"/>
        <v>40</v>
      </c>
      <c r="K128" s="2"/>
      <c r="L128" s="6"/>
      <c r="M128" s="5"/>
      <c r="N128" s="7" t="str">
        <f t="shared" si="8"/>
        <v/>
      </c>
      <c r="O128" s="18" t="s">
        <v>317</v>
      </c>
      <c r="Q128" s="572">
        <f t="shared" si="9"/>
        <v>40</v>
      </c>
      <c r="R128" s="572">
        <f t="shared" si="10"/>
        <v>0</v>
      </c>
    </row>
    <row r="129" spans="1:18">
      <c r="A129" s="532" t="s">
        <v>290</v>
      </c>
      <c r="B129" s="533" t="s">
        <v>231</v>
      </c>
      <c r="C129" s="535"/>
      <c r="D129" s="535"/>
      <c r="E129" s="3">
        <v>1</v>
      </c>
      <c r="F129" s="260">
        <v>40</v>
      </c>
      <c r="G129" s="260">
        <v>1</v>
      </c>
      <c r="H129" s="6"/>
      <c r="I129" s="4"/>
      <c r="J129" s="390">
        <f t="shared" si="7"/>
        <v>40</v>
      </c>
      <c r="K129" s="2"/>
      <c r="L129" s="6"/>
      <c r="M129" s="5"/>
      <c r="N129" s="7" t="str">
        <f t="shared" si="8"/>
        <v/>
      </c>
      <c r="O129" s="18" t="s">
        <v>317</v>
      </c>
      <c r="Q129" s="572">
        <f t="shared" si="9"/>
        <v>40</v>
      </c>
      <c r="R129" s="572">
        <f t="shared" si="10"/>
        <v>0</v>
      </c>
    </row>
    <row r="130" spans="1:18">
      <c r="A130" s="532" t="s">
        <v>290</v>
      </c>
      <c r="B130" s="533" t="s">
        <v>233</v>
      </c>
      <c r="C130" s="535"/>
      <c r="D130" s="535"/>
      <c r="E130" s="3">
        <v>1</v>
      </c>
      <c r="F130" s="260">
        <v>40</v>
      </c>
      <c r="G130" s="260">
        <v>1</v>
      </c>
      <c r="H130" s="6"/>
      <c r="I130" s="4"/>
      <c r="J130" s="390">
        <f t="shared" si="7"/>
        <v>40</v>
      </c>
      <c r="K130" s="2"/>
      <c r="L130" s="6"/>
      <c r="M130" s="5"/>
      <c r="N130" s="7" t="str">
        <f t="shared" si="8"/>
        <v/>
      </c>
      <c r="O130" s="18" t="s">
        <v>317</v>
      </c>
      <c r="Q130" s="572">
        <f t="shared" si="9"/>
        <v>40</v>
      </c>
      <c r="R130" s="572">
        <f t="shared" si="10"/>
        <v>0</v>
      </c>
    </row>
    <row r="131" spans="1:18">
      <c r="A131" s="630"/>
      <c r="B131" s="631"/>
      <c r="C131" s="632"/>
      <c r="D131" s="632"/>
      <c r="E131" s="3"/>
      <c r="F131" s="633"/>
      <c r="G131" s="633"/>
      <c r="H131" s="634"/>
      <c r="I131" s="4"/>
      <c r="J131" s="390"/>
      <c r="K131" s="635"/>
      <c r="L131" s="634"/>
      <c r="M131" s="636"/>
      <c r="N131" s="637"/>
      <c r="O131" s="18"/>
      <c r="Q131" s="572">
        <f t="shared" si="9"/>
        <v>0</v>
      </c>
      <c r="R131" s="572">
        <f t="shared" si="10"/>
        <v>0</v>
      </c>
    </row>
    <row r="132" spans="1:18">
      <c r="A132" s="532" t="s">
        <v>314</v>
      </c>
      <c r="B132" s="533" t="s">
        <v>210</v>
      </c>
      <c r="C132" s="535"/>
      <c r="D132" s="535"/>
      <c r="E132" s="3">
        <v>1</v>
      </c>
      <c r="F132" s="260">
        <v>20</v>
      </c>
      <c r="G132" s="260">
        <v>1</v>
      </c>
      <c r="H132" s="6"/>
      <c r="I132" s="4"/>
      <c r="J132" s="390">
        <f t="shared" si="7"/>
        <v>20</v>
      </c>
      <c r="K132" s="2"/>
      <c r="L132" s="6"/>
      <c r="M132" s="5"/>
      <c r="N132" s="7" t="str">
        <f t="shared" si="8"/>
        <v/>
      </c>
      <c r="O132" s="18" t="s">
        <v>317</v>
      </c>
      <c r="Q132" s="572">
        <f t="shared" si="9"/>
        <v>20</v>
      </c>
      <c r="R132" s="572">
        <f t="shared" si="10"/>
        <v>0</v>
      </c>
    </row>
    <row r="133" spans="1:18">
      <c r="A133" s="532" t="s">
        <v>314</v>
      </c>
      <c r="B133" s="533" t="s">
        <v>212</v>
      </c>
      <c r="C133" s="535"/>
      <c r="D133" s="535"/>
      <c r="E133" s="3">
        <v>1</v>
      </c>
      <c r="F133" s="260">
        <v>20</v>
      </c>
      <c r="G133" s="260">
        <v>1</v>
      </c>
      <c r="H133" s="6"/>
      <c r="I133" s="4"/>
      <c r="J133" s="390">
        <f t="shared" si="7"/>
        <v>20</v>
      </c>
      <c r="K133" s="2"/>
      <c r="L133" s="6"/>
      <c r="M133" s="5"/>
      <c r="N133" s="7" t="str">
        <f t="shared" si="8"/>
        <v/>
      </c>
      <c r="O133" s="18" t="s">
        <v>317</v>
      </c>
      <c r="Q133" s="572">
        <f t="shared" si="9"/>
        <v>20</v>
      </c>
      <c r="R133" s="572">
        <f t="shared" si="10"/>
        <v>0</v>
      </c>
    </row>
    <row r="134" spans="1:18">
      <c r="A134" s="532" t="s">
        <v>314</v>
      </c>
      <c r="B134" s="533" t="s">
        <v>214</v>
      </c>
      <c r="C134" s="535"/>
      <c r="D134" s="535"/>
      <c r="E134" s="3">
        <v>1</v>
      </c>
      <c r="F134" s="260">
        <v>30</v>
      </c>
      <c r="G134" s="260">
        <v>1</v>
      </c>
      <c r="H134" s="6"/>
      <c r="I134" s="4"/>
      <c r="J134" s="390">
        <f t="shared" si="7"/>
        <v>30</v>
      </c>
      <c r="K134" s="2"/>
      <c r="L134" s="6"/>
      <c r="M134" s="5"/>
      <c r="N134" s="7" t="str">
        <f t="shared" si="8"/>
        <v/>
      </c>
      <c r="O134" s="18" t="s">
        <v>317</v>
      </c>
      <c r="Q134" s="572">
        <f t="shared" si="9"/>
        <v>30</v>
      </c>
      <c r="R134" s="572">
        <f t="shared" si="10"/>
        <v>0</v>
      </c>
    </row>
    <row r="135" spans="1:18">
      <c r="A135" s="532" t="s">
        <v>314</v>
      </c>
      <c r="B135" s="533" t="s">
        <v>216</v>
      </c>
      <c r="C135" s="535"/>
      <c r="D135" s="535"/>
      <c r="E135" s="3">
        <v>1</v>
      </c>
      <c r="F135" s="260">
        <v>30</v>
      </c>
      <c r="G135" s="260">
        <v>1</v>
      </c>
      <c r="H135" s="6"/>
      <c r="I135" s="4"/>
      <c r="J135" s="390">
        <f t="shared" si="7"/>
        <v>30</v>
      </c>
      <c r="K135" s="2"/>
      <c r="L135" s="6"/>
      <c r="M135" s="5"/>
      <c r="N135" s="7" t="str">
        <f t="shared" si="8"/>
        <v/>
      </c>
      <c r="O135" s="18" t="s">
        <v>317</v>
      </c>
      <c r="Q135" s="572">
        <f t="shared" ref="Q135:Q155" si="11">F135*G135*E135</f>
        <v>30</v>
      </c>
      <c r="R135" s="572">
        <f t="shared" ref="R135:R155" si="12">H135*E135*I135</f>
        <v>0</v>
      </c>
    </row>
    <row r="136" spans="1:18">
      <c r="A136" s="532" t="s">
        <v>314</v>
      </c>
      <c r="B136" s="533" t="s">
        <v>219</v>
      </c>
      <c r="C136" s="535"/>
      <c r="D136" s="535"/>
      <c r="E136" s="3">
        <v>1</v>
      </c>
      <c r="F136" s="260">
        <v>30</v>
      </c>
      <c r="G136" s="260">
        <v>1</v>
      </c>
      <c r="H136" s="6"/>
      <c r="I136" s="4"/>
      <c r="J136" s="390">
        <f t="shared" si="7"/>
        <v>30</v>
      </c>
      <c r="K136" s="2"/>
      <c r="L136" s="6"/>
      <c r="M136" s="5"/>
      <c r="N136" s="7" t="str">
        <f t="shared" si="8"/>
        <v/>
      </c>
      <c r="O136" s="18" t="s">
        <v>317</v>
      </c>
      <c r="Q136" s="572">
        <f t="shared" si="11"/>
        <v>30</v>
      </c>
      <c r="R136" s="572">
        <f t="shared" si="12"/>
        <v>0</v>
      </c>
    </row>
    <row r="137" spans="1:18">
      <c r="A137" s="532" t="s">
        <v>314</v>
      </c>
      <c r="B137" s="533" t="s">
        <v>220</v>
      </c>
      <c r="C137" s="535"/>
      <c r="D137" s="535"/>
      <c r="E137" s="3">
        <v>1</v>
      </c>
      <c r="F137" s="260">
        <v>30</v>
      </c>
      <c r="G137" s="260">
        <v>1</v>
      </c>
      <c r="H137" s="6"/>
      <c r="I137" s="4"/>
      <c r="J137" s="390">
        <f t="shared" si="7"/>
        <v>30</v>
      </c>
      <c r="K137" s="2"/>
      <c r="L137" s="6"/>
      <c r="M137" s="5"/>
      <c r="N137" s="7" t="str">
        <f t="shared" si="8"/>
        <v/>
      </c>
      <c r="O137" s="18" t="s">
        <v>317</v>
      </c>
      <c r="Q137" s="572">
        <f t="shared" si="11"/>
        <v>30</v>
      </c>
      <c r="R137" s="572">
        <f t="shared" si="12"/>
        <v>0</v>
      </c>
    </row>
    <row r="138" spans="1:18">
      <c r="A138" s="532" t="s">
        <v>314</v>
      </c>
      <c r="B138" s="533" t="s">
        <v>223</v>
      </c>
      <c r="C138" s="535"/>
      <c r="D138" s="535"/>
      <c r="E138" s="3">
        <v>1</v>
      </c>
      <c r="F138" s="260">
        <v>30</v>
      </c>
      <c r="G138" s="260">
        <v>1</v>
      </c>
      <c r="H138" s="6"/>
      <c r="I138" s="4"/>
      <c r="J138" s="390">
        <f t="shared" si="7"/>
        <v>30</v>
      </c>
      <c r="K138" s="2"/>
      <c r="L138" s="6"/>
      <c r="M138" s="5"/>
      <c r="N138" s="7" t="str">
        <f t="shared" si="8"/>
        <v/>
      </c>
      <c r="O138" s="18" t="s">
        <v>317</v>
      </c>
      <c r="Q138" s="572">
        <f t="shared" si="11"/>
        <v>30</v>
      </c>
      <c r="R138" s="572">
        <f t="shared" si="12"/>
        <v>0</v>
      </c>
    </row>
    <row r="139" spans="1:18">
      <c r="A139" s="532" t="s">
        <v>314</v>
      </c>
      <c r="B139" s="533" t="s">
        <v>225</v>
      </c>
      <c r="C139" s="535"/>
      <c r="D139" s="535"/>
      <c r="E139" s="3">
        <v>1</v>
      </c>
      <c r="F139" s="260">
        <v>30</v>
      </c>
      <c r="G139" s="260">
        <v>1</v>
      </c>
      <c r="H139" s="6"/>
      <c r="I139" s="4"/>
      <c r="J139" s="390">
        <f t="shared" si="7"/>
        <v>30</v>
      </c>
      <c r="K139" s="2"/>
      <c r="L139" s="6"/>
      <c r="M139" s="5"/>
      <c r="N139" s="7" t="str">
        <f t="shared" si="8"/>
        <v/>
      </c>
      <c r="O139" s="18" t="s">
        <v>317</v>
      </c>
      <c r="Q139" s="572">
        <f t="shared" si="11"/>
        <v>30</v>
      </c>
      <c r="R139" s="572">
        <f t="shared" si="12"/>
        <v>0</v>
      </c>
    </row>
    <row r="140" spans="1:18">
      <c r="A140" s="532" t="s">
        <v>314</v>
      </c>
      <c r="B140" s="533" t="s">
        <v>227</v>
      </c>
      <c r="C140" s="535"/>
      <c r="D140" s="535"/>
      <c r="E140" s="3">
        <v>1</v>
      </c>
      <c r="F140" s="260">
        <v>35</v>
      </c>
      <c r="G140" s="260">
        <v>1</v>
      </c>
      <c r="H140" s="6"/>
      <c r="I140" s="4"/>
      <c r="J140" s="390">
        <f t="shared" si="7"/>
        <v>35</v>
      </c>
      <c r="K140" s="2"/>
      <c r="L140" s="6"/>
      <c r="M140" s="5"/>
      <c r="N140" s="7" t="str">
        <f t="shared" si="8"/>
        <v/>
      </c>
      <c r="O140" s="18" t="s">
        <v>317</v>
      </c>
      <c r="Q140" s="572">
        <f t="shared" si="11"/>
        <v>35</v>
      </c>
      <c r="R140" s="572">
        <f t="shared" si="12"/>
        <v>0</v>
      </c>
    </row>
    <row r="141" spans="1:18">
      <c r="A141" s="532" t="s">
        <v>314</v>
      </c>
      <c r="B141" s="533" t="s">
        <v>229</v>
      </c>
      <c r="C141" s="535"/>
      <c r="D141" s="535"/>
      <c r="E141" s="3">
        <v>1</v>
      </c>
      <c r="F141" s="260">
        <v>40</v>
      </c>
      <c r="G141" s="260">
        <v>1</v>
      </c>
      <c r="H141" s="6"/>
      <c r="I141" s="4"/>
      <c r="J141" s="390">
        <f t="shared" si="7"/>
        <v>40</v>
      </c>
      <c r="K141" s="2"/>
      <c r="L141" s="6"/>
      <c r="M141" s="5"/>
      <c r="N141" s="7" t="str">
        <f t="shared" si="8"/>
        <v/>
      </c>
      <c r="O141" s="18" t="s">
        <v>317</v>
      </c>
      <c r="Q141" s="572">
        <f t="shared" si="11"/>
        <v>40</v>
      </c>
      <c r="R141" s="572">
        <f t="shared" si="12"/>
        <v>0</v>
      </c>
    </row>
    <row r="142" spans="1:18">
      <c r="A142" s="532" t="s">
        <v>314</v>
      </c>
      <c r="B142" s="533" t="s">
        <v>231</v>
      </c>
      <c r="C142" s="535"/>
      <c r="D142" s="535"/>
      <c r="E142" s="3">
        <v>1</v>
      </c>
      <c r="F142" s="260">
        <v>40</v>
      </c>
      <c r="G142" s="260">
        <v>1</v>
      </c>
      <c r="H142" s="6"/>
      <c r="I142" s="4"/>
      <c r="J142" s="390">
        <f t="shared" si="7"/>
        <v>40</v>
      </c>
      <c r="K142" s="2"/>
      <c r="L142" s="6"/>
      <c r="M142" s="5"/>
      <c r="N142" s="7" t="str">
        <f t="shared" si="8"/>
        <v/>
      </c>
      <c r="O142" s="18" t="s">
        <v>317</v>
      </c>
      <c r="Q142" s="572">
        <f t="shared" si="11"/>
        <v>40</v>
      </c>
      <c r="R142" s="572">
        <f t="shared" si="12"/>
        <v>0</v>
      </c>
    </row>
    <row r="143" spans="1:18">
      <c r="A143" s="532" t="s">
        <v>314</v>
      </c>
      <c r="B143" s="533" t="s">
        <v>233</v>
      </c>
      <c r="C143" s="535"/>
      <c r="D143" s="535"/>
      <c r="E143" s="3">
        <v>1</v>
      </c>
      <c r="F143" s="260">
        <v>40</v>
      </c>
      <c r="G143" s="260">
        <v>1</v>
      </c>
      <c r="H143" s="6"/>
      <c r="I143" s="4"/>
      <c r="J143" s="390">
        <f t="shared" si="7"/>
        <v>40</v>
      </c>
      <c r="K143" s="2"/>
      <c r="L143" s="6"/>
      <c r="M143" s="5"/>
      <c r="N143" s="7" t="str">
        <f t="shared" si="8"/>
        <v/>
      </c>
      <c r="O143" s="18" t="s">
        <v>317</v>
      </c>
      <c r="Q143" s="572">
        <f t="shared" si="11"/>
        <v>40</v>
      </c>
      <c r="R143" s="572">
        <f t="shared" si="12"/>
        <v>0</v>
      </c>
    </row>
    <row r="144" spans="1:18">
      <c r="A144" s="630"/>
      <c r="B144" s="631"/>
      <c r="C144" s="632"/>
      <c r="D144" s="632"/>
      <c r="E144" s="3"/>
      <c r="F144" s="633"/>
      <c r="G144" s="633"/>
      <c r="H144" s="634"/>
      <c r="I144" s="4"/>
      <c r="J144" s="390"/>
      <c r="K144" s="635"/>
      <c r="L144" s="634"/>
      <c r="M144" s="636"/>
      <c r="N144" s="637"/>
      <c r="O144" s="18"/>
      <c r="Q144" s="572">
        <f t="shared" si="11"/>
        <v>0</v>
      </c>
      <c r="R144" s="572">
        <f t="shared" si="12"/>
        <v>0</v>
      </c>
    </row>
    <row r="145" spans="1:18">
      <c r="A145" s="532" t="s">
        <v>315</v>
      </c>
      <c r="B145" s="533" t="s">
        <v>234</v>
      </c>
      <c r="C145" s="535"/>
      <c r="D145" s="535"/>
      <c r="E145" s="3">
        <v>1</v>
      </c>
      <c r="F145" s="260">
        <v>25</v>
      </c>
      <c r="G145" s="260">
        <v>1</v>
      </c>
      <c r="H145" s="6"/>
      <c r="I145" s="4"/>
      <c r="J145" s="390">
        <f t="shared" si="7"/>
        <v>25</v>
      </c>
      <c r="K145" s="2"/>
      <c r="L145" s="6"/>
      <c r="M145" s="5"/>
      <c r="N145" s="7" t="str">
        <f t="shared" si="8"/>
        <v/>
      </c>
      <c r="O145" s="18" t="s">
        <v>317</v>
      </c>
      <c r="Q145" s="572">
        <f t="shared" si="11"/>
        <v>25</v>
      </c>
      <c r="R145" s="572">
        <f t="shared" si="12"/>
        <v>0</v>
      </c>
    </row>
    <row r="146" spans="1:18">
      <c r="A146" s="532"/>
      <c r="B146" s="533"/>
      <c r="C146" s="535"/>
      <c r="D146" s="535"/>
      <c r="E146" s="3"/>
      <c r="F146" s="260"/>
      <c r="G146" s="260"/>
      <c r="H146" s="6"/>
      <c r="I146" s="4"/>
      <c r="J146" s="390">
        <f t="shared" si="7"/>
        <v>0</v>
      </c>
      <c r="K146" s="2"/>
      <c r="L146" s="6"/>
      <c r="M146" s="5"/>
      <c r="N146" s="7" t="str">
        <f t="shared" si="8"/>
        <v/>
      </c>
      <c r="O146" s="18"/>
      <c r="Q146" s="572">
        <f t="shared" si="11"/>
        <v>0</v>
      </c>
      <c r="R146" s="572">
        <f t="shared" si="12"/>
        <v>0</v>
      </c>
    </row>
    <row r="147" spans="1:18">
      <c r="A147" s="532" t="s">
        <v>578</v>
      </c>
      <c r="B147" s="533" t="s">
        <v>234</v>
      </c>
      <c r="C147" s="535"/>
      <c r="D147" s="535"/>
      <c r="E147" s="3">
        <v>1</v>
      </c>
      <c r="F147" s="260">
        <v>12</v>
      </c>
      <c r="G147" s="260">
        <v>1</v>
      </c>
      <c r="H147" s="6"/>
      <c r="I147" s="4"/>
      <c r="J147" s="390">
        <f t="shared" ref="J147" si="13">(+F147*G147+H147*I147)*E147</f>
        <v>12</v>
      </c>
      <c r="K147" s="2"/>
      <c r="L147" s="6"/>
      <c r="M147" s="5"/>
      <c r="N147" s="7" t="str">
        <f t="shared" ref="N147" si="14">IF(K147=0,"",L147*M147*E147)</f>
        <v/>
      </c>
      <c r="O147" s="18" t="s">
        <v>584</v>
      </c>
      <c r="Q147" s="572">
        <f t="shared" si="11"/>
        <v>12</v>
      </c>
      <c r="R147" s="572">
        <f t="shared" si="12"/>
        <v>0</v>
      </c>
    </row>
    <row r="148" spans="1:18">
      <c r="A148" s="539" t="s">
        <v>578</v>
      </c>
      <c r="B148" s="540" t="s">
        <v>234</v>
      </c>
      <c r="C148" s="534"/>
      <c r="D148" s="534"/>
      <c r="E148" s="23">
        <v>1</v>
      </c>
      <c r="F148" s="260">
        <v>8</v>
      </c>
      <c r="G148" s="260">
        <v>1</v>
      </c>
      <c r="H148" s="6"/>
      <c r="I148" s="6"/>
      <c r="J148" s="391">
        <f t="shared" ref="J148:J155" si="15">(+F148*G148+H148*I148)*E148</f>
        <v>8</v>
      </c>
      <c r="K148" s="29"/>
      <c r="L148" s="6"/>
      <c r="M148" s="5"/>
      <c r="N148" s="7" t="str">
        <f t="shared" ref="N148:N155" si="16">IF(K148=0,"",L148*M148*E148)</f>
        <v/>
      </c>
      <c r="O148" s="18" t="s">
        <v>585</v>
      </c>
      <c r="Q148" s="572">
        <f t="shared" si="11"/>
        <v>8</v>
      </c>
      <c r="R148" s="572">
        <f t="shared" si="12"/>
        <v>0</v>
      </c>
    </row>
    <row r="149" spans="1:18">
      <c r="A149" s="539"/>
      <c r="B149" s="540"/>
      <c r="C149" s="534"/>
      <c r="D149" s="534"/>
      <c r="E149" s="23"/>
      <c r="F149" s="260"/>
      <c r="G149" s="260"/>
      <c r="H149" s="6"/>
      <c r="I149" s="6"/>
      <c r="J149" s="391">
        <f t="shared" si="15"/>
        <v>0</v>
      </c>
      <c r="K149" s="29"/>
      <c r="L149" s="6"/>
      <c r="M149" s="5"/>
      <c r="N149" s="7" t="str">
        <f t="shared" si="16"/>
        <v/>
      </c>
      <c r="O149" s="18"/>
      <c r="Q149" s="572">
        <f t="shared" si="11"/>
        <v>0</v>
      </c>
      <c r="R149" s="572">
        <f t="shared" si="12"/>
        <v>0</v>
      </c>
    </row>
    <row r="150" spans="1:18">
      <c r="A150" s="539"/>
      <c r="B150" s="540"/>
      <c r="C150" s="534"/>
      <c r="D150" s="534"/>
      <c r="E150" s="23"/>
      <c r="F150" s="260"/>
      <c r="G150" s="260"/>
      <c r="H150" s="6"/>
      <c r="I150" s="6"/>
      <c r="J150" s="391">
        <f t="shared" si="15"/>
        <v>0</v>
      </c>
      <c r="K150" s="29"/>
      <c r="L150" s="6"/>
      <c r="M150" s="5"/>
      <c r="N150" s="7" t="str">
        <f t="shared" si="16"/>
        <v/>
      </c>
      <c r="O150" s="18"/>
      <c r="Q150" s="572">
        <f t="shared" si="11"/>
        <v>0</v>
      </c>
      <c r="R150" s="572">
        <f t="shared" si="12"/>
        <v>0</v>
      </c>
    </row>
    <row r="151" spans="1:18">
      <c r="A151" s="539"/>
      <c r="B151" s="540"/>
      <c r="C151" s="534"/>
      <c r="D151" s="534"/>
      <c r="E151" s="23"/>
      <c r="F151" s="260"/>
      <c r="G151" s="260"/>
      <c r="H151" s="6"/>
      <c r="I151" s="6"/>
      <c r="J151" s="391">
        <f t="shared" si="15"/>
        <v>0</v>
      </c>
      <c r="K151" s="29"/>
      <c r="L151" s="6"/>
      <c r="M151" s="5"/>
      <c r="N151" s="7" t="str">
        <f t="shared" si="16"/>
        <v/>
      </c>
      <c r="O151" s="18"/>
      <c r="Q151" s="572">
        <f t="shared" si="11"/>
        <v>0</v>
      </c>
      <c r="R151" s="572">
        <f t="shared" si="12"/>
        <v>0</v>
      </c>
    </row>
    <row r="152" spans="1:18">
      <c r="A152" s="539"/>
      <c r="B152" s="540"/>
      <c r="C152" s="534"/>
      <c r="D152" s="534"/>
      <c r="E152" s="23"/>
      <c r="F152" s="260"/>
      <c r="G152" s="260"/>
      <c r="H152" s="6"/>
      <c r="I152" s="6"/>
      <c r="J152" s="391">
        <f t="shared" si="15"/>
        <v>0</v>
      </c>
      <c r="K152" s="29"/>
      <c r="L152" s="6"/>
      <c r="M152" s="5"/>
      <c r="N152" s="7" t="str">
        <f t="shared" si="16"/>
        <v/>
      </c>
      <c r="O152" s="18"/>
      <c r="Q152" s="572">
        <f t="shared" si="11"/>
        <v>0</v>
      </c>
      <c r="R152" s="572">
        <f t="shared" si="12"/>
        <v>0</v>
      </c>
    </row>
    <row r="153" spans="1:18">
      <c r="A153" s="539"/>
      <c r="B153" s="540"/>
      <c r="C153" s="534"/>
      <c r="D153" s="534"/>
      <c r="E153" s="23"/>
      <c r="F153" s="260"/>
      <c r="G153" s="260"/>
      <c r="H153" s="6"/>
      <c r="I153" s="6"/>
      <c r="J153" s="391">
        <f t="shared" si="15"/>
        <v>0</v>
      </c>
      <c r="K153" s="29"/>
      <c r="L153" s="6"/>
      <c r="M153" s="5"/>
      <c r="N153" s="7" t="str">
        <f t="shared" si="16"/>
        <v/>
      </c>
      <c r="O153" s="18"/>
      <c r="Q153" s="572">
        <f t="shared" si="11"/>
        <v>0</v>
      </c>
      <c r="R153" s="572">
        <f t="shared" si="12"/>
        <v>0</v>
      </c>
    </row>
    <row r="154" spans="1:18">
      <c r="A154" s="539"/>
      <c r="B154" s="540"/>
      <c r="C154" s="534"/>
      <c r="D154" s="534"/>
      <c r="E154" s="23"/>
      <c r="F154" s="260"/>
      <c r="G154" s="260"/>
      <c r="H154" s="6"/>
      <c r="I154" s="6"/>
      <c r="J154" s="391">
        <f t="shared" si="15"/>
        <v>0</v>
      </c>
      <c r="K154" s="29"/>
      <c r="L154" s="6"/>
      <c r="M154" s="5"/>
      <c r="N154" s="7" t="str">
        <f t="shared" si="16"/>
        <v/>
      </c>
      <c r="O154" s="18"/>
      <c r="Q154" s="572">
        <f t="shared" si="11"/>
        <v>0</v>
      </c>
      <c r="R154" s="572">
        <f t="shared" si="12"/>
        <v>0</v>
      </c>
    </row>
    <row r="155" spans="1:18" ht="14.25" thickBot="1">
      <c r="A155" s="541"/>
      <c r="B155" s="542"/>
      <c r="C155" s="543"/>
      <c r="D155" s="543"/>
      <c r="E155" s="25"/>
      <c r="F155" s="261"/>
      <c r="G155" s="261"/>
      <c r="H155" s="27"/>
      <c r="I155" s="27"/>
      <c r="J155" s="392">
        <f t="shared" si="15"/>
        <v>0</v>
      </c>
      <c r="K155" s="24"/>
      <c r="L155" s="27"/>
      <c r="M155" s="26"/>
      <c r="N155" s="28" t="str">
        <f t="shared" si="16"/>
        <v/>
      </c>
      <c r="O155" s="19"/>
      <c r="Q155" s="572">
        <f t="shared" si="11"/>
        <v>0</v>
      </c>
      <c r="R155" s="572">
        <f t="shared" si="12"/>
        <v>0</v>
      </c>
    </row>
  </sheetData>
  <sheetProtection sheet="1" objects="1" scenarios="1" selectLockedCells="1"/>
  <mergeCells count="15">
    <mergeCell ref="A2:A4"/>
    <mergeCell ref="B2:B4"/>
    <mergeCell ref="C2:C4"/>
    <mergeCell ref="D2:D4"/>
    <mergeCell ref="E2:E4"/>
    <mergeCell ref="O2:O4"/>
    <mergeCell ref="F3:G3"/>
    <mergeCell ref="H3:I3"/>
    <mergeCell ref="J3:J4"/>
    <mergeCell ref="K3:K4"/>
    <mergeCell ref="L3:L4"/>
    <mergeCell ref="M3:M4"/>
    <mergeCell ref="N3:N4"/>
    <mergeCell ref="F2:J2"/>
    <mergeCell ref="K2:N2"/>
  </mergeCells>
  <phoneticPr fontId="14"/>
  <dataValidations count="5">
    <dataValidation type="list" allowBlank="1" showErrorMessage="1" sqref="C5:C7 A5:A155">
      <formula1>作業名</formula1>
      <formula2>0</formula2>
    </dataValidation>
    <dataValidation type="list" allowBlank="1" showInputMessage="1" showErrorMessage="1" sqref="C8:C155">
      <formula1>機械</formula1>
    </dataValidation>
    <dataValidation type="list" allowBlank="1" showErrorMessage="1" sqref="K5:K155">
      <formula1>燃料種類</formula1>
      <formula2>0</formula2>
    </dataValidation>
    <dataValidation type="list" allowBlank="1" showErrorMessage="1" sqref="B5:B155">
      <formula1>月旬</formula1>
      <formula2>0</formula2>
    </dataValidation>
    <dataValidation type="list" allowBlank="1" showInputMessage="1" showErrorMessage="1" sqref="D5:D155">
      <formula1>機械能力</formula1>
    </dataValidation>
  </dataValidations>
  <printOptions horizontalCentered="1"/>
  <pageMargins left="0.23622047244094491" right="0.23622047244094491" top="0.74803149606299213" bottom="0.74803149606299213" header="0.31496062992125984" footer="0.31496062992125984"/>
  <pageSetup paperSize="9" scale="86" firstPageNumber="0" fitToHeight="0" orientation="landscape" cellComments="asDisplayed" verticalDpi="300" r:id="rId1"/>
  <headerFooter alignWithMargins="0">
    <oddHeader>&amp;L&amp;D&amp;F &amp;A</oddHeader>
    <oddFooter>&amp;C&amp;14&amp;P/&amp;N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2"/>
  <sheetViews>
    <sheetView workbookViewId="0">
      <pane xSplit="1" ySplit="7" topLeftCell="B17" activePane="bottomRight" state="frozen"/>
      <selection pane="topRight" activeCell="B1" sqref="B1"/>
      <selection pane="bottomLeft" activeCell="A8" sqref="A8"/>
      <selection pane="bottomRight" activeCell="H21" sqref="H21"/>
    </sheetView>
  </sheetViews>
  <sheetFormatPr defaultRowHeight="13.5"/>
  <cols>
    <col min="1" max="1" width="9" style="291"/>
    <col min="2" max="7" width="12.625" style="291" customWidth="1"/>
    <col min="8" max="8" width="48.5" style="291" customWidth="1"/>
    <col min="9" max="9" width="9" style="291"/>
    <col min="10" max="10" width="24.125" style="291" customWidth="1"/>
    <col min="11" max="13" width="9" style="291"/>
    <col min="14" max="14" width="13.125" style="291" customWidth="1"/>
    <col min="15" max="15" width="12.625" style="291" bestFit="1" customWidth="1"/>
    <col min="16" max="16" width="13.125" style="291" bestFit="1" customWidth="1"/>
    <col min="17" max="17" width="15.5" style="291" bestFit="1" customWidth="1"/>
    <col min="18" max="16384" width="9" style="291"/>
  </cols>
  <sheetData>
    <row r="1" spans="1:17" ht="17.25">
      <c r="A1" s="295"/>
    </row>
    <row r="2" spans="1:17" ht="14.25" thickBot="1">
      <c r="A2" s="81"/>
      <c r="B2" s="576" t="s">
        <v>508</v>
      </c>
      <c r="C2" s="577"/>
      <c r="D2" s="577"/>
      <c r="E2" s="294"/>
      <c r="F2" s="578" t="s">
        <v>509</v>
      </c>
    </row>
    <row r="3" spans="1:17" ht="14.25" thickBot="1">
      <c r="A3" s="81"/>
      <c r="B3" s="579" t="s">
        <v>510</v>
      </c>
      <c r="C3" s="591">
        <v>3100</v>
      </c>
      <c r="D3" s="579" t="s">
        <v>511</v>
      </c>
      <c r="E3" s="294"/>
      <c r="F3" s="580">
        <v>0.8</v>
      </c>
    </row>
    <row r="5" spans="1:17" ht="14.25" thickBot="1"/>
    <row r="6" spans="1:17" ht="18" customHeight="1">
      <c r="A6" s="483"/>
      <c r="B6" s="803" t="s">
        <v>460</v>
      </c>
      <c r="C6" s="804"/>
      <c r="D6" s="805"/>
      <c r="E6" s="801" t="s">
        <v>462</v>
      </c>
      <c r="F6" s="806" t="s">
        <v>463</v>
      </c>
      <c r="G6" s="801" t="s">
        <v>498</v>
      </c>
      <c r="H6" s="808" t="s">
        <v>519</v>
      </c>
      <c r="I6" s="292"/>
    </row>
    <row r="7" spans="1:17" ht="18" customHeight="1" thickBot="1">
      <c r="A7" s="484" t="s">
        <v>436</v>
      </c>
      <c r="B7" s="544" t="s">
        <v>499</v>
      </c>
      <c r="C7" s="545" t="s">
        <v>500</v>
      </c>
      <c r="D7" s="546" t="s">
        <v>437</v>
      </c>
      <c r="E7" s="802"/>
      <c r="F7" s="807"/>
      <c r="G7" s="802"/>
      <c r="H7" s="809"/>
      <c r="I7" s="293"/>
    </row>
    <row r="8" spans="1:17" ht="18" customHeight="1">
      <c r="A8" s="485">
        <v>1</v>
      </c>
      <c r="B8" s="613"/>
      <c r="C8" s="612"/>
      <c r="D8" s="618">
        <f>B8*C8</f>
        <v>0</v>
      </c>
      <c r="E8" s="614"/>
      <c r="F8" s="615"/>
      <c r="G8" s="617">
        <f>SUM(D8:F8)</f>
        <v>0</v>
      </c>
      <c r="H8" s="611"/>
      <c r="I8" s="294"/>
      <c r="Q8" s="83"/>
    </row>
    <row r="9" spans="1:17" ht="18" customHeight="1">
      <c r="A9" s="486">
        <v>2</v>
      </c>
      <c r="B9" s="507"/>
      <c r="C9" s="508"/>
      <c r="D9" s="509">
        <f t="shared" ref="D9:D13" si="0">B9*C9</f>
        <v>0</v>
      </c>
      <c r="E9" s="522"/>
      <c r="F9" s="523"/>
      <c r="G9" s="524">
        <f t="shared" ref="G9:G20" si="1">SUM(D9:F9)</f>
        <v>0</v>
      </c>
      <c r="H9" s="621" t="s">
        <v>537</v>
      </c>
      <c r="I9" s="294"/>
      <c r="Q9" s="83"/>
    </row>
    <row r="10" spans="1:17" ht="18" customHeight="1">
      <c r="A10" s="486">
        <v>3</v>
      </c>
      <c r="B10" s="622">
        <v>2300</v>
      </c>
      <c r="C10" s="616">
        <v>719</v>
      </c>
      <c r="D10" s="619">
        <f t="shared" si="0"/>
        <v>1653700</v>
      </c>
      <c r="E10" s="522"/>
      <c r="F10" s="523"/>
      <c r="G10" s="620">
        <f t="shared" si="1"/>
        <v>1653700</v>
      </c>
      <c r="H10" s="623"/>
      <c r="I10" s="294"/>
    </row>
    <row r="11" spans="1:17" ht="18" customHeight="1">
      <c r="A11" s="486">
        <v>4</v>
      </c>
      <c r="B11" s="622">
        <v>2600</v>
      </c>
      <c r="C11" s="616">
        <v>654</v>
      </c>
      <c r="D11" s="619">
        <f t="shared" si="0"/>
        <v>1700400</v>
      </c>
      <c r="E11" s="522"/>
      <c r="F11" s="523"/>
      <c r="G11" s="620">
        <f t="shared" si="1"/>
        <v>1700400</v>
      </c>
      <c r="H11" s="606"/>
      <c r="I11" s="294"/>
    </row>
    <row r="12" spans="1:17" ht="18" customHeight="1">
      <c r="A12" s="486">
        <v>5</v>
      </c>
      <c r="B12" s="622">
        <v>2400</v>
      </c>
      <c r="C12" s="616">
        <v>504</v>
      </c>
      <c r="D12" s="619">
        <f t="shared" si="0"/>
        <v>1209600</v>
      </c>
      <c r="E12" s="522"/>
      <c r="F12" s="523"/>
      <c r="G12" s="620">
        <f t="shared" si="1"/>
        <v>1209600</v>
      </c>
      <c r="H12" s="606"/>
      <c r="I12" s="294"/>
    </row>
    <row r="13" spans="1:17" ht="18" customHeight="1">
      <c r="A13" s="486">
        <v>6</v>
      </c>
      <c r="B13" s="622">
        <v>2700</v>
      </c>
      <c r="C13" s="616">
        <v>463</v>
      </c>
      <c r="D13" s="619">
        <f t="shared" si="0"/>
        <v>1250100</v>
      </c>
      <c r="E13" s="522"/>
      <c r="F13" s="523"/>
      <c r="G13" s="620">
        <f t="shared" si="1"/>
        <v>1250100</v>
      </c>
      <c r="H13" s="606"/>
      <c r="I13" s="294"/>
    </row>
    <row r="14" spans="1:17" ht="18" customHeight="1">
      <c r="A14" s="486">
        <v>7</v>
      </c>
      <c r="B14" s="507"/>
      <c r="C14" s="508"/>
      <c r="D14" s="510">
        <f t="shared" ref="D14:D19" si="2">B14*C14</f>
        <v>0</v>
      </c>
      <c r="E14" s="522"/>
      <c r="F14" s="523"/>
      <c r="G14" s="524">
        <f t="shared" si="1"/>
        <v>0</v>
      </c>
      <c r="H14" s="606"/>
      <c r="I14" s="294"/>
    </row>
    <row r="15" spans="1:17" ht="18" customHeight="1">
      <c r="A15" s="486">
        <v>8</v>
      </c>
      <c r="B15" s="507"/>
      <c r="C15" s="508"/>
      <c r="D15" s="510">
        <f t="shared" si="2"/>
        <v>0</v>
      </c>
      <c r="E15" s="522"/>
      <c r="F15" s="523"/>
      <c r="G15" s="524">
        <f t="shared" si="1"/>
        <v>0</v>
      </c>
      <c r="H15" s="606"/>
      <c r="I15" s="294"/>
    </row>
    <row r="16" spans="1:17" ht="18" customHeight="1">
      <c r="A16" s="486">
        <v>9</v>
      </c>
      <c r="B16" s="507"/>
      <c r="C16" s="508"/>
      <c r="D16" s="510">
        <f t="shared" si="2"/>
        <v>0</v>
      </c>
      <c r="E16" s="522"/>
      <c r="F16" s="523"/>
      <c r="G16" s="524">
        <f t="shared" si="1"/>
        <v>0</v>
      </c>
      <c r="H16" s="606"/>
      <c r="I16" s="294"/>
    </row>
    <row r="17" spans="1:9" ht="18" customHeight="1">
      <c r="A17" s="486">
        <v>10</v>
      </c>
      <c r="B17" s="507"/>
      <c r="C17" s="508"/>
      <c r="D17" s="510">
        <f t="shared" si="2"/>
        <v>0</v>
      </c>
      <c r="E17" s="522"/>
      <c r="F17" s="523"/>
      <c r="G17" s="524">
        <f t="shared" si="1"/>
        <v>0</v>
      </c>
      <c r="H17" s="606"/>
      <c r="I17" s="294"/>
    </row>
    <row r="18" spans="1:9" ht="18" customHeight="1">
      <c r="A18" s="486">
        <v>11</v>
      </c>
      <c r="B18" s="507"/>
      <c r="C18" s="508"/>
      <c r="D18" s="510">
        <f t="shared" si="2"/>
        <v>0</v>
      </c>
      <c r="E18" s="522"/>
      <c r="F18" s="523"/>
      <c r="G18" s="524">
        <f t="shared" si="1"/>
        <v>0</v>
      </c>
      <c r="H18" s="606"/>
      <c r="I18" s="294"/>
    </row>
    <row r="19" spans="1:9" ht="18" customHeight="1" thickBot="1">
      <c r="A19" s="487">
        <v>12</v>
      </c>
      <c r="B19" s="511"/>
      <c r="C19" s="512"/>
      <c r="D19" s="513">
        <f t="shared" si="2"/>
        <v>0</v>
      </c>
      <c r="E19" s="525"/>
      <c r="F19" s="526"/>
      <c r="G19" s="527">
        <f t="shared" si="1"/>
        <v>0</v>
      </c>
      <c r="H19" s="607"/>
      <c r="I19" s="294"/>
    </row>
    <row r="20" spans="1:9" ht="18" customHeight="1" thickBot="1">
      <c r="A20" s="489" t="s">
        <v>461</v>
      </c>
      <c r="B20" s="514"/>
      <c r="C20" s="515"/>
      <c r="D20" s="516">
        <f>B20*C20</f>
        <v>0</v>
      </c>
      <c r="E20" s="528"/>
      <c r="F20" s="529"/>
      <c r="G20" s="530">
        <f t="shared" si="1"/>
        <v>0</v>
      </c>
      <c r="H20" s="608"/>
      <c r="I20" s="294"/>
    </row>
    <row r="21" spans="1:9" ht="18" customHeight="1" thickTop="1" thickBot="1">
      <c r="A21" s="488" t="s">
        <v>438</v>
      </c>
      <c r="B21" s="517">
        <f>SUM(B8:B20)</f>
        <v>10000</v>
      </c>
      <c r="C21" s="518">
        <f>D21/B21</f>
        <v>581.38</v>
      </c>
      <c r="D21" s="519">
        <f>SUM(D8:D20)</f>
        <v>5813800</v>
      </c>
      <c r="E21" s="520">
        <f>SUM(E8:E20)</f>
        <v>0</v>
      </c>
      <c r="F21" s="521">
        <f>SUM(F8:F20)</f>
        <v>0</v>
      </c>
      <c r="G21" s="520">
        <f>SUM(G8:G20)</f>
        <v>5813800</v>
      </c>
      <c r="H21" s="609"/>
      <c r="I21" s="294"/>
    </row>
    <row r="22" spans="1:9" ht="18" customHeight="1"/>
  </sheetData>
  <sheetProtection sheet="1" objects="1" scenarios="1" selectLockedCells="1"/>
  <mergeCells count="5">
    <mergeCell ref="G6:G7"/>
    <mergeCell ref="B6:D6"/>
    <mergeCell ref="E6:E7"/>
    <mergeCell ref="F6:F7"/>
    <mergeCell ref="H6:H7"/>
  </mergeCells>
  <phoneticPr fontId="14"/>
  <dataValidations disablePrompts="1" count="2">
    <dataValidation type="list" allowBlank="1" showInputMessage="1" showErrorMessage="1" sqref="D3">
      <formula1>本</formula1>
    </dataValidation>
    <dataValidation type="list" allowBlank="1" showInputMessage="1" showErrorMessage="1" sqref="B3">
      <formula1>植付本数</formula1>
    </dataValidation>
  </dataValidations>
  <pageMargins left="0.70866141732283472" right="0.70866141732283472" top="0.94488188976377963" bottom="0.74803149606299213" header="0.31496062992125984" footer="0.31496062992125984"/>
  <pageSetup paperSize="9" orientation="landscape" verticalDpi="0" r:id="rId1"/>
  <headerFooter>
    <oddHeader>&amp;L&amp;D&amp;F&amp;A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B1:W432"/>
  <sheetViews>
    <sheetView showGridLines="0" zoomScalePageLayoutView="75" workbookViewId="0">
      <pane ySplit="2" topLeftCell="A3" activePane="bottomLeft" state="frozen"/>
      <selection activeCell="I22" sqref="I22"/>
      <selection pane="bottomLeft" activeCell="C4" sqref="C4"/>
    </sheetView>
  </sheetViews>
  <sheetFormatPr defaultRowHeight="12" zeroHeight="1" outlineLevelRow="1"/>
  <cols>
    <col min="1" max="1" width="2.125" style="191" customWidth="1"/>
    <col min="2" max="2" width="5.125" style="191" customWidth="1"/>
    <col min="3" max="3" width="18.875" style="191" bestFit="1" customWidth="1"/>
    <col min="4" max="4" width="9.625" style="191" bestFit="1" customWidth="1"/>
    <col min="5" max="5" width="6.625" style="191" customWidth="1"/>
    <col min="6" max="6" width="10.625" style="442" customWidth="1"/>
    <col min="7" max="7" width="7" style="191" customWidth="1"/>
    <col min="8" max="8" width="7.375" style="191" bestFit="1" customWidth="1"/>
    <col min="9" max="9" width="9.625" style="446" bestFit="1" customWidth="1"/>
    <col min="10" max="10" width="11.25" style="446" customWidth="1"/>
    <col min="11" max="12" width="11.25" style="443" hidden="1" customWidth="1"/>
    <col min="13" max="13" width="6.625" style="444" hidden="1" customWidth="1"/>
    <col min="14" max="16" width="11.25" style="443" hidden="1" customWidth="1"/>
    <col min="17" max="19" width="11.25" style="445" hidden="1" customWidth="1"/>
    <col min="20" max="22" width="11.25" style="191" hidden="1" customWidth="1"/>
    <col min="23" max="23" width="24.25" style="191" customWidth="1"/>
    <col min="24" max="16384" width="9" style="191"/>
  </cols>
  <sheetData>
    <row r="1" spans="2:23" ht="18" customHeight="1" thickBot="1">
      <c r="B1" s="334" t="s">
        <v>279</v>
      </c>
      <c r="C1" s="335"/>
      <c r="D1" s="810" t="s">
        <v>76</v>
      </c>
      <c r="E1" s="810"/>
      <c r="F1" s="400"/>
      <c r="G1" s="336"/>
      <c r="H1" s="337">
        <v>10</v>
      </c>
      <c r="I1" s="493"/>
      <c r="J1" s="494"/>
      <c r="K1" s="338"/>
      <c r="L1" s="338"/>
      <c r="M1" s="339"/>
      <c r="N1" s="338"/>
      <c r="O1" s="338"/>
      <c r="P1" s="338"/>
      <c r="Q1" s="340"/>
      <c r="R1" s="340"/>
      <c r="S1" s="340"/>
      <c r="T1" s="151"/>
      <c r="U1" s="151"/>
      <c r="V1" s="151"/>
      <c r="W1" s="341" t="str">
        <f>①技術体系!A2</f>
        <v>トマト</v>
      </c>
    </row>
    <row r="2" spans="2:23" s="342" customFormat="1" ht="18" customHeight="1" thickBot="1">
      <c r="B2" s="547" t="s">
        <v>77</v>
      </c>
      <c r="C2" s="548" t="s">
        <v>78</v>
      </c>
      <c r="D2" s="549" t="s">
        <v>79</v>
      </c>
      <c r="E2" s="550" t="s">
        <v>80</v>
      </c>
      <c r="F2" s="551" t="s">
        <v>19</v>
      </c>
      <c r="G2" s="552" t="s">
        <v>81</v>
      </c>
      <c r="H2" s="549" t="s">
        <v>24</v>
      </c>
      <c r="I2" s="553" t="s">
        <v>82</v>
      </c>
      <c r="J2" s="553" t="s">
        <v>83</v>
      </c>
      <c r="K2" s="554" t="s">
        <v>84</v>
      </c>
      <c r="L2" s="554" t="s">
        <v>85</v>
      </c>
      <c r="M2" s="555" t="s">
        <v>80</v>
      </c>
      <c r="N2" s="554" t="s">
        <v>86</v>
      </c>
      <c r="O2" s="556" t="s">
        <v>87</v>
      </c>
      <c r="P2" s="557" t="s">
        <v>80</v>
      </c>
      <c r="Q2" s="558" t="s">
        <v>88</v>
      </c>
      <c r="R2" s="559" t="s">
        <v>89</v>
      </c>
      <c r="S2" s="560" t="s">
        <v>90</v>
      </c>
      <c r="T2" s="561" t="s">
        <v>91</v>
      </c>
      <c r="U2" s="562" t="s">
        <v>92</v>
      </c>
      <c r="V2" s="562" t="s">
        <v>93</v>
      </c>
      <c r="W2" s="563" t="s">
        <v>94</v>
      </c>
    </row>
    <row r="3" spans="2:23" s="342" customFormat="1" ht="12.95" customHeight="1">
      <c r="B3" s="811" t="s">
        <v>98</v>
      </c>
      <c r="C3" s="252" t="s">
        <v>521</v>
      </c>
      <c r="D3" s="211">
        <v>3100</v>
      </c>
      <c r="E3" s="253" t="s">
        <v>217</v>
      </c>
      <c r="F3" s="401">
        <v>180</v>
      </c>
      <c r="G3" s="213">
        <v>1</v>
      </c>
      <c r="H3" s="214">
        <v>1</v>
      </c>
      <c r="I3" s="343">
        <f>IF(C3=0,"",D3*1/G3*H3)</f>
        <v>3100</v>
      </c>
      <c r="J3" s="497">
        <f>IF(C3=0,"",ROUND(F3*I3,0))</f>
        <v>558000</v>
      </c>
      <c r="K3" s="215"/>
      <c r="L3" s="215"/>
      <c r="M3" s="216"/>
      <c r="N3" s="215"/>
      <c r="O3" s="217">
        <v>0</v>
      </c>
      <c r="P3" s="218"/>
      <c r="Q3" s="219"/>
      <c r="R3" s="220"/>
      <c r="S3" s="221"/>
      <c r="T3" s="222" t="s">
        <v>324</v>
      </c>
      <c r="U3" s="223" t="s">
        <v>324</v>
      </c>
      <c r="V3" s="224" t="s">
        <v>324</v>
      </c>
      <c r="W3" s="626" t="s">
        <v>522</v>
      </c>
    </row>
    <row r="4" spans="2:23" s="342" customFormat="1" ht="12.95" customHeight="1">
      <c r="B4" s="812"/>
      <c r="C4" s="188"/>
      <c r="D4" s="169"/>
      <c r="E4" s="187"/>
      <c r="F4" s="402"/>
      <c r="G4" s="172"/>
      <c r="H4" s="173"/>
      <c r="I4" s="345" t="str">
        <f t="shared" ref="I4:I8" si="0">IF(C4=0,"",D4*1/G4*H4)</f>
        <v/>
      </c>
      <c r="J4" s="498" t="str">
        <f t="shared" ref="J4:J8" si="1">IF(C4=0,"",ROUND(F4*I4,0))</f>
        <v/>
      </c>
      <c r="K4" s="174"/>
      <c r="L4" s="174"/>
      <c r="M4" s="175"/>
      <c r="N4" s="174"/>
      <c r="O4" s="176"/>
      <c r="P4" s="177"/>
      <c r="Q4" s="178"/>
      <c r="R4" s="179"/>
      <c r="S4" s="180"/>
      <c r="T4" s="181"/>
      <c r="U4" s="182"/>
      <c r="V4" s="183"/>
      <c r="W4" s="254"/>
    </row>
    <row r="5" spans="2:23" s="342" customFormat="1" ht="12.95" customHeight="1">
      <c r="B5" s="812"/>
      <c r="C5" s="188"/>
      <c r="D5" s="169"/>
      <c r="E5" s="187"/>
      <c r="F5" s="402"/>
      <c r="G5" s="172"/>
      <c r="H5" s="173"/>
      <c r="I5" s="345" t="str">
        <f t="shared" si="0"/>
        <v/>
      </c>
      <c r="J5" s="498" t="str">
        <f t="shared" si="1"/>
        <v/>
      </c>
      <c r="K5" s="174"/>
      <c r="L5" s="174"/>
      <c r="M5" s="175"/>
      <c r="N5" s="174"/>
      <c r="O5" s="176"/>
      <c r="P5" s="177"/>
      <c r="Q5" s="178"/>
      <c r="R5" s="179"/>
      <c r="S5" s="180"/>
      <c r="T5" s="181"/>
      <c r="U5" s="182"/>
      <c r="V5" s="183"/>
      <c r="W5" s="254"/>
    </row>
    <row r="6" spans="2:23" s="342" customFormat="1" ht="12.95" customHeight="1">
      <c r="B6" s="812"/>
      <c r="C6" s="188"/>
      <c r="D6" s="169"/>
      <c r="E6" s="187"/>
      <c r="F6" s="402"/>
      <c r="G6" s="172"/>
      <c r="H6" s="173"/>
      <c r="I6" s="345"/>
      <c r="J6" s="498"/>
      <c r="K6" s="174"/>
      <c r="L6" s="174"/>
      <c r="M6" s="175"/>
      <c r="N6" s="174"/>
      <c r="O6" s="176"/>
      <c r="P6" s="177"/>
      <c r="Q6" s="178"/>
      <c r="R6" s="179"/>
      <c r="S6" s="180"/>
      <c r="T6" s="181"/>
      <c r="U6" s="182"/>
      <c r="V6" s="183"/>
      <c r="W6" s="254"/>
    </row>
    <row r="7" spans="2:23" s="342" customFormat="1" ht="12.95" customHeight="1">
      <c r="B7" s="812"/>
      <c r="C7" s="188"/>
      <c r="D7" s="169"/>
      <c r="E7" s="187"/>
      <c r="F7" s="402"/>
      <c r="G7" s="172"/>
      <c r="H7" s="173"/>
      <c r="I7" s="345" t="str">
        <f t="shared" si="0"/>
        <v/>
      </c>
      <c r="J7" s="498" t="str">
        <f t="shared" si="1"/>
        <v/>
      </c>
      <c r="K7" s="174"/>
      <c r="L7" s="174"/>
      <c r="M7" s="175"/>
      <c r="N7" s="174"/>
      <c r="O7" s="176"/>
      <c r="P7" s="177"/>
      <c r="Q7" s="178"/>
      <c r="R7" s="179"/>
      <c r="S7" s="180"/>
      <c r="T7" s="181"/>
      <c r="U7" s="182"/>
      <c r="V7" s="183"/>
      <c r="W7" s="254"/>
    </row>
    <row r="8" spans="2:23" s="342" customFormat="1" ht="12.95" customHeight="1" thickBot="1">
      <c r="B8" s="812"/>
      <c r="C8" s="255"/>
      <c r="D8" s="228"/>
      <c r="E8" s="249"/>
      <c r="F8" s="403"/>
      <c r="G8" s="230"/>
      <c r="H8" s="231"/>
      <c r="I8" s="346" t="str">
        <f t="shared" si="0"/>
        <v/>
      </c>
      <c r="J8" s="499" t="str">
        <f t="shared" si="1"/>
        <v/>
      </c>
      <c r="K8" s="232"/>
      <c r="L8" s="232"/>
      <c r="M8" s="233"/>
      <c r="N8" s="232"/>
      <c r="O8" s="234"/>
      <c r="P8" s="235"/>
      <c r="Q8" s="236"/>
      <c r="R8" s="237"/>
      <c r="S8" s="238"/>
      <c r="T8" s="239"/>
      <c r="U8" s="240"/>
      <c r="V8" s="241"/>
      <c r="W8" s="256"/>
    </row>
    <row r="9" spans="2:23" s="342" customFormat="1" ht="12.95" customHeight="1" thickTop="1" thickBot="1">
      <c r="B9" s="813"/>
      <c r="C9" s="491" t="s">
        <v>327</v>
      </c>
      <c r="D9" s="227"/>
      <c r="E9" s="320"/>
      <c r="F9" s="404"/>
      <c r="G9" s="321"/>
      <c r="H9" s="322"/>
      <c r="I9" s="331"/>
      <c r="J9" s="496">
        <f>SUM(J3:J8)</f>
        <v>558000</v>
      </c>
      <c r="K9" s="323"/>
      <c r="L9" s="323"/>
      <c r="M9" s="324"/>
      <c r="N9" s="323"/>
      <c r="O9" s="325"/>
      <c r="P9" s="326"/>
      <c r="Q9" s="327"/>
      <c r="R9" s="328"/>
      <c r="S9" s="329"/>
      <c r="T9" s="492"/>
      <c r="U9" s="331"/>
      <c r="V9" s="332"/>
      <c r="W9" s="333"/>
    </row>
    <row r="10" spans="2:23" ht="12.95" customHeight="1">
      <c r="B10" s="817" t="s">
        <v>95</v>
      </c>
      <c r="C10" s="243" t="s">
        <v>570</v>
      </c>
      <c r="D10" s="211">
        <v>17</v>
      </c>
      <c r="E10" s="212" t="s">
        <v>100</v>
      </c>
      <c r="F10" s="401">
        <v>5980</v>
      </c>
      <c r="G10" s="213">
        <v>1</v>
      </c>
      <c r="H10" s="214">
        <v>1</v>
      </c>
      <c r="I10" s="343">
        <f t="shared" ref="I10:I19" si="2">IF(C10=0,"",D10*1/G10*H10)</f>
        <v>17</v>
      </c>
      <c r="J10" s="497">
        <f t="shared" ref="J10:J58" si="3">IF(C10=0,"",ROUND(F10*I10,0))</f>
        <v>101660</v>
      </c>
      <c r="K10" s="215"/>
      <c r="L10" s="215"/>
      <c r="M10" s="216"/>
      <c r="N10" s="215"/>
      <c r="O10" s="217">
        <v>0</v>
      </c>
      <c r="P10" s="218"/>
      <c r="Q10" s="219"/>
      <c r="R10" s="220"/>
      <c r="S10" s="221"/>
      <c r="T10" s="222" t="s">
        <v>324</v>
      </c>
      <c r="U10" s="223" t="s">
        <v>324</v>
      </c>
      <c r="V10" s="224" t="s">
        <v>324</v>
      </c>
      <c r="W10" s="225"/>
    </row>
    <row r="11" spans="2:23" ht="12.95" customHeight="1">
      <c r="B11" s="820"/>
      <c r="C11" s="244" t="s">
        <v>571</v>
      </c>
      <c r="D11" s="152">
        <v>17</v>
      </c>
      <c r="E11" s="153" t="s">
        <v>100</v>
      </c>
      <c r="F11" s="405">
        <v>4371</v>
      </c>
      <c r="G11" s="154">
        <v>1</v>
      </c>
      <c r="H11" s="155">
        <v>1</v>
      </c>
      <c r="I11" s="500">
        <f t="shared" si="2"/>
        <v>17</v>
      </c>
      <c r="J11" s="501">
        <f t="shared" si="3"/>
        <v>74307</v>
      </c>
      <c r="K11" s="156"/>
      <c r="L11" s="156"/>
      <c r="M11" s="157"/>
      <c r="N11" s="156"/>
      <c r="O11" s="158">
        <v>0</v>
      </c>
      <c r="P11" s="159"/>
      <c r="Q11" s="160"/>
      <c r="R11" s="161"/>
      <c r="S11" s="162"/>
      <c r="T11" s="163" t="s">
        <v>324</v>
      </c>
      <c r="U11" s="164" t="s">
        <v>324</v>
      </c>
      <c r="V11" s="165" t="s">
        <v>324</v>
      </c>
      <c r="W11" s="226"/>
    </row>
    <row r="12" spans="2:23" ht="12.95" customHeight="1">
      <c r="B12" s="820"/>
      <c r="C12" s="245" t="s">
        <v>325</v>
      </c>
      <c r="D12" s="152">
        <v>3</v>
      </c>
      <c r="E12" s="153" t="s">
        <v>206</v>
      </c>
      <c r="F12" s="405">
        <v>2398</v>
      </c>
      <c r="G12" s="154">
        <v>1</v>
      </c>
      <c r="H12" s="155">
        <v>1</v>
      </c>
      <c r="I12" s="500">
        <f t="shared" si="2"/>
        <v>3</v>
      </c>
      <c r="J12" s="501">
        <f t="shared" si="3"/>
        <v>7194</v>
      </c>
      <c r="K12" s="156"/>
      <c r="L12" s="156"/>
      <c r="M12" s="157"/>
      <c r="N12" s="156"/>
      <c r="O12" s="158">
        <v>0</v>
      </c>
      <c r="P12" s="159"/>
      <c r="Q12" s="160"/>
      <c r="R12" s="161"/>
      <c r="S12" s="162"/>
      <c r="T12" s="163" t="s">
        <v>324</v>
      </c>
      <c r="U12" s="164" t="s">
        <v>324</v>
      </c>
      <c r="V12" s="165" t="s">
        <v>324</v>
      </c>
      <c r="W12" s="226"/>
    </row>
    <row r="13" spans="2:23" ht="12.95" customHeight="1">
      <c r="B13" s="820"/>
      <c r="C13" s="246" t="s">
        <v>539</v>
      </c>
      <c r="D13" s="152">
        <v>10</v>
      </c>
      <c r="E13" s="153" t="s">
        <v>217</v>
      </c>
      <c r="F13" s="405">
        <v>193</v>
      </c>
      <c r="G13" s="154">
        <v>1</v>
      </c>
      <c r="H13" s="155">
        <v>1</v>
      </c>
      <c r="I13" s="500">
        <f t="shared" ref="I13" si="4">IF(C13=0,"",D13*1/G13*H13)</f>
        <v>10</v>
      </c>
      <c r="J13" s="501">
        <f t="shared" ref="J13" si="5">IF(C13=0,"",ROUND(F13*I13,0))</f>
        <v>1930</v>
      </c>
      <c r="K13" s="156"/>
      <c r="L13" s="156"/>
      <c r="M13" s="157"/>
      <c r="N13" s="156"/>
      <c r="O13" s="158"/>
      <c r="P13" s="159"/>
      <c r="Q13" s="160"/>
      <c r="R13" s="161"/>
      <c r="S13" s="162"/>
      <c r="T13" s="163"/>
      <c r="U13" s="164"/>
      <c r="V13" s="165"/>
      <c r="W13" s="226"/>
    </row>
    <row r="14" spans="2:23" ht="12.95" customHeight="1">
      <c r="B14" s="820"/>
      <c r="C14" s="246"/>
      <c r="D14" s="152"/>
      <c r="E14" s="153"/>
      <c r="F14" s="405"/>
      <c r="G14" s="154"/>
      <c r="H14" s="155"/>
      <c r="I14" s="500" t="str">
        <f t="shared" si="2"/>
        <v/>
      </c>
      <c r="J14" s="501" t="str">
        <f t="shared" si="3"/>
        <v/>
      </c>
      <c r="K14" s="156"/>
      <c r="L14" s="156"/>
      <c r="M14" s="157"/>
      <c r="N14" s="156"/>
      <c r="O14" s="158"/>
      <c r="P14" s="159"/>
      <c r="Q14" s="160"/>
      <c r="R14" s="161"/>
      <c r="S14" s="162"/>
      <c r="T14" s="163"/>
      <c r="U14" s="164"/>
      <c r="V14" s="165"/>
      <c r="W14" s="226"/>
    </row>
    <row r="15" spans="2:23" ht="12.95" customHeight="1">
      <c r="B15" s="820"/>
      <c r="C15" s="246"/>
      <c r="D15" s="152"/>
      <c r="E15" s="153"/>
      <c r="F15" s="405"/>
      <c r="G15" s="154"/>
      <c r="H15" s="155"/>
      <c r="I15" s="500" t="str">
        <f t="shared" si="2"/>
        <v/>
      </c>
      <c r="J15" s="501" t="str">
        <f t="shared" si="3"/>
        <v/>
      </c>
      <c r="K15" s="156"/>
      <c r="L15" s="156"/>
      <c r="M15" s="157"/>
      <c r="N15" s="156"/>
      <c r="O15" s="158"/>
      <c r="P15" s="159"/>
      <c r="Q15" s="160"/>
      <c r="R15" s="161"/>
      <c r="S15" s="162"/>
      <c r="T15" s="163"/>
      <c r="U15" s="164"/>
      <c r="V15" s="165"/>
      <c r="W15" s="226"/>
    </row>
    <row r="16" spans="2:23" ht="12.95" customHeight="1">
      <c r="B16" s="820"/>
      <c r="C16" s="246"/>
      <c r="D16" s="152"/>
      <c r="E16" s="153"/>
      <c r="F16" s="405"/>
      <c r="G16" s="154"/>
      <c r="H16" s="155"/>
      <c r="I16" s="500" t="str">
        <f t="shared" si="2"/>
        <v/>
      </c>
      <c r="J16" s="501" t="str">
        <f t="shared" si="3"/>
        <v/>
      </c>
      <c r="K16" s="156"/>
      <c r="L16" s="156"/>
      <c r="M16" s="157"/>
      <c r="N16" s="156"/>
      <c r="O16" s="158"/>
      <c r="P16" s="159"/>
      <c r="Q16" s="160"/>
      <c r="R16" s="161"/>
      <c r="S16" s="162"/>
      <c r="T16" s="163"/>
      <c r="U16" s="164"/>
      <c r="V16" s="165"/>
      <c r="W16" s="226"/>
    </row>
    <row r="17" spans="2:23" ht="12.95" customHeight="1">
      <c r="B17" s="820"/>
      <c r="C17" s="246"/>
      <c r="D17" s="152"/>
      <c r="E17" s="153"/>
      <c r="F17" s="405"/>
      <c r="G17" s="154"/>
      <c r="H17" s="155"/>
      <c r="I17" s="500" t="str">
        <f t="shared" si="2"/>
        <v/>
      </c>
      <c r="J17" s="501" t="str">
        <f t="shared" si="3"/>
        <v/>
      </c>
      <c r="K17" s="156"/>
      <c r="L17" s="156"/>
      <c r="M17" s="157"/>
      <c r="N17" s="156"/>
      <c r="O17" s="158"/>
      <c r="P17" s="159"/>
      <c r="Q17" s="160"/>
      <c r="R17" s="161"/>
      <c r="S17" s="162"/>
      <c r="T17" s="163"/>
      <c r="U17" s="164"/>
      <c r="V17" s="165"/>
      <c r="W17" s="226"/>
    </row>
    <row r="18" spans="2:23" ht="12.95" customHeight="1">
      <c r="B18" s="820"/>
      <c r="C18" s="246"/>
      <c r="D18" s="152"/>
      <c r="E18" s="153"/>
      <c r="F18" s="405"/>
      <c r="G18" s="154"/>
      <c r="H18" s="155"/>
      <c r="I18" s="500" t="str">
        <f t="shared" si="2"/>
        <v/>
      </c>
      <c r="J18" s="501" t="str">
        <f t="shared" si="3"/>
        <v/>
      </c>
      <c r="K18" s="156"/>
      <c r="L18" s="156"/>
      <c r="M18" s="157"/>
      <c r="N18" s="156"/>
      <c r="O18" s="158"/>
      <c r="P18" s="159"/>
      <c r="Q18" s="160"/>
      <c r="R18" s="161"/>
      <c r="S18" s="162"/>
      <c r="T18" s="163"/>
      <c r="U18" s="164"/>
      <c r="V18" s="165"/>
      <c r="W18" s="226"/>
    </row>
    <row r="19" spans="2:23" ht="12.95" customHeight="1" thickBot="1">
      <c r="B19" s="820"/>
      <c r="C19" s="247"/>
      <c r="D19" s="228"/>
      <c r="E19" s="229"/>
      <c r="F19" s="403"/>
      <c r="G19" s="230"/>
      <c r="H19" s="231"/>
      <c r="I19" s="346" t="str">
        <f t="shared" si="2"/>
        <v/>
      </c>
      <c r="J19" s="499" t="str">
        <f t="shared" si="3"/>
        <v/>
      </c>
      <c r="K19" s="232"/>
      <c r="L19" s="232"/>
      <c r="M19" s="233"/>
      <c r="N19" s="232"/>
      <c r="O19" s="234"/>
      <c r="P19" s="235"/>
      <c r="Q19" s="236"/>
      <c r="R19" s="237"/>
      <c r="S19" s="238"/>
      <c r="T19" s="239"/>
      <c r="U19" s="240"/>
      <c r="V19" s="241"/>
      <c r="W19" s="242"/>
    </row>
    <row r="20" spans="2:23" ht="12.95" customHeight="1" thickTop="1" thickBot="1">
      <c r="B20" s="821"/>
      <c r="C20" s="491" t="s">
        <v>327</v>
      </c>
      <c r="D20" s="227"/>
      <c r="E20" s="320"/>
      <c r="F20" s="404"/>
      <c r="G20" s="321"/>
      <c r="H20" s="322"/>
      <c r="I20" s="331"/>
      <c r="J20" s="496">
        <f>SUM(J10:J19)</f>
        <v>185091</v>
      </c>
      <c r="K20" s="323"/>
      <c r="L20" s="323"/>
      <c r="M20" s="324"/>
      <c r="N20" s="323"/>
      <c r="O20" s="325"/>
      <c r="P20" s="326"/>
      <c r="Q20" s="327"/>
      <c r="R20" s="328"/>
      <c r="S20" s="329"/>
      <c r="T20" s="492"/>
      <c r="U20" s="331"/>
      <c r="V20" s="332"/>
      <c r="W20" s="333"/>
    </row>
    <row r="21" spans="2:23" ht="12.95" customHeight="1">
      <c r="B21" s="811" t="s">
        <v>101</v>
      </c>
      <c r="C21" s="210" t="s">
        <v>554</v>
      </c>
      <c r="D21" s="211">
        <v>1</v>
      </c>
      <c r="E21" s="212" t="s">
        <v>217</v>
      </c>
      <c r="F21" s="401">
        <v>4434</v>
      </c>
      <c r="G21" s="213">
        <v>1</v>
      </c>
      <c r="H21" s="214">
        <v>1</v>
      </c>
      <c r="I21" s="343">
        <f t="shared" ref="I21:I58" si="6">IF(C21=0,"",D21*1/G21*H21)</f>
        <v>1</v>
      </c>
      <c r="J21" s="497">
        <f t="shared" si="3"/>
        <v>4434</v>
      </c>
      <c r="K21" s="215"/>
      <c r="L21" s="215"/>
      <c r="M21" s="216"/>
      <c r="N21" s="215"/>
      <c r="O21" s="217">
        <v>0</v>
      </c>
      <c r="P21" s="218"/>
      <c r="Q21" s="219"/>
      <c r="R21" s="220"/>
      <c r="S21" s="221"/>
      <c r="T21" s="222" t="s">
        <v>324</v>
      </c>
      <c r="U21" s="223" t="s">
        <v>324</v>
      </c>
      <c r="V21" s="224" t="s">
        <v>324</v>
      </c>
      <c r="W21" s="225"/>
    </row>
    <row r="22" spans="2:23" ht="12.95" customHeight="1">
      <c r="B22" s="812"/>
      <c r="C22" s="167" t="s">
        <v>553</v>
      </c>
      <c r="D22" s="152">
        <v>2</v>
      </c>
      <c r="E22" s="153" t="s">
        <v>100</v>
      </c>
      <c r="F22" s="405">
        <v>906</v>
      </c>
      <c r="G22" s="154">
        <v>1</v>
      </c>
      <c r="H22" s="155">
        <v>1</v>
      </c>
      <c r="I22" s="500">
        <f t="shared" si="6"/>
        <v>2</v>
      </c>
      <c r="J22" s="501">
        <f t="shared" si="3"/>
        <v>1812</v>
      </c>
      <c r="K22" s="156"/>
      <c r="L22" s="156"/>
      <c r="M22" s="157"/>
      <c r="N22" s="156"/>
      <c r="O22" s="158">
        <v>0</v>
      </c>
      <c r="P22" s="159"/>
      <c r="Q22" s="160"/>
      <c r="R22" s="161"/>
      <c r="S22" s="162"/>
      <c r="T22" s="163" t="s">
        <v>324</v>
      </c>
      <c r="U22" s="164" t="s">
        <v>324</v>
      </c>
      <c r="V22" s="165" t="s">
        <v>324</v>
      </c>
      <c r="W22" s="226"/>
    </row>
    <row r="23" spans="2:23" ht="12.95" customHeight="1">
      <c r="B23" s="812"/>
      <c r="C23" s="167" t="s">
        <v>552</v>
      </c>
      <c r="D23" s="152">
        <v>2</v>
      </c>
      <c r="E23" s="153" t="s">
        <v>100</v>
      </c>
      <c r="F23" s="405">
        <v>1748</v>
      </c>
      <c r="G23" s="154">
        <v>1</v>
      </c>
      <c r="H23" s="155">
        <v>1</v>
      </c>
      <c r="I23" s="500">
        <f t="shared" si="6"/>
        <v>2</v>
      </c>
      <c r="J23" s="501">
        <f t="shared" si="3"/>
        <v>3496</v>
      </c>
      <c r="K23" s="156"/>
      <c r="L23" s="156"/>
      <c r="M23" s="157"/>
      <c r="N23" s="156"/>
      <c r="O23" s="158">
        <v>0</v>
      </c>
      <c r="P23" s="159"/>
      <c r="Q23" s="160"/>
      <c r="R23" s="161"/>
      <c r="S23" s="162"/>
      <c r="T23" s="163" t="s">
        <v>324</v>
      </c>
      <c r="U23" s="164" t="s">
        <v>324</v>
      </c>
      <c r="V23" s="165" t="s">
        <v>324</v>
      </c>
      <c r="W23" s="226"/>
    </row>
    <row r="24" spans="2:23" ht="12.95" customHeight="1">
      <c r="B24" s="812"/>
      <c r="C24" s="167" t="s">
        <v>564</v>
      </c>
      <c r="D24" s="152">
        <v>1</v>
      </c>
      <c r="E24" s="153" t="s">
        <v>100</v>
      </c>
      <c r="F24" s="405">
        <v>2312</v>
      </c>
      <c r="G24" s="154">
        <v>1</v>
      </c>
      <c r="H24" s="155">
        <v>1</v>
      </c>
      <c r="I24" s="500">
        <f t="shared" si="6"/>
        <v>1</v>
      </c>
      <c r="J24" s="501">
        <f t="shared" si="3"/>
        <v>2312</v>
      </c>
      <c r="K24" s="156"/>
      <c r="L24" s="156"/>
      <c r="M24" s="157"/>
      <c r="N24" s="156"/>
      <c r="O24" s="158">
        <v>0</v>
      </c>
      <c r="P24" s="159"/>
      <c r="Q24" s="160"/>
      <c r="R24" s="161"/>
      <c r="S24" s="162"/>
      <c r="T24" s="163" t="s">
        <v>324</v>
      </c>
      <c r="U24" s="164" t="s">
        <v>324</v>
      </c>
      <c r="V24" s="165" t="s">
        <v>324</v>
      </c>
      <c r="W24" s="226"/>
    </row>
    <row r="25" spans="2:23" ht="12.95" customHeight="1">
      <c r="B25" s="812"/>
      <c r="C25" s="167" t="s">
        <v>563</v>
      </c>
      <c r="D25" s="152">
        <v>2</v>
      </c>
      <c r="E25" s="153" t="s">
        <v>100</v>
      </c>
      <c r="F25" s="405">
        <v>1650</v>
      </c>
      <c r="G25" s="154">
        <v>1</v>
      </c>
      <c r="H25" s="155">
        <v>1</v>
      </c>
      <c r="I25" s="500">
        <f t="shared" si="6"/>
        <v>2</v>
      </c>
      <c r="J25" s="501">
        <f t="shared" si="3"/>
        <v>3300</v>
      </c>
      <c r="K25" s="156"/>
      <c r="L25" s="156"/>
      <c r="M25" s="157"/>
      <c r="N25" s="156"/>
      <c r="O25" s="158">
        <v>0</v>
      </c>
      <c r="P25" s="159"/>
      <c r="Q25" s="160"/>
      <c r="R25" s="161"/>
      <c r="S25" s="162"/>
      <c r="T25" s="163" t="s">
        <v>324</v>
      </c>
      <c r="U25" s="164" t="s">
        <v>324</v>
      </c>
      <c r="V25" s="165" t="s">
        <v>324</v>
      </c>
      <c r="W25" s="226"/>
    </row>
    <row r="26" spans="2:23" ht="12.95" customHeight="1">
      <c r="B26" s="812"/>
      <c r="C26" s="167" t="s">
        <v>562</v>
      </c>
      <c r="D26" s="152">
        <v>1</v>
      </c>
      <c r="E26" s="153" t="s">
        <v>100</v>
      </c>
      <c r="F26" s="405">
        <v>1836</v>
      </c>
      <c r="G26" s="154">
        <v>1</v>
      </c>
      <c r="H26" s="155">
        <v>1</v>
      </c>
      <c r="I26" s="500">
        <f t="shared" si="6"/>
        <v>1</v>
      </c>
      <c r="J26" s="501">
        <f t="shared" si="3"/>
        <v>1836</v>
      </c>
      <c r="K26" s="156"/>
      <c r="L26" s="156"/>
      <c r="M26" s="157"/>
      <c r="N26" s="156"/>
      <c r="O26" s="158">
        <v>0</v>
      </c>
      <c r="P26" s="159"/>
      <c r="Q26" s="160"/>
      <c r="R26" s="161"/>
      <c r="S26" s="162"/>
      <c r="T26" s="163" t="s">
        <v>324</v>
      </c>
      <c r="U26" s="164" t="s">
        <v>324</v>
      </c>
      <c r="V26" s="165" t="s">
        <v>324</v>
      </c>
      <c r="W26" s="226"/>
    </row>
    <row r="27" spans="2:23" ht="12.95" customHeight="1">
      <c r="B27" s="812"/>
      <c r="C27" s="167" t="s">
        <v>561</v>
      </c>
      <c r="D27" s="152">
        <v>1</v>
      </c>
      <c r="E27" s="153" t="s">
        <v>100</v>
      </c>
      <c r="F27" s="405">
        <v>3212</v>
      </c>
      <c r="G27" s="154">
        <v>1</v>
      </c>
      <c r="H27" s="155">
        <v>1</v>
      </c>
      <c r="I27" s="500">
        <f t="shared" si="6"/>
        <v>1</v>
      </c>
      <c r="J27" s="501">
        <f t="shared" si="3"/>
        <v>3212</v>
      </c>
      <c r="K27" s="156"/>
      <c r="L27" s="156"/>
      <c r="M27" s="157"/>
      <c r="N27" s="156"/>
      <c r="O27" s="158">
        <v>0</v>
      </c>
      <c r="P27" s="159"/>
      <c r="Q27" s="160"/>
      <c r="R27" s="161"/>
      <c r="S27" s="162"/>
      <c r="T27" s="163" t="s">
        <v>324</v>
      </c>
      <c r="U27" s="164" t="s">
        <v>324</v>
      </c>
      <c r="V27" s="165" t="s">
        <v>324</v>
      </c>
      <c r="W27" s="250"/>
    </row>
    <row r="28" spans="2:23" ht="12.95" customHeight="1">
      <c r="B28" s="812"/>
      <c r="C28" s="167" t="s">
        <v>560</v>
      </c>
      <c r="D28" s="152">
        <v>2</v>
      </c>
      <c r="E28" s="153" t="s">
        <v>100</v>
      </c>
      <c r="F28" s="405">
        <v>8528</v>
      </c>
      <c r="G28" s="154">
        <v>1</v>
      </c>
      <c r="H28" s="155">
        <v>1</v>
      </c>
      <c r="I28" s="500">
        <f t="shared" si="6"/>
        <v>2</v>
      </c>
      <c r="J28" s="501">
        <f t="shared" si="3"/>
        <v>17056</v>
      </c>
      <c r="K28" s="156"/>
      <c r="L28" s="156"/>
      <c r="M28" s="157"/>
      <c r="N28" s="156"/>
      <c r="O28" s="158">
        <v>0</v>
      </c>
      <c r="P28" s="159"/>
      <c r="Q28" s="160"/>
      <c r="R28" s="161"/>
      <c r="S28" s="162"/>
      <c r="T28" s="163" t="s">
        <v>324</v>
      </c>
      <c r="U28" s="164" t="s">
        <v>324</v>
      </c>
      <c r="V28" s="165" t="s">
        <v>324</v>
      </c>
      <c r="W28" s="250"/>
    </row>
    <row r="29" spans="2:23" ht="12.95" customHeight="1">
      <c r="B29" s="812"/>
      <c r="C29" s="167" t="s">
        <v>538</v>
      </c>
      <c r="D29" s="152">
        <v>3.1</v>
      </c>
      <c r="E29" s="153" t="s">
        <v>114</v>
      </c>
      <c r="F29" s="405">
        <v>1187</v>
      </c>
      <c r="G29" s="154">
        <v>1</v>
      </c>
      <c r="H29" s="155">
        <v>1</v>
      </c>
      <c r="I29" s="500">
        <f t="shared" si="6"/>
        <v>3.1</v>
      </c>
      <c r="J29" s="501">
        <f t="shared" si="3"/>
        <v>3680</v>
      </c>
      <c r="K29" s="156"/>
      <c r="L29" s="156"/>
      <c r="M29" s="157"/>
      <c r="N29" s="156"/>
      <c r="O29" s="158">
        <v>0</v>
      </c>
      <c r="P29" s="159"/>
      <c r="Q29" s="160"/>
      <c r="R29" s="161"/>
      <c r="S29" s="162"/>
      <c r="T29" s="163" t="s">
        <v>324</v>
      </c>
      <c r="U29" s="164" t="s">
        <v>324</v>
      </c>
      <c r="V29" s="165" t="s">
        <v>324</v>
      </c>
      <c r="W29" s="250"/>
    </row>
    <row r="30" spans="2:23" ht="12.95" customHeight="1">
      <c r="B30" s="812"/>
      <c r="C30" s="167" t="s">
        <v>559</v>
      </c>
      <c r="D30" s="152">
        <v>1</v>
      </c>
      <c r="E30" s="153" t="s">
        <v>217</v>
      </c>
      <c r="F30" s="405">
        <v>7324</v>
      </c>
      <c r="G30" s="154">
        <v>1</v>
      </c>
      <c r="H30" s="155">
        <v>1</v>
      </c>
      <c r="I30" s="500">
        <f t="shared" si="6"/>
        <v>1</v>
      </c>
      <c r="J30" s="501">
        <f t="shared" si="3"/>
        <v>7324</v>
      </c>
      <c r="K30" s="156"/>
      <c r="L30" s="156"/>
      <c r="M30" s="157"/>
      <c r="N30" s="156"/>
      <c r="O30" s="158">
        <v>0</v>
      </c>
      <c r="P30" s="159"/>
      <c r="Q30" s="160"/>
      <c r="R30" s="161"/>
      <c r="S30" s="162"/>
      <c r="T30" s="163" t="s">
        <v>324</v>
      </c>
      <c r="U30" s="164" t="s">
        <v>324</v>
      </c>
      <c r="V30" s="165" t="s">
        <v>324</v>
      </c>
      <c r="W30" s="250"/>
    </row>
    <row r="31" spans="2:23" ht="12.95" customHeight="1">
      <c r="B31" s="812"/>
      <c r="C31" s="167" t="s">
        <v>558</v>
      </c>
      <c r="D31" s="152">
        <v>1</v>
      </c>
      <c r="E31" s="153" t="s">
        <v>217</v>
      </c>
      <c r="F31" s="405">
        <v>1880</v>
      </c>
      <c r="G31" s="154">
        <v>1</v>
      </c>
      <c r="H31" s="155">
        <v>1</v>
      </c>
      <c r="I31" s="500">
        <f t="shared" si="6"/>
        <v>1</v>
      </c>
      <c r="J31" s="501">
        <f t="shared" si="3"/>
        <v>1880</v>
      </c>
      <c r="K31" s="156"/>
      <c r="L31" s="156"/>
      <c r="M31" s="157"/>
      <c r="N31" s="156"/>
      <c r="O31" s="158">
        <v>0</v>
      </c>
      <c r="P31" s="159"/>
      <c r="Q31" s="160"/>
      <c r="R31" s="161"/>
      <c r="S31" s="162"/>
      <c r="T31" s="163" t="s">
        <v>324</v>
      </c>
      <c r="U31" s="164" t="s">
        <v>324</v>
      </c>
      <c r="V31" s="165" t="s">
        <v>324</v>
      </c>
      <c r="W31" s="250"/>
    </row>
    <row r="32" spans="2:23" ht="12.95" customHeight="1">
      <c r="B32" s="812"/>
      <c r="C32" s="167" t="s">
        <v>555</v>
      </c>
      <c r="D32" s="152">
        <v>1</v>
      </c>
      <c r="E32" s="153" t="s">
        <v>217</v>
      </c>
      <c r="F32" s="405">
        <v>2246</v>
      </c>
      <c r="G32" s="154">
        <v>1</v>
      </c>
      <c r="H32" s="155">
        <v>1</v>
      </c>
      <c r="I32" s="500">
        <f t="shared" si="6"/>
        <v>1</v>
      </c>
      <c r="J32" s="501">
        <f t="shared" si="3"/>
        <v>2246</v>
      </c>
      <c r="K32" s="156"/>
      <c r="L32" s="156"/>
      <c r="M32" s="157"/>
      <c r="N32" s="156"/>
      <c r="O32" s="158">
        <v>0</v>
      </c>
      <c r="P32" s="159"/>
      <c r="Q32" s="160"/>
      <c r="R32" s="161"/>
      <c r="S32" s="162"/>
      <c r="T32" s="163" t="s">
        <v>324</v>
      </c>
      <c r="U32" s="164" t="s">
        <v>324</v>
      </c>
      <c r="V32" s="165" t="s">
        <v>324</v>
      </c>
      <c r="W32" s="250"/>
    </row>
    <row r="33" spans="2:23" ht="12.95" customHeight="1">
      <c r="B33" s="812"/>
      <c r="C33" s="167" t="s">
        <v>557</v>
      </c>
      <c r="D33" s="152">
        <v>1</v>
      </c>
      <c r="E33" s="153" t="s">
        <v>100</v>
      </c>
      <c r="F33" s="405">
        <v>5940</v>
      </c>
      <c r="G33" s="154">
        <v>1</v>
      </c>
      <c r="H33" s="155">
        <v>1</v>
      </c>
      <c r="I33" s="500">
        <f t="shared" si="6"/>
        <v>1</v>
      </c>
      <c r="J33" s="501">
        <f t="shared" si="3"/>
        <v>5940</v>
      </c>
      <c r="K33" s="156"/>
      <c r="L33" s="156"/>
      <c r="M33" s="157"/>
      <c r="N33" s="156"/>
      <c r="O33" s="158">
        <v>0</v>
      </c>
      <c r="P33" s="159"/>
      <c r="Q33" s="160"/>
      <c r="R33" s="161"/>
      <c r="S33" s="162"/>
      <c r="T33" s="163" t="s">
        <v>324</v>
      </c>
      <c r="U33" s="164" t="s">
        <v>324</v>
      </c>
      <c r="V33" s="165" t="s">
        <v>324</v>
      </c>
      <c r="W33" s="226"/>
    </row>
    <row r="34" spans="2:23" ht="12.95" customHeight="1">
      <c r="B34" s="812"/>
      <c r="C34" s="167" t="s">
        <v>556</v>
      </c>
      <c r="D34" s="152">
        <v>1</v>
      </c>
      <c r="E34" s="153" t="s">
        <v>100</v>
      </c>
      <c r="F34" s="405">
        <v>3830</v>
      </c>
      <c r="G34" s="154">
        <v>1</v>
      </c>
      <c r="H34" s="155">
        <v>1</v>
      </c>
      <c r="I34" s="500">
        <f t="shared" si="6"/>
        <v>1</v>
      </c>
      <c r="J34" s="501">
        <f t="shared" si="3"/>
        <v>3830</v>
      </c>
      <c r="K34" s="156"/>
      <c r="L34" s="156"/>
      <c r="M34" s="157"/>
      <c r="N34" s="156"/>
      <c r="O34" s="158">
        <v>0</v>
      </c>
      <c r="P34" s="159"/>
      <c r="Q34" s="160"/>
      <c r="R34" s="161"/>
      <c r="S34" s="162"/>
      <c r="T34" s="163" t="s">
        <v>324</v>
      </c>
      <c r="U34" s="164" t="s">
        <v>324</v>
      </c>
      <c r="V34" s="165" t="s">
        <v>324</v>
      </c>
      <c r="W34" s="226"/>
    </row>
    <row r="35" spans="2:23" ht="12.95" customHeight="1">
      <c r="B35" s="812"/>
      <c r="C35" s="167"/>
      <c r="D35" s="152"/>
      <c r="E35" s="153"/>
      <c r="F35" s="405"/>
      <c r="G35" s="154"/>
      <c r="H35" s="155"/>
      <c r="I35" s="500"/>
      <c r="J35" s="501"/>
      <c r="K35" s="156"/>
      <c r="L35" s="156"/>
      <c r="M35" s="157"/>
      <c r="N35" s="156"/>
      <c r="O35" s="158">
        <v>0</v>
      </c>
      <c r="P35" s="159"/>
      <c r="Q35" s="160"/>
      <c r="R35" s="161"/>
      <c r="S35" s="162"/>
      <c r="T35" s="163" t="s">
        <v>324</v>
      </c>
      <c r="U35" s="164" t="s">
        <v>324</v>
      </c>
      <c r="V35" s="165" t="s">
        <v>324</v>
      </c>
      <c r="W35" s="226"/>
    </row>
    <row r="36" spans="2:23" ht="12.95" customHeight="1">
      <c r="B36" s="812"/>
      <c r="C36" s="167" t="s">
        <v>566</v>
      </c>
      <c r="D36" s="152">
        <v>1</v>
      </c>
      <c r="E36" s="153" t="s">
        <v>217</v>
      </c>
      <c r="F36" s="405">
        <v>1870</v>
      </c>
      <c r="G36" s="154">
        <v>1</v>
      </c>
      <c r="H36" s="155">
        <v>1</v>
      </c>
      <c r="I36" s="500">
        <f t="shared" ref="I36" si="7">IF(C36=0,"",D36*1/G36*H36)</f>
        <v>1</v>
      </c>
      <c r="J36" s="501">
        <f t="shared" ref="J36" si="8">IF(C36=0,"",ROUND(F36*I36,0))</f>
        <v>1870</v>
      </c>
      <c r="K36" s="156"/>
      <c r="L36" s="156"/>
      <c r="M36" s="157"/>
      <c r="N36" s="156"/>
      <c r="O36" s="158"/>
      <c r="P36" s="159"/>
      <c r="Q36" s="160"/>
      <c r="R36" s="161"/>
      <c r="S36" s="162"/>
      <c r="T36" s="163"/>
      <c r="U36" s="164"/>
      <c r="V36" s="165"/>
      <c r="W36" s="226"/>
    </row>
    <row r="37" spans="2:23" ht="12.95" customHeight="1">
      <c r="B37" s="812"/>
      <c r="C37" s="167"/>
      <c r="D37" s="152"/>
      <c r="E37" s="153"/>
      <c r="F37" s="405"/>
      <c r="G37" s="154"/>
      <c r="H37" s="155"/>
      <c r="I37" s="500" t="str">
        <f t="shared" si="6"/>
        <v/>
      </c>
      <c r="J37" s="501" t="str">
        <f t="shared" si="3"/>
        <v/>
      </c>
      <c r="K37" s="156"/>
      <c r="L37" s="156"/>
      <c r="M37" s="157"/>
      <c r="N37" s="156"/>
      <c r="O37" s="158"/>
      <c r="P37" s="159"/>
      <c r="Q37" s="160"/>
      <c r="R37" s="161"/>
      <c r="S37" s="162"/>
      <c r="T37" s="163"/>
      <c r="U37" s="164"/>
      <c r="V37" s="165"/>
      <c r="W37" s="226"/>
    </row>
    <row r="38" spans="2:23" ht="12.95" customHeight="1">
      <c r="B38" s="812"/>
      <c r="C38" s="167"/>
      <c r="D38" s="152"/>
      <c r="E38" s="153"/>
      <c r="F38" s="405"/>
      <c r="G38" s="154"/>
      <c r="H38" s="155"/>
      <c r="I38" s="500" t="str">
        <f t="shared" si="6"/>
        <v/>
      </c>
      <c r="J38" s="501" t="str">
        <f t="shared" si="3"/>
        <v/>
      </c>
      <c r="K38" s="156"/>
      <c r="L38" s="156"/>
      <c r="M38" s="157"/>
      <c r="N38" s="156"/>
      <c r="O38" s="158"/>
      <c r="P38" s="159"/>
      <c r="Q38" s="160"/>
      <c r="R38" s="161"/>
      <c r="S38" s="162"/>
      <c r="T38" s="163"/>
      <c r="U38" s="164"/>
      <c r="V38" s="165"/>
      <c r="W38" s="226"/>
    </row>
    <row r="39" spans="2:23" ht="12.95" customHeight="1">
      <c r="B39" s="812"/>
      <c r="C39" s="168"/>
      <c r="D39" s="169"/>
      <c r="E39" s="170"/>
      <c r="F39" s="402"/>
      <c r="G39" s="172"/>
      <c r="H39" s="173"/>
      <c r="I39" s="345" t="str">
        <f t="shared" si="6"/>
        <v/>
      </c>
      <c r="J39" s="498" t="str">
        <f t="shared" si="3"/>
        <v/>
      </c>
      <c r="K39" s="174"/>
      <c r="L39" s="174"/>
      <c r="M39" s="175"/>
      <c r="N39" s="174"/>
      <c r="O39" s="176"/>
      <c r="P39" s="177"/>
      <c r="Q39" s="178"/>
      <c r="R39" s="179"/>
      <c r="S39" s="180"/>
      <c r="T39" s="181"/>
      <c r="U39" s="182"/>
      <c r="V39" s="183"/>
      <c r="W39" s="226"/>
    </row>
    <row r="40" spans="2:23" ht="12.95" customHeight="1">
      <c r="B40" s="812"/>
      <c r="C40" s="166"/>
      <c r="D40" s="169"/>
      <c r="E40" s="170"/>
      <c r="F40" s="402"/>
      <c r="G40" s="172"/>
      <c r="H40" s="173"/>
      <c r="I40" s="345" t="str">
        <f t="shared" si="6"/>
        <v/>
      </c>
      <c r="J40" s="498" t="str">
        <f t="shared" si="3"/>
        <v/>
      </c>
      <c r="K40" s="174"/>
      <c r="L40" s="174"/>
      <c r="M40" s="175"/>
      <c r="N40" s="174"/>
      <c r="O40" s="176"/>
      <c r="P40" s="177"/>
      <c r="Q40" s="178"/>
      <c r="R40" s="179"/>
      <c r="S40" s="180"/>
      <c r="T40" s="181"/>
      <c r="U40" s="182"/>
      <c r="V40" s="183"/>
      <c r="W40" s="250"/>
    </row>
    <row r="41" spans="2:23" ht="12.95" hidden="1" customHeight="1" outlineLevel="1">
      <c r="B41" s="812"/>
      <c r="C41" s="184"/>
      <c r="D41" s="169"/>
      <c r="E41" s="185"/>
      <c r="F41" s="402"/>
      <c r="G41" s="172"/>
      <c r="H41" s="173"/>
      <c r="I41" s="345" t="str">
        <f t="shared" si="6"/>
        <v/>
      </c>
      <c r="J41" s="498" t="str">
        <f t="shared" si="3"/>
        <v/>
      </c>
      <c r="K41" s="174"/>
      <c r="L41" s="174"/>
      <c r="M41" s="175"/>
      <c r="N41" s="174"/>
      <c r="O41" s="176"/>
      <c r="P41" s="177"/>
      <c r="Q41" s="178"/>
      <c r="R41" s="179"/>
      <c r="S41" s="180"/>
      <c r="T41" s="181"/>
      <c r="U41" s="182"/>
      <c r="V41" s="183"/>
      <c r="W41" s="250"/>
    </row>
    <row r="42" spans="2:23" ht="12.95" hidden="1" customHeight="1" outlineLevel="1">
      <c r="B42" s="812"/>
      <c r="C42" s="207"/>
      <c r="D42" s="171"/>
      <c r="E42" s="197"/>
      <c r="F42" s="406"/>
      <c r="G42" s="208"/>
      <c r="H42" s="209"/>
      <c r="I42" s="502" t="str">
        <f t="shared" si="6"/>
        <v/>
      </c>
      <c r="J42" s="503" t="str">
        <f t="shared" si="3"/>
        <v/>
      </c>
      <c r="K42" s="174"/>
      <c r="L42" s="174"/>
      <c r="M42" s="175"/>
      <c r="N42" s="174"/>
      <c r="O42" s="176"/>
      <c r="P42" s="177"/>
      <c r="Q42" s="178"/>
      <c r="R42" s="179"/>
      <c r="S42" s="180"/>
      <c r="T42" s="181"/>
      <c r="U42" s="182"/>
      <c r="V42" s="183"/>
      <c r="W42" s="251"/>
    </row>
    <row r="43" spans="2:23" ht="12.95" hidden="1" customHeight="1" outlineLevel="1">
      <c r="B43" s="812"/>
      <c r="C43" s="184"/>
      <c r="D43" s="169"/>
      <c r="E43" s="170"/>
      <c r="F43" s="402"/>
      <c r="G43" s="172"/>
      <c r="H43" s="173"/>
      <c r="I43" s="345" t="str">
        <f t="shared" si="6"/>
        <v/>
      </c>
      <c r="J43" s="498" t="str">
        <f t="shared" si="3"/>
        <v/>
      </c>
      <c r="K43" s="174"/>
      <c r="L43" s="174"/>
      <c r="M43" s="175"/>
      <c r="N43" s="174"/>
      <c r="O43" s="176"/>
      <c r="P43" s="177"/>
      <c r="Q43" s="178"/>
      <c r="R43" s="179"/>
      <c r="S43" s="180"/>
      <c r="T43" s="181"/>
      <c r="U43" s="182"/>
      <c r="V43" s="183"/>
      <c r="W43" s="250"/>
    </row>
    <row r="44" spans="2:23" ht="12.95" hidden="1" customHeight="1" outlineLevel="1">
      <c r="B44" s="812"/>
      <c r="C44" s="184"/>
      <c r="D44" s="169"/>
      <c r="E44" s="185"/>
      <c r="F44" s="402"/>
      <c r="G44" s="172"/>
      <c r="H44" s="173"/>
      <c r="I44" s="345" t="str">
        <f t="shared" si="6"/>
        <v/>
      </c>
      <c r="J44" s="498" t="str">
        <f t="shared" si="3"/>
        <v/>
      </c>
      <c r="K44" s="174"/>
      <c r="L44" s="174"/>
      <c r="M44" s="175"/>
      <c r="N44" s="174"/>
      <c r="O44" s="176"/>
      <c r="P44" s="177"/>
      <c r="Q44" s="178"/>
      <c r="R44" s="179"/>
      <c r="S44" s="180"/>
      <c r="T44" s="181"/>
      <c r="U44" s="182"/>
      <c r="V44" s="183"/>
      <c r="W44" s="226"/>
    </row>
    <row r="45" spans="2:23" ht="12.95" hidden="1" customHeight="1" outlineLevel="1">
      <c r="B45" s="812"/>
      <c r="C45" s="184"/>
      <c r="D45" s="169"/>
      <c r="E45" s="185"/>
      <c r="F45" s="402"/>
      <c r="G45" s="172"/>
      <c r="H45" s="173"/>
      <c r="I45" s="345" t="str">
        <f t="shared" si="6"/>
        <v/>
      </c>
      <c r="J45" s="498" t="str">
        <f t="shared" si="3"/>
        <v/>
      </c>
      <c r="K45" s="174"/>
      <c r="L45" s="174"/>
      <c r="M45" s="175"/>
      <c r="N45" s="174"/>
      <c r="O45" s="176"/>
      <c r="P45" s="177"/>
      <c r="Q45" s="178"/>
      <c r="R45" s="179"/>
      <c r="S45" s="180"/>
      <c r="T45" s="181"/>
      <c r="U45" s="182"/>
      <c r="V45" s="183"/>
      <c r="W45" s="226"/>
    </row>
    <row r="46" spans="2:23" ht="12.95" hidden="1" customHeight="1" outlineLevel="1">
      <c r="B46" s="812"/>
      <c r="C46" s="184"/>
      <c r="D46" s="169"/>
      <c r="E46" s="185"/>
      <c r="F46" s="402"/>
      <c r="G46" s="172"/>
      <c r="H46" s="173"/>
      <c r="I46" s="345" t="str">
        <f t="shared" si="6"/>
        <v/>
      </c>
      <c r="J46" s="498" t="str">
        <f t="shared" si="3"/>
        <v/>
      </c>
      <c r="K46" s="174"/>
      <c r="L46" s="174"/>
      <c r="M46" s="175"/>
      <c r="N46" s="174"/>
      <c r="O46" s="176"/>
      <c r="P46" s="177"/>
      <c r="Q46" s="178"/>
      <c r="R46" s="179"/>
      <c r="S46" s="180"/>
      <c r="T46" s="181"/>
      <c r="U46" s="182"/>
      <c r="V46" s="183"/>
      <c r="W46" s="226"/>
    </row>
    <row r="47" spans="2:23" ht="12.95" hidden="1" customHeight="1" outlineLevel="1">
      <c r="B47" s="812"/>
      <c r="C47" s="184"/>
      <c r="D47" s="169"/>
      <c r="E47" s="170"/>
      <c r="F47" s="402"/>
      <c r="G47" s="172"/>
      <c r="H47" s="173"/>
      <c r="I47" s="345" t="str">
        <f t="shared" si="6"/>
        <v/>
      </c>
      <c r="J47" s="498" t="str">
        <f t="shared" si="3"/>
        <v/>
      </c>
      <c r="K47" s="174"/>
      <c r="L47" s="174"/>
      <c r="M47" s="175"/>
      <c r="N47" s="174"/>
      <c r="O47" s="176"/>
      <c r="P47" s="177"/>
      <c r="Q47" s="178"/>
      <c r="R47" s="179"/>
      <c r="S47" s="180"/>
      <c r="T47" s="181"/>
      <c r="U47" s="182"/>
      <c r="V47" s="183"/>
      <c r="W47" s="250"/>
    </row>
    <row r="48" spans="2:23" ht="12.95" hidden="1" customHeight="1" outlineLevel="1">
      <c r="B48" s="812"/>
      <c r="C48" s="184"/>
      <c r="D48" s="169"/>
      <c r="E48" s="185"/>
      <c r="F48" s="402"/>
      <c r="G48" s="172"/>
      <c r="H48" s="173"/>
      <c r="I48" s="345" t="str">
        <f t="shared" si="6"/>
        <v/>
      </c>
      <c r="J48" s="498" t="str">
        <f t="shared" si="3"/>
        <v/>
      </c>
      <c r="K48" s="174"/>
      <c r="L48" s="174"/>
      <c r="M48" s="175"/>
      <c r="N48" s="174"/>
      <c r="O48" s="176"/>
      <c r="P48" s="177"/>
      <c r="Q48" s="178"/>
      <c r="R48" s="179"/>
      <c r="S48" s="180"/>
      <c r="T48" s="181"/>
      <c r="U48" s="182"/>
      <c r="V48" s="183"/>
      <c r="W48" s="250"/>
    </row>
    <row r="49" spans="2:23" ht="12.95" hidden="1" customHeight="1" outlineLevel="1">
      <c r="B49" s="812"/>
      <c r="C49" s="184"/>
      <c r="D49" s="169"/>
      <c r="E49" s="185"/>
      <c r="F49" s="402"/>
      <c r="G49" s="172"/>
      <c r="H49" s="173"/>
      <c r="I49" s="345" t="str">
        <f t="shared" si="6"/>
        <v/>
      </c>
      <c r="J49" s="498" t="str">
        <f t="shared" si="3"/>
        <v/>
      </c>
      <c r="K49" s="174"/>
      <c r="L49" s="174"/>
      <c r="M49" s="175"/>
      <c r="N49" s="174"/>
      <c r="O49" s="176"/>
      <c r="P49" s="177"/>
      <c r="Q49" s="178"/>
      <c r="R49" s="179"/>
      <c r="S49" s="180"/>
      <c r="T49" s="181"/>
      <c r="U49" s="182"/>
      <c r="V49" s="183"/>
      <c r="W49" s="250"/>
    </row>
    <row r="50" spans="2:23" ht="12.95" hidden="1" customHeight="1" outlineLevel="1">
      <c r="B50" s="812"/>
      <c r="C50" s="184"/>
      <c r="D50" s="169"/>
      <c r="E50" s="197"/>
      <c r="F50" s="406"/>
      <c r="G50" s="172"/>
      <c r="H50" s="173"/>
      <c r="I50" s="345" t="str">
        <f t="shared" si="6"/>
        <v/>
      </c>
      <c r="J50" s="498" t="str">
        <f t="shared" si="3"/>
        <v/>
      </c>
      <c r="K50" s="174"/>
      <c r="L50" s="174"/>
      <c r="M50" s="175"/>
      <c r="N50" s="174"/>
      <c r="O50" s="176"/>
      <c r="P50" s="177"/>
      <c r="Q50" s="178"/>
      <c r="R50" s="179"/>
      <c r="S50" s="180"/>
      <c r="T50" s="181"/>
      <c r="U50" s="182"/>
      <c r="V50" s="183"/>
      <c r="W50" s="250"/>
    </row>
    <row r="51" spans="2:23" ht="12.95" hidden="1" customHeight="1" outlineLevel="1">
      <c r="B51" s="812"/>
      <c r="C51" s="166"/>
      <c r="D51" s="169"/>
      <c r="E51" s="197"/>
      <c r="F51" s="402"/>
      <c r="G51" s="172"/>
      <c r="H51" s="173"/>
      <c r="I51" s="345" t="str">
        <f t="shared" si="6"/>
        <v/>
      </c>
      <c r="J51" s="498" t="str">
        <f t="shared" si="3"/>
        <v/>
      </c>
      <c r="K51" s="174"/>
      <c r="L51" s="174"/>
      <c r="M51" s="175"/>
      <c r="N51" s="174"/>
      <c r="O51" s="176"/>
      <c r="P51" s="177"/>
      <c r="Q51" s="178"/>
      <c r="R51" s="179"/>
      <c r="S51" s="180"/>
      <c r="T51" s="181"/>
      <c r="U51" s="182"/>
      <c r="V51" s="183"/>
      <c r="W51" s="250"/>
    </row>
    <row r="52" spans="2:23" ht="12.95" hidden="1" customHeight="1" outlineLevel="1">
      <c r="B52" s="812"/>
      <c r="C52" s="166"/>
      <c r="D52" s="169"/>
      <c r="E52" s="197"/>
      <c r="F52" s="402"/>
      <c r="G52" s="172"/>
      <c r="H52" s="173"/>
      <c r="I52" s="345" t="str">
        <f t="shared" si="6"/>
        <v/>
      </c>
      <c r="J52" s="498" t="str">
        <f t="shared" si="3"/>
        <v/>
      </c>
      <c r="K52" s="174"/>
      <c r="L52" s="174"/>
      <c r="M52" s="175"/>
      <c r="N52" s="174"/>
      <c r="O52" s="176"/>
      <c r="P52" s="177"/>
      <c r="Q52" s="178"/>
      <c r="R52" s="179"/>
      <c r="S52" s="180"/>
      <c r="T52" s="181"/>
      <c r="U52" s="182"/>
      <c r="V52" s="183"/>
      <c r="W52" s="250"/>
    </row>
    <row r="53" spans="2:23" ht="12.95" hidden="1" customHeight="1" outlineLevel="1">
      <c r="B53" s="812"/>
      <c r="C53" s="166"/>
      <c r="D53" s="169"/>
      <c r="E53" s="185"/>
      <c r="F53" s="402"/>
      <c r="G53" s="172"/>
      <c r="H53" s="173"/>
      <c r="I53" s="345" t="str">
        <f t="shared" si="6"/>
        <v/>
      </c>
      <c r="J53" s="498" t="str">
        <f t="shared" si="3"/>
        <v/>
      </c>
      <c r="K53" s="174"/>
      <c r="L53" s="174"/>
      <c r="M53" s="175"/>
      <c r="N53" s="174"/>
      <c r="O53" s="176"/>
      <c r="P53" s="177"/>
      <c r="Q53" s="178"/>
      <c r="R53" s="179"/>
      <c r="S53" s="180"/>
      <c r="T53" s="181"/>
      <c r="U53" s="182"/>
      <c r="V53" s="183"/>
      <c r="W53" s="250"/>
    </row>
    <row r="54" spans="2:23" ht="12.95" hidden="1" customHeight="1" outlineLevel="1">
      <c r="B54" s="812"/>
      <c r="C54" s="166"/>
      <c r="D54" s="169"/>
      <c r="E54" s="197"/>
      <c r="F54" s="402"/>
      <c r="G54" s="172"/>
      <c r="H54" s="173"/>
      <c r="I54" s="345" t="str">
        <f t="shared" si="6"/>
        <v/>
      </c>
      <c r="J54" s="498" t="str">
        <f t="shared" si="3"/>
        <v/>
      </c>
      <c r="K54" s="174"/>
      <c r="L54" s="174"/>
      <c r="M54" s="175"/>
      <c r="N54" s="174"/>
      <c r="O54" s="176"/>
      <c r="P54" s="177"/>
      <c r="Q54" s="178"/>
      <c r="R54" s="179"/>
      <c r="S54" s="180"/>
      <c r="T54" s="181"/>
      <c r="U54" s="182"/>
      <c r="V54" s="183"/>
      <c r="W54" s="250"/>
    </row>
    <row r="55" spans="2:23" ht="12.95" hidden="1" customHeight="1" outlineLevel="1">
      <c r="B55" s="812"/>
      <c r="C55" s="186"/>
      <c r="D55" s="169"/>
      <c r="E55" s="187"/>
      <c r="F55" s="402"/>
      <c r="G55" s="172"/>
      <c r="H55" s="173"/>
      <c r="I55" s="345" t="str">
        <f t="shared" si="6"/>
        <v/>
      </c>
      <c r="J55" s="498" t="str">
        <f t="shared" si="3"/>
        <v/>
      </c>
      <c r="K55" s="174"/>
      <c r="L55" s="174"/>
      <c r="M55" s="175"/>
      <c r="N55" s="174"/>
      <c r="O55" s="176"/>
      <c r="P55" s="177"/>
      <c r="Q55" s="178"/>
      <c r="R55" s="179"/>
      <c r="S55" s="180"/>
      <c r="T55" s="181"/>
      <c r="U55" s="182"/>
      <c r="V55" s="183"/>
      <c r="W55" s="250"/>
    </row>
    <row r="56" spans="2:23" ht="12.95" hidden="1" customHeight="1" outlineLevel="1">
      <c r="B56" s="812"/>
      <c r="C56" s="186"/>
      <c r="D56" s="169"/>
      <c r="E56" s="187"/>
      <c r="F56" s="406"/>
      <c r="G56" s="172"/>
      <c r="H56" s="173"/>
      <c r="I56" s="345" t="str">
        <f t="shared" si="6"/>
        <v/>
      </c>
      <c r="J56" s="498" t="str">
        <f t="shared" si="3"/>
        <v/>
      </c>
      <c r="K56" s="174"/>
      <c r="L56" s="174"/>
      <c r="M56" s="175"/>
      <c r="N56" s="174"/>
      <c r="O56" s="176"/>
      <c r="P56" s="177"/>
      <c r="Q56" s="178"/>
      <c r="R56" s="179"/>
      <c r="S56" s="180"/>
      <c r="T56" s="181"/>
      <c r="U56" s="182"/>
      <c r="V56" s="183"/>
      <c r="W56" s="250"/>
    </row>
    <row r="57" spans="2:23" ht="12.95" hidden="1" customHeight="1" outlineLevel="1">
      <c r="B57" s="812"/>
      <c r="C57" s="186"/>
      <c r="D57" s="169"/>
      <c r="E57" s="187"/>
      <c r="F57" s="402"/>
      <c r="G57" s="172"/>
      <c r="H57" s="173"/>
      <c r="I57" s="345" t="str">
        <f t="shared" si="6"/>
        <v/>
      </c>
      <c r="J57" s="498" t="str">
        <f t="shared" si="3"/>
        <v/>
      </c>
      <c r="K57" s="174"/>
      <c r="L57" s="174"/>
      <c r="M57" s="175"/>
      <c r="N57" s="174"/>
      <c r="O57" s="176">
        <f t="shared" ref="O57:O92" si="9">IF(K57*L57*N57=0,0,(L57*N57)/K57)</f>
        <v>0</v>
      </c>
      <c r="P57" s="177"/>
      <c r="Q57" s="178"/>
      <c r="R57" s="179"/>
      <c r="S57" s="180"/>
      <c r="T57" s="181" t="str">
        <f t="shared" ref="T57:V58" si="10">IF(Q57="","",Q57*$D57)</f>
        <v/>
      </c>
      <c r="U57" s="182" t="str">
        <f t="shared" si="10"/>
        <v/>
      </c>
      <c r="V57" s="183" t="str">
        <f t="shared" si="10"/>
        <v/>
      </c>
      <c r="W57" s="250"/>
    </row>
    <row r="58" spans="2:23" ht="12.95" hidden="1" customHeight="1" outlineLevel="1" thickBot="1">
      <c r="B58" s="812"/>
      <c r="C58" s="248"/>
      <c r="D58" s="228"/>
      <c r="E58" s="249"/>
      <c r="F58" s="403"/>
      <c r="G58" s="230"/>
      <c r="H58" s="231"/>
      <c r="I58" s="346" t="str">
        <f t="shared" si="6"/>
        <v/>
      </c>
      <c r="J58" s="499" t="str">
        <f t="shared" si="3"/>
        <v/>
      </c>
      <c r="K58" s="232"/>
      <c r="L58" s="232"/>
      <c r="M58" s="233"/>
      <c r="N58" s="232"/>
      <c r="O58" s="234">
        <f t="shared" si="9"/>
        <v>0</v>
      </c>
      <c r="P58" s="235"/>
      <c r="Q58" s="236"/>
      <c r="R58" s="237"/>
      <c r="S58" s="238"/>
      <c r="T58" s="239" t="str">
        <f t="shared" si="10"/>
        <v/>
      </c>
      <c r="U58" s="240" t="str">
        <f t="shared" si="10"/>
        <v/>
      </c>
      <c r="V58" s="241" t="str">
        <f t="shared" si="10"/>
        <v/>
      </c>
      <c r="W58" s="242"/>
    </row>
    <row r="59" spans="2:23" ht="12.95" customHeight="1" collapsed="1" thickBot="1">
      <c r="B59" s="813"/>
      <c r="C59" s="319" t="s">
        <v>327</v>
      </c>
      <c r="D59" s="227"/>
      <c r="E59" s="320"/>
      <c r="F59" s="404"/>
      <c r="G59" s="321"/>
      <c r="H59" s="322"/>
      <c r="I59" s="331"/>
      <c r="J59" s="496">
        <f>SUM(J21:J58)</f>
        <v>64228</v>
      </c>
      <c r="K59" s="323"/>
      <c r="L59" s="323"/>
      <c r="M59" s="324"/>
      <c r="N59" s="323"/>
      <c r="O59" s="325"/>
      <c r="P59" s="326"/>
      <c r="Q59" s="327"/>
      <c r="R59" s="328"/>
      <c r="S59" s="329"/>
      <c r="T59" s="330"/>
      <c r="U59" s="331"/>
      <c r="V59" s="332"/>
      <c r="W59" s="333"/>
    </row>
    <row r="60" spans="2:23" ht="12.95" customHeight="1">
      <c r="B60" s="811" t="s">
        <v>150</v>
      </c>
      <c r="C60" s="670" t="str">
        <f>科目設定!G2</f>
        <v>ガソリン</v>
      </c>
      <c r="D60" s="343">
        <v>130</v>
      </c>
      <c r="E60" s="643" t="s">
        <v>206</v>
      </c>
      <c r="F60" s="401">
        <v>137</v>
      </c>
      <c r="G60" s="213">
        <v>1</v>
      </c>
      <c r="H60" s="214">
        <v>1</v>
      </c>
      <c r="I60" s="343">
        <f>IF(D60=0,"",D60*1/G60*H60)</f>
        <v>130</v>
      </c>
      <c r="J60" s="497">
        <f>IF(D60=0,"",ROUND(F60*I60,0))</f>
        <v>17810</v>
      </c>
      <c r="K60" s="215"/>
      <c r="L60" s="215"/>
      <c r="M60" s="216"/>
      <c r="N60" s="215"/>
      <c r="O60" s="217">
        <v>0</v>
      </c>
      <c r="P60" s="218"/>
      <c r="Q60" s="219"/>
      <c r="R60" s="220"/>
      <c r="S60" s="221"/>
      <c r="T60" s="222" t="s">
        <v>324</v>
      </c>
      <c r="U60" s="223" t="s">
        <v>324</v>
      </c>
      <c r="V60" s="224" t="s">
        <v>324</v>
      </c>
      <c r="W60" s="624" t="s">
        <v>565</v>
      </c>
    </row>
    <row r="61" spans="2:23" ht="12.95" customHeight="1">
      <c r="B61" s="812"/>
      <c r="C61" s="344" t="str">
        <f>科目設定!G3</f>
        <v>軽油</v>
      </c>
      <c r="D61" s="345"/>
      <c r="E61" s="347" t="s">
        <v>206</v>
      </c>
      <c r="F61" s="402">
        <v>93.8</v>
      </c>
      <c r="G61" s="172">
        <v>1</v>
      </c>
      <c r="H61" s="173">
        <v>1</v>
      </c>
      <c r="I61" s="345" t="str">
        <f t="shared" ref="I61:I68" si="11">IF(D61=0,"",D61*1/G61*H61)</f>
        <v/>
      </c>
      <c r="J61" s="498">
        <f>IF(D61=0,0,ROUND(F61*I61,0))</f>
        <v>0</v>
      </c>
      <c r="K61" s="174"/>
      <c r="L61" s="174"/>
      <c r="M61" s="175"/>
      <c r="N61" s="174"/>
      <c r="O61" s="176">
        <v>0</v>
      </c>
      <c r="P61" s="177"/>
      <c r="Q61" s="178"/>
      <c r="R61" s="179"/>
      <c r="S61" s="180"/>
      <c r="T61" s="181" t="s">
        <v>324</v>
      </c>
      <c r="U61" s="182" t="s">
        <v>324</v>
      </c>
      <c r="V61" s="183" t="s">
        <v>324</v>
      </c>
      <c r="W61" s="627" t="s">
        <v>565</v>
      </c>
    </row>
    <row r="62" spans="2:23" ht="12.95" customHeight="1">
      <c r="B62" s="812"/>
      <c r="C62" s="344" t="str">
        <f>科目設定!G4</f>
        <v>Ａ重油</v>
      </c>
      <c r="D62" s="345">
        <v>11520</v>
      </c>
      <c r="E62" s="347" t="s">
        <v>206</v>
      </c>
      <c r="F62" s="402">
        <v>75.900000000000006</v>
      </c>
      <c r="G62" s="172">
        <v>1</v>
      </c>
      <c r="H62" s="173">
        <v>1</v>
      </c>
      <c r="I62" s="345">
        <f t="shared" si="11"/>
        <v>11520</v>
      </c>
      <c r="J62" s="498">
        <f t="shared" ref="J62:J68" si="12">IF(D62=0,"",ROUND(F62*I62,0))</f>
        <v>874368</v>
      </c>
      <c r="K62" s="174"/>
      <c r="L62" s="174"/>
      <c r="M62" s="175"/>
      <c r="N62" s="174"/>
      <c r="O62" s="176">
        <v>0</v>
      </c>
      <c r="P62" s="177"/>
      <c r="Q62" s="178"/>
      <c r="R62" s="179"/>
      <c r="S62" s="180"/>
      <c r="T62" s="181" t="s">
        <v>324</v>
      </c>
      <c r="U62" s="182" t="s">
        <v>324</v>
      </c>
      <c r="V62" s="183" t="s">
        <v>324</v>
      </c>
      <c r="W62" s="226" t="s">
        <v>565</v>
      </c>
    </row>
    <row r="63" spans="2:23" ht="12.95" customHeight="1">
      <c r="B63" s="812"/>
      <c r="C63" s="344" t="str">
        <f>科目設定!G5</f>
        <v>電気料</v>
      </c>
      <c r="D63" s="345">
        <f>SUMIF(③労働時間!$K$5:$K$155,$C63,③労働時間!$N$5:$N$155)</f>
        <v>0</v>
      </c>
      <c r="E63" s="347"/>
      <c r="F63" s="402"/>
      <c r="G63" s="172"/>
      <c r="H63" s="173"/>
      <c r="I63" s="345" t="str">
        <f t="shared" si="11"/>
        <v/>
      </c>
      <c r="J63" s="498" t="str">
        <f t="shared" si="12"/>
        <v/>
      </c>
      <c r="K63" s="174"/>
      <c r="L63" s="174"/>
      <c r="M63" s="175"/>
      <c r="N63" s="174"/>
      <c r="O63" s="176"/>
      <c r="P63" s="177"/>
      <c r="Q63" s="178"/>
      <c r="R63" s="179"/>
      <c r="S63" s="180"/>
      <c r="T63" s="181" t="s">
        <v>324</v>
      </c>
      <c r="U63" s="182" t="s">
        <v>324</v>
      </c>
      <c r="V63" s="183" t="s">
        <v>324</v>
      </c>
      <c r="W63" s="250"/>
    </row>
    <row r="64" spans="2:23" ht="12.95" customHeight="1">
      <c r="B64" s="812"/>
      <c r="C64" s="344" t="str">
        <f>科目設定!G6</f>
        <v>水道</v>
      </c>
      <c r="D64" s="345">
        <f>SUMIF(③労働時間!$K$5:$K$155,$C64,③労働時間!$N$5:$N$155)</f>
        <v>0</v>
      </c>
      <c r="E64" s="347"/>
      <c r="F64" s="402"/>
      <c r="G64" s="172"/>
      <c r="H64" s="173"/>
      <c r="I64" s="345" t="str">
        <f t="shared" si="11"/>
        <v/>
      </c>
      <c r="J64" s="498" t="str">
        <f t="shared" si="12"/>
        <v/>
      </c>
      <c r="K64" s="174"/>
      <c r="L64" s="174"/>
      <c r="M64" s="175"/>
      <c r="N64" s="174"/>
      <c r="O64" s="176">
        <f t="shared" si="9"/>
        <v>0</v>
      </c>
      <c r="P64" s="177"/>
      <c r="Q64" s="178"/>
      <c r="R64" s="179"/>
      <c r="S64" s="180"/>
      <c r="T64" s="181" t="str">
        <f t="shared" ref="T64:V68" si="13">IF(Q64="","",Q64*$D64)</f>
        <v/>
      </c>
      <c r="U64" s="182" t="str">
        <f t="shared" si="13"/>
        <v/>
      </c>
      <c r="V64" s="183" t="str">
        <f t="shared" si="13"/>
        <v/>
      </c>
      <c r="W64" s="250"/>
    </row>
    <row r="65" spans="2:23" ht="12.95" customHeight="1">
      <c r="B65" s="812"/>
      <c r="C65" s="344" t="str">
        <f>科目設定!G7</f>
        <v>灯油</v>
      </c>
      <c r="D65" s="345">
        <f>SUMIF(③労働時間!$K$5:$K$155,$C65,③労働時間!$N$5:$N$155)</f>
        <v>0</v>
      </c>
      <c r="E65" s="347" t="s">
        <v>206</v>
      </c>
      <c r="F65" s="402">
        <v>95</v>
      </c>
      <c r="G65" s="172">
        <v>1</v>
      </c>
      <c r="H65" s="173">
        <v>1</v>
      </c>
      <c r="I65" s="345" t="str">
        <f t="shared" si="11"/>
        <v/>
      </c>
      <c r="J65" s="498" t="str">
        <f t="shared" si="12"/>
        <v/>
      </c>
      <c r="K65" s="174"/>
      <c r="L65" s="174"/>
      <c r="M65" s="175"/>
      <c r="N65" s="174"/>
      <c r="O65" s="176">
        <f t="shared" si="9"/>
        <v>0</v>
      </c>
      <c r="P65" s="177"/>
      <c r="Q65" s="178"/>
      <c r="R65" s="179"/>
      <c r="S65" s="180"/>
      <c r="T65" s="181" t="str">
        <f t="shared" si="13"/>
        <v/>
      </c>
      <c r="U65" s="182" t="str">
        <f t="shared" si="13"/>
        <v/>
      </c>
      <c r="V65" s="183" t="str">
        <f t="shared" si="13"/>
        <v/>
      </c>
      <c r="W65" s="250" t="s">
        <v>565</v>
      </c>
    </row>
    <row r="66" spans="2:23" ht="12.95" customHeight="1" thickBot="1">
      <c r="B66" s="812"/>
      <c r="C66" s="344" t="str">
        <f>科目設定!G8</f>
        <v>混合油</v>
      </c>
      <c r="D66" s="345">
        <f>SUMIF(③労働時間!$K$5:$K$155,$C66,③労働時間!$N$5:$N$155)</f>
        <v>0</v>
      </c>
      <c r="E66" s="347" t="s">
        <v>206</v>
      </c>
      <c r="F66" s="402"/>
      <c r="G66" s="172"/>
      <c r="H66" s="173"/>
      <c r="I66" s="345" t="str">
        <f t="shared" ref="I66" si="14">IF(D66=0,"",D66*1/G66*H66)</f>
        <v/>
      </c>
      <c r="J66" s="498" t="str">
        <f t="shared" ref="J66" si="15">IF(D66=0,"",ROUND(F66*I66,0))</f>
        <v/>
      </c>
      <c r="K66" s="232"/>
      <c r="L66" s="232"/>
      <c r="M66" s="233"/>
      <c r="N66" s="232"/>
      <c r="O66" s="234">
        <f t="shared" si="9"/>
        <v>0</v>
      </c>
      <c r="P66" s="235"/>
      <c r="Q66" s="236"/>
      <c r="R66" s="237"/>
      <c r="S66" s="238"/>
      <c r="T66" s="239" t="str">
        <f t="shared" si="13"/>
        <v/>
      </c>
      <c r="U66" s="240" t="str">
        <f t="shared" si="13"/>
        <v/>
      </c>
      <c r="V66" s="241" t="str">
        <f t="shared" si="13"/>
        <v/>
      </c>
      <c r="W66" s="250"/>
    </row>
    <row r="67" spans="2:23" ht="12.95" customHeight="1" thickTop="1">
      <c r="B67" s="812"/>
      <c r="C67" s="344" t="str">
        <f>科目設定!G9</f>
        <v>オイル(自動計算)</v>
      </c>
      <c r="D67" s="649">
        <v>1</v>
      </c>
      <c r="E67" s="650" t="s">
        <v>296</v>
      </c>
      <c r="F67" s="661"/>
      <c r="G67" s="662">
        <v>1</v>
      </c>
      <c r="H67" s="663">
        <v>1</v>
      </c>
      <c r="I67" s="664"/>
      <c r="J67" s="498">
        <f>IF(D67=0,"",ROUND((J60+J61)*0.3,0))</f>
        <v>5343</v>
      </c>
      <c r="K67" s="651"/>
      <c r="L67" s="651"/>
      <c r="M67" s="652"/>
      <c r="N67" s="651"/>
      <c r="O67" s="653"/>
      <c r="P67" s="654"/>
      <c r="Q67" s="655"/>
      <c r="R67" s="656"/>
      <c r="S67" s="657"/>
      <c r="T67" s="658"/>
      <c r="U67" s="659"/>
      <c r="V67" s="660"/>
      <c r="W67" s="250"/>
    </row>
    <row r="68" spans="2:23" ht="12.95" customHeight="1" thickBot="1">
      <c r="B68" s="812"/>
      <c r="C68" s="565" t="str">
        <f>科目設定!G10</f>
        <v>その他燃料</v>
      </c>
      <c r="D68" s="566">
        <f>SUMIF(③労働時間!$K$5:$K$155,$C68,③労働時間!$N$5:$N$155)</f>
        <v>0</v>
      </c>
      <c r="E68" s="567"/>
      <c r="F68" s="403"/>
      <c r="G68" s="230"/>
      <c r="H68" s="231"/>
      <c r="I68" s="346" t="str">
        <f t="shared" si="11"/>
        <v/>
      </c>
      <c r="J68" s="499" t="str">
        <f t="shared" si="12"/>
        <v/>
      </c>
      <c r="K68" s="232"/>
      <c r="L68" s="232"/>
      <c r="M68" s="233"/>
      <c r="N68" s="232"/>
      <c r="O68" s="234">
        <f t="shared" si="9"/>
        <v>0</v>
      </c>
      <c r="P68" s="235"/>
      <c r="Q68" s="236"/>
      <c r="R68" s="237"/>
      <c r="S68" s="238"/>
      <c r="T68" s="239" t="str">
        <f t="shared" si="13"/>
        <v/>
      </c>
      <c r="U68" s="240" t="str">
        <f t="shared" si="13"/>
        <v/>
      </c>
      <c r="V68" s="241" t="str">
        <f t="shared" si="13"/>
        <v/>
      </c>
      <c r="W68" s="242"/>
    </row>
    <row r="69" spans="2:23" ht="12.95" customHeight="1" thickTop="1" thickBot="1">
      <c r="B69" s="813"/>
      <c r="C69" s="319" t="s">
        <v>327</v>
      </c>
      <c r="D69" s="227"/>
      <c r="E69" s="320"/>
      <c r="F69" s="404"/>
      <c r="G69" s="321"/>
      <c r="H69" s="322"/>
      <c r="I69" s="331"/>
      <c r="J69" s="496">
        <f>SUM(J60:J68)</f>
        <v>897521</v>
      </c>
      <c r="K69" s="323"/>
      <c r="L69" s="323"/>
      <c r="M69" s="324"/>
      <c r="N69" s="323"/>
      <c r="O69" s="325"/>
      <c r="P69" s="326"/>
      <c r="Q69" s="327"/>
      <c r="R69" s="328"/>
      <c r="S69" s="329"/>
      <c r="T69" s="330"/>
      <c r="U69" s="331"/>
      <c r="V69" s="332"/>
      <c r="W69" s="333"/>
    </row>
    <row r="70" spans="2:23" ht="12.95" customHeight="1">
      <c r="B70" s="812"/>
      <c r="C70" s="568" t="s">
        <v>299</v>
      </c>
      <c r="D70" s="169">
        <v>3100</v>
      </c>
      <c r="E70" s="187" t="s">
        <v>117</v>
      </c>
      <c r="F70" s="648">
        <v>60</v>
      </c>
      <c r="G70" s="172">
        <v>7</v>
      </c>
      <c r="H70" s="173">
        <v>1</v>
      </c>
      <c r="I70" s="345">
        <f t="shared" ref="I70:I102" si="16">IF(C70=0,"",D70*1/G70*H70)</f>
        <v>442.85714285714283</v>
      </c>
      <c r="J70" s="498">
        <f t="shared" ref="J70:J102" si="17">IF(C70=0,"",ROUND(F70*I70,0))</f>
        <v>26571</v>
      </c>
      <c r="K70" s="174"/>
      <c r="L70" s="174"/>
      <c r="M70" s="175"/>
      <c r="N70" s="174"/>
      <c r="O70" s="176">
        <v>0</v>
      </c>
      <c r="P70" s="177"/>
      <c r="Q70" s="178"/>
      <c r="R70" s="179"/>
      <c r="S70" s="180"/>
      <c r="T70" s="181" t="s">
        <v>324</v>
      </c>
      <c r="U70" s="182" t="s">
        <v>324</v>
      </c>
      <c r="V70" s="183" t="s">
        <v>324</v>
      </c>
      <c r="W70" s="254" t="s">
        <v>310</v>
      </c>
    </row>
    <row r="71" spans="2:23" ht="12.95" customHeight="1">
      <c r="B71" s="812"/>
      <c r="C71" s="568" t="s">
        <v>313</v>
      </c>
      <c r="D71" s="169">
        <v>4650</v>
      </c>
      <c r="E71" s="187" t="s">
        <v>211</v>
      </c>
      <c r="F71" s="648">
        <v>2.5750000000000002</v>
      </c>
      <c r="G71" s="172">
        <v>1</v>
      </c>
      <c r="H71" s="173">
        <v>1</v>
      </c>
      <c r="I71" s="345">
        <f t="shared" si="16"/>
        <v>4650</v>
      </c>
      <c r="J71" s="498">
        <f t="shared" si="17"/>
        <v>11974</v>
      </c>
      <c r="K71" s="174"/>
      <c r="L71" s="174"/>
      <c r="M71" s="175"/>
      <c r="N71" s="174"/>
      <c r="O71" s="176">
        <v>0</v>
      </c>
      <c r="P71" s="177"/>
      <c r="Q71" s="178"/>
      <c r="R71" s="179"/>
      <c r="S71" s="180"/>
      <c r="T71" s="181" t="s">
        <v>324</v>
      </c>
      <c r="U71" s="182" t="s">
        <v>324</v>
      </c>
      <c r="V71" s="183" t="s">
        <v>324</v>
      </c>
      <c r="W71" s="254" t="s">
        <v>310</v>
      </c>
    </row>
    <row r="72" spans="2:23" ht="12.95" customHeight="1">
      <c r="B72" s="812"/>
      <c r="C72" s="568" t="s">
        <v>300</v>
      </c>
      <c r="D72" s="169">
        <v>2</v>
      </c>
      <c r="E72" s="187" t="s">
        <v>217</v>
      </c>
      <c r="F72" s="648">
        <v>770</v>
      </c>
      <c r="G72" s="172">
        <v>7</v>
      </c>
      <c r="H72" s="173">
        <v>1</v>
      </c>
      <c r="I72" s="345">
        <f t="shared" si="16"/>
        <v>0.2857142857142857</v>
      </c>
      <c r="J72" s="498">
        <f t="shared" si="17"/>
        <v>220</v>
      </c>
      <c r="K72" s="174"/>
      <c r="L72" s="174"/>
      <c r="M72" s="175"/>
      <c r="N72" s="174"/>
      <c r="O72" s="176">
        <v>0</v>
      </c>
      <c r="P72" s="177"/>
      <c r="Q72" s="178"/>
      <c r="R72" s="179"/>
      <c r="S72" s="180"/>
      <c r="T72" s="181" t="s">
        <v>324</v>
      </c>
      <c r="U72" s="182" t="s">
        <v>324</v>
      </c>
      <c r="V72" s="183" t="s">
        <v>324</v>
      </c>
      <c r="W72" s="254"/>
    </row>
    <row r="73" spans="2:23" ht="12.95" customHeight="1">
      <c r="B73" s="812"/>
      <c r="C73" s="568" t="s">
        <v>301</v>
      </c>
      <c r="D73" s="169">
        <v>2</v>
      </c>
      <c r="E73" s="187" t="s">
        <v>217</v>
      </c>
      <c r="F73" s="648">
        <v>1760</v>
      </c>
      <c r="G73" s="172">
        <v>7</v>
      </c>
      <c r="H73" s="173">
        <v>1</v>
      </c>
      <c r="I73" s="345">
        <f t="shared" si="16"/>
        <v>0.2857142857142857</v>
      </c>
      <c r="J73" s="498">
        <f t="shared" si="17"/>
        <v>503</v>
      </c>
      <c r="K73" s="174"/>
      <c r="L73" s="174"/>
      <c r="M73" s="175"/>
      <c r="N73" s="174"/>
      <c r="O73" s="176">
        <v>0</v>
      </c>
      <c r="P73" s="177"/>
      <c r="Q73" s="178"/>
      <c r="R73" s="179"/>
      <c r="S73" s="180"/>
      <c r="T73" s="181" t="s">
        <v>324</v>
      </c>
      <c r="U73" s="182" t="s">
        <v>324</v>
      </c>
      <c r="V73" s="183" t="s">
        <v>324</v>
      </c>
      <c r="W73" s="254"/>
    </row>
    <row r="74" spans="2:23" ht="12.95" customHeight="1">
      <c r="B74" s="812"/>
      <c r="C74" s="568" t="s">
        <v>326</v>
      </c>
      <c r="D74" s="169">
        <v>3</v>
      </c>
      <c r="E74" s="187" t="s">
        <v>217</v>
      </c>
      <c r="F74" s="648">
        <v>6835</v>
      </c>
      <c r="G74" s="172">
        <v>1</v>
      </c>
      <c r="H74" s="173">
        <v>1</v>
      </c>
      <c r="I74" s="345">
        <f t="shared" si="16"/>
        <v>3</v>
      </c>
      <c r="J74" s="498">
        <f t="shared" si="17"/>
        <v>20505</v>
      </c>
      <c r="K74" s="174"/>
      <c r="L74" s="174"/>
      <c r="M74" s="175"/>
      <c r="N74" s="174"/>
      <c r="O74" s="176">
        <v>0</v>
      </c>
      <c r="P74" s="177"/>
      <c r="Q74" s="178"/>
      <c r="R74" s="179"/>
      <c r="S74" s="180"/>
      <c r="T74" s="181" t="s">
        <v>324</v>
      </c>
      <c r="U74" s="182" t="s">
        <v>324</v>
      </c>
      <c r="V74" s="183" t="s">
        <v>324</v>
      </c>
      <c r="W74" s="254"/>
    </row>
    <row r="75" spans="2:23" ht="12.95" customHeight="1">
      <c r="B75" s="812"/>
      <c r="C75" s="568" t="s">
        <v>542</v>
      </c>
      <c r="D75" s="169">
        <v>20</v>
      </c>
      <c r="E75" s="187" t="s">
        <v>117</v>
      </c>
      <c r="F75" s="648">
        <v>1018</v>
      </c>
      <c r="G75" s="172">
        <v>10</v>
      </c>
      <c r="H75" s="173">
        <v>1</v>
      </c>
      <c r="I75" s="345">
        <f t="shared" si="16"/>
        <v>2</v>
      </c>
      <c r="J75" s="498">
        <f t="shared" si="17"/>
        <v>2036</v>
      </c>
      <c r="K75" s="174"/>
      <c r="L75" s="174"/>
      <c r="M75" s="175"/>
      <c r="N75" s="174"/>
      <c r="O75" s="176">
        <v>0</v>
      </c>
      <c r="P75" s="177"/>
      <c r="Q75" s="178"/>
      <c r="R75" s="179"/>
      <c r="S75" s="180"/>
      <c r="T75" s="181" t="s">
        <v>324</v>
      </c>
      <c r="U75" s="182" t="s">
        <v>324</v>
      </c>
      <c r="V75" s="183" t="s">
        <v>324</v>
      </c>
      <c r="W75" s="254"/>
    </row>
    <row r="76" spans="2:23" ht="12.95" customHeight="1">
      <c r="B76" s="812"/>
      <c r="C76" s="568" t="s">
        <v>302</v>
      </c>
      <c r="D76" s="169">
        <v>2</v>
      </c>
      <c r="E76" s="187" t="s">
        <v>160</v>
      </c>
      <c r="F76" s="648">
        <v>28600</v>
      </c>
      <c r="G76" s="172">
        <v>10</v>
      </c>
      <c r="H76" s="173">
        <v>1</v>
      </c>
      <c r="I76" s="345">
        <f t="shared" si="16"/>
        <v>0.2</v>
      </c>
      <c r="J76" s="498">
        <f t="shared" si="17"/>
        <v>5720</v>
      </c>
      <c r="K76" s="174"/>
      <c r="L76" s="174"/>
      <c r="M76" s="175"/>
      <c r="N76" s="174"/>
      <c r="O76" s="176">
        <v>0</v>
      </c>
      <c r="P76" s="177"/>
      <c r="Q76" s="178"/>
      <c r="R76" s="179"/>
      <c r="S76" s="180"/>
      <c r="T76" s="181" t="s">
        <v>324</v>
      </c>
      <c r="U76" s="182" t="s">
        <v>324</v>
      </c>
      <c r="V76" s="183" t="s">
        <v>324</v>
      </c>
      <c r="W76" s="254"/>
    </row>
    <row r="77" spans="2:23" ht="12.95" customHeight="1">
      <c r="B77" s="812"/>
      <c r="C77" s="568" t="s">
        <v>540</v>
      </c>
      <c r="D77" s="169">
        <v>1</v>
      </c>
      <c r="E77" s="187" t="s">
        <v>160</v>
      </c>
      <c r="F77" s="648">
        <v>38800</v>
      </c>
      <c r="G77" s="172">
        <v>10</v>
      </c>
      <c r="H77" s="173">
        <v>1</v>
      </c>
      <c r="I77" s="345">
        <f t="shared" si="16"/>
        <v>0.1</v>
      </c>
      <c r="J77" s="498">
        <f t="shared" si="17"/>
        <v>3880</v>
      </c>
      <c r="K77" s="174"/>
      <c r="L77" s="174"/>
      <c r="M77" s="175"/>
      <c r="N77" s="174"/>
      <c r="O77" s="176">
        <v>0</v>
      </c>
      <c r="P77" s="177"/>
      <c r="Q77" s="178"/>
      <c r="R77" s="179"/>
      <c r="S77" s="180"/>
      <c r="T77" s="181" t="s">
        <v>324</v>
      </c>
      <c r="U77" s="182" t="s">
        <v>324</v>
      </c>
      <c r="V77" s="183" t="s">
        <v>324</v>
      </c>
      <c r="W77" s="254"/>
    </row>
    <row r="78" spans="2:23" ht="12.95" customHeight="1">
      <c r="B78" s="812"/>
      <c r="C78" s="568" t="s">
        <v>600</v>
      </c>
      <c r="D78" s="169">
        <v>2000</v>
      </c>
      <c r="E78" s="187" t="s">
        <v>211</v>
      </c>
      <c r="F78" s="648">
        <v>19.8</v>
      </c>
      <c r="G78" s="172">
        <v>1</v>
      </c>
      <c r="H78" s="173">
        <v>1</v>
      </c>
      <c r="I78" s="345">
        <f t="shared" si="16"/>
        <v>2000</v>
      </c>
      <c r="J78" s="498">
        <f t="shared" si="17"/>
        <v>39600</v>
      </c>
      <c r="K78" s="174"/>
      <c r="L78" s="174"/>
      <c r="M78" s="175"/>
      <c r="N78" s="174"/>
      <c r="O78" s="176">
        <v>0</v>
      </c>
      <c r="P78" s="177"/>
      <c r="Q78" s="178"/>
      <c r="R78" s="179"/>
      <c r="S78" s="180"/>
      <c r="T78" s="181" t="s">
        <v>324</v>
      </c>
      <c r="U78" s="182" t="s">
        <v>324</v>
      </c>
      <c r="V78" s="183" t="s">
        <v>324</v>
      </c>
      <c r="W78" s="254"/>
    </row>
    <row r="79" spans="2:23" ht="12.95" customHeight="1">
      <c r="B79" s="812"/>
      <c r="C79" s="568" t="s">
        <v>311</v>
      </c>
      <c r="D79" s="169">
        <v>1</v>
      </c>
      <c r="E79" s="187" t="s">
        <v>296</v>
      </c>
      <c r="F79" s="648">
        <v>640409</v>
      </c>
      <c r="G79" s="172">
        <v>3</v>
      </c>
      <c r="H79" s="173">
        <v>1</v>
      </c>
      <c r="I79" s="345">
        <f t="shared" si="16"/>
        <v>0.33333333333333331</v>
      </c>
      <c r="J79" s="498">
        <f t="shared" si="17"/>
        <v>213470</v>
      </c>
      <c r="K79" s="174"/>
      <c r="L79" s="174"/>
      <c r="M79" s="175"/>
      <c r="N79" s="174"/>
      <c r="O79" s="176">
        <v>0</v>
      </c>
      <c r="P79" s="177"/>
      <c r="Q79" s="178"/>
      <c r="R79" s="179"/>
      <c r="S79" s="180"/>
      <c r="T79" s="181" t="s">
        <v>324</v>
      </c>
      <c r="U79" s="182" t="s">
        <v>324</v>
      </c>
      <c r="V79" s="183" t="s">
        <v>324</v>
      </c>
      <c r="W79" s="647"/>
    </row>
    <row r="80" spans="2:23" ht="12.95" customHeight="1">
      <c r="B80" s="812"/>
      <c r="C80" s="568" t="s">
        <v>312</v>
      </c>
      <c r="D80" s="169">
        <v>1</v>
      </c>
      <c r="E80" s="187" t="s">
        <v>296</v>
      </c>
      <c r="F80" s="648">
        <v>532860</v>
      </c>
      <c r="G80" s="172">
        <v>5</v>
      </c>
      <c r="H80" s="173">
        <v>1</v>
      </c>
      <c r="I80" s="345">
        <f t="shared" si="16"/>
        <v>0.2</v>
      </c>
      <c r="J80" s="498">
        <f t="shared" si="17"/>
        <v>106572</v>
      </c>
      <c r="K80" s="174"/>
      <c r="L80" s="174"/>
      <c r="M80" s="175"/>
      <c r="N80" s="174"/>
      <c r="O80" s="176">
        <v>0</v>
      </c>
      <c r="P80" s="177"/>
      <c r="Q80" s="178"/>
      <c r="R80" s="179"/>
      <c r="S80" s="180"/>
      <c r="T80" s="181" t="s">
        <v>324</v>
      </c>
      <c r="U80" s="182" t="s">
        <v>324</v>
      </c>
      <c r="V80" s="183" t="s">
        <v>324</v>
      </c>
      <c r="W80" s="647"/>
    </row>
    <row r="81" spans="2:23" ht="12.95" customHeight="1">
      <c r="B81" s="812"/>
      <c r="C81" s="568" t="s">
        <v>606</v>
      </c>
      <c r="D81" s="169">
        <v>1</v>
      </c>
      <c r="E81" s="187" t="s">
        <v>296</v>
      </c>
      <c r="F81" s="648">
        <v>311102</v>
      </c>
      <c r="G81" s="172">
        <v>5</v>
      </c>
      <c r="H81" s="173">
        <v>1</v>
      </c>
      <c r="I81" s="345">
        <f t="shared" si="16"/>
        <v>0.2</v>
      </c>
      <c r="J81" s="498">
        <f t="shared" si="17"/>
        <v>62220</v>
      </c>
      <c r="K81" s="174"/>
      <c r="L81" s="174"/>
      <c r="M81" s="175"/>
      <c r="N81" s="174"/>
      <c r="O81" s="176">
        <v>0</v>
      </c>
      <c r="P81" s="177"/>
      <c r="Q81" s="178"/>
      <c r="R81" s="179"/>
      <c r="S81" s="180"/>
      <c r="T81" s="181" t="s">
        <v>324</v>
      </c>
      <c r="U81" s="182" t="s">
        <v>324</v>
      </c>
      <c r="V81" s="183" t="s">
        <v>324</v>
      </c>
      <c r="W81" s="647"/>
    </row>
    <row r="82" spans="2:23" ht="12.95" customHeight="1">
      <c r="B82" s="812"/>
      <c r="C82" s="568" t="s">
        <v>588</v>
      </c>
      <c r="D82" s="169">
        <v>2000</v>
      </c>
      <c r="E82" s="187" t="s">
        <v>211</v>
      </c>
      <c r="F82" s="648">
        <v>143</v>
      </c>
      <c r="G82" s="172">
        <v>10</v>
      </c>
      <c r="H82" s="173">
        <v>1</v>
      </c>
      <c r="I82" s="345">
        <f t="shared" si="16"/>
        <v>200</v>
      </c>
      <c r="J82" s="498">
        <f t="shared" si="17"/>
        <v>28600</v>
      </c>
      <c r="K82" s="174"/>
      <c r="L82" s="174"/>
      <c r="M82" s="175"/>
      <c r="N82" s="174"/>
      <c r="O82" s="176"/>
      <c r="P82" s="177"/>
      <c r="Q82" s="178"/>
      <c r="R82" s="179"/>
      <c r="S82" s="180"/>
      <c r="T82" s="181"/>
      <c r="U82" s="182"/>
      <c r="V82" s="183"/>
      <c r="W82" s="254"/>
    </row>
    <row r="83" spans="2:23" ht="12.95" customHeight="1">
      <c r="B83" s="812"/>
      <c r="C83" s="568" t="s">
        <v>601</v>
      </c>
      <c r="D83" s="169">
        <v>4000</v>
      </c>
      <c r="E83" s="187" t="s">
        <v>217</v>
      </c>
      <c r="F83" s="648">
        <v>27</v>
      </c>
      <c r="G83" s="172">
        <v>10</v>
      </c>
      <c r="H83" s="173">
        <v>1</v>
      </c>
      <c r="I83" s="345">
        <f t="shared" ref="I83" si="18">IF(C83=0,"",D83*1/G83*H83)</f>
        <v>400</v>
      </c>
      <c r="J83" s="498">
        <f t="shared" ref="J83" si="19">IF(C83=0,"",ROUND(F83*I83,0))</f>
        <v>10800</v>
      </c>
      <c r="K83" s="174"/>
      <c r="L83" s="174"/>
      <c r="M83" s="175"/>
      <c r="N83" s="174"/>
      <c r="O83" s="176">
        <f t="shared" si="9"/>
        <v>0</v>
      </c>
      <c r="P83" s="177"/>
      <c r="Q83" s="178"/>
      <c r="R83" s="179"/>
      <c r="S83" s="180"/>
      <c r="T83" s="181" t="str">
        <f t="shared" ref="T83:T102" si="20">IF(Q83="","",Q83*$D83)</f>
        <v/>
      </c>
      <c r="U83" s="182" t="str">
        <f t="shared" ref="U83:U102" si="21">IF(R83="","",R83*$D83)</f>
        <v/>
      </c>
      <c r="V83" s="183" t="str">
        <f t="shared" ref="V83:V102" si="22">IF(S83="","",S83*$D83)</f>
        <v/>
      </c>
      <c r="W83" s="254"/>
    </row>
    <row r="84" spans="2:23" ht="12.95" customHeight="1">
      <c r="B84" s="812"/>
      <c r="C84" s="568" t="s">
        <v>541</v>
      </c>
      <c r="D84" s="169">
        <v>180</v>
      </c>
      <c r="E84" s="187" t="s">
        <v>230</v>
      </c>
      <c r="F84" s="648">
        <v>59.7</v>
      </c>
      <c r="G84" s="172">
        <v>1</v>
      </c>
      <c r="H84" s="173">
        <v>1</v>
      </c>
      <c r="I84" s="345">
        <f t="shared" ref="I84" si="23">IF(C84=0,"",D84*1/G84*H84)</f>
        <v>180</v>
      </c>
      <c r="J84" s="498">
        <f t="shared" ref="J84" si="24">IF(C84=0,"",ROUND(F84*I84,0))</f>
        <v>10746</v>
      </c>
      <c r="K84" s="174"/>
      <c r="L84" s="174"/>
      <c r="M84" s="175"/>
      <c r="N84" s="174"/>
      <c r="O84" s="176"/>
      <c r="P84" s="177"/>
      <c r="Q84" s="178"/>
      <c r="R84" s="179"/>
      <c r="S84" s="180"/>
      <c r="T84" s="181"/>
      <c r="U84" s="182"/>
      <c r="V84" s="183"/>
      <c r="W84" s="254"/>
    </row>
    <row r="85" spans="2:23" ht="12.95" customHeight="1">
      <c r="B85" s="812"/>
      <c r="C85" s="568" t="s">
        <v>599</v>
      </c>
      <c r="D85" s="169">
        <v>1</v>
      </c>
      <c r="E85" s="187" t="s">
        <v>296</v>
      </c>
      <c r="F85" s="402">
        <v>93200</v>
      </c>
      <c r="G85" s="172">
        <v>5</v>
      </c>
      <c r="H85" s="173">
        <v>1</v>
      </c>
      <c r="I85" s="345">
        <f t="shared" ref="I85" si="25">IF(C85=0,"",D85*1/G85*H85)</f>
        <v>0.2</v>
      </c>
      <c r="J85" s="498">
        <f t="shared" ref="J85" si="26">IF(C85=0,"",ROUND(F85*I85,0))</f>
        <v>18640</v>
      </c>
      <c r="K85" s="174"/>
      <c r="L85" s="174"/>
      <c r="M85" s="175"/>
      <c r="N85" s="174"/>
      <c r="O85" s="176">
        <f t="shared" si="9"/>
        <v>0</v>
      </c>
      <c r="P85" s="177"/>
      <c r="Q85" s="178"/>
      <c r="R85" s="179"/>
      <c r="S85" s="180"/>
      <c r="T85" s="181" t="str">
        <f t="shared" si="20"/>
        <v/>
      </c>
      <c r="U85" s="182" t="str">
        <f t="shared" si="21"/>
        <v/>
      </c>
      <c r="V85" s="183" t="str">
        <f t="shared" si="22"/>
        <v/>
      </c>
      <c r="W85" s="254"/>
    </row>
    <row r="86" spans="2:23" ht="12.95" customHeight="1">
      <c r="B86" s="812"/>
      <c r="C86" s="568"/>
      <c r="D86" s="169"/>
      <c r="E86" s="187"/>
      <c r="F86" s="402"/>
      <c r="G86" s="172"/>
      <c r="H86" s="173"/>
      <c r="I86" s="345" t="str">
        <f t="shared" si="16"/>
        <v/>
      </c>
      <c r="J86" s="498" t="str">
        <f t="shared" si="17"/>
        <v/>
      </c>
      <c r="K86" s="174"/>
      <c r="L86" s="174"/>
      <c r="M86" s="175"/>
      <c r="N86" s="174"/>
      <c r="O86" s="176">
        <f t="shared" si="9"/>
        <v>0</v>
      </c>
      <c r="P86" s="177"/>
      <c r="Q86" s="178"/>
      <c r="R86" s="179"/>
      <c r="S86" s="180"/>
      <c r="T86" s="181" t="str">
        <f t="shared" si="20"/>
        <v/>
      </c>
      <c r="U86" s="182" t="str">
        <f t="shared" si="21"/>
        <v/>
      </c>
      <c r="V86" s="183" t="str">
        <f t="shared" si="22"/>
        <v/>
      </c>
      <c r="W86" s="254"/>
    </row>
    <row r="87" spans="2:23" ht="12.95" customHeight="1">
      <c r="B87" s="812"/>
      <c r="C87" s="568"/>
      <c r="D87" s="169"/>
      <c r="E87" s="187"/>
      <c r="F87" s="402"/>
      <c r="G87" s="172"/>
      <c r="H87" s="173"/>
      <c r="I87" s="345" t="str">
        <f t="shared" si="16"/>
        <v/>
      </c>
      <c r="J87" s="498" t="str">
        <f t="shared" si="17"/>
        <v/>
      </c>
      <c r="K87" s="174"/>
      <c r="L87" s="174"/>
      <c r="M87" s="175"/>
      <c r="N87" s="174"/>
      <c r="O87" s="176">
        <f t="shared" si="9"/>
        <v>0</v>
      </c>
      <c r="P87" s="177"/>
      <c r="Q87" s="178"/>
      <c r="R87" s="179"/>
      <c r="S87" s="180"/>
      <c r="T87" s="181" t="str">
        <f t="shared" si="20"/>
        <v/>
      </c>
      <c r="U87" s="182" t="str">
        <f t="shared" si="21"/>
        <v/>
      </c>
      <c r="V87" s="183" t="str">
        <f t="shared" si="22"/>
        <v/>
      </c>
      <c r="W87" s="254"/>
    </row>
    <row r="88" spans="2:23" ht="12.95" customHeight="1">
      <c r="B88" s="812"/>
      <c r="C88" s="568"/>
      <c r="D88" s="169"/>
      <c r="E88" s="187"/>
      <c r="F88" s="402"/>
      <c r="G88" s="172"/>
      <c r="H88" s="173"/>
      <c r="I88" s="345" t="str">
        <f t="shared" si="16"/>
        <v/>
      </c>
      <c r="J88" s="498" t="str">
        <f t="shared" si="17"/>
        <v/>
      </c>
      <c r="K88" s="174"/>
      <c r="L88" s="174"/>
      <c r="M88" s="175"/>
      <c r="N88" s="174"/>
      <c r="O88" s="176">
        <f t="shared" si="9"/>
        <v>0</v>
      </c>
      <c r="P88" s="177"/>
      <c r="Q88" s="178"/>
      <c r="R88" s="179"/>
      <c r="S88" s="180"/>
      <c r="T88" s="181" t="str">
        <f t="shared" si="20"/>
        <v/>
      </c>
      <c r="U88" s="182" t="str">
        <f t="shared" si="21"/>
        <v/>
      </c>
      <c r="V88" s="183" t="str">
        <f t="shared" si="22"/>
        <v/>
      </c>
      <c r="W88" s="254"/>
    </row>
    <row r="89" spans="2:23" ht="12.95" hidden="1" customHeight="1" outlineLevel="1">
      <c r="B89" s="812"/>
      <c r="C89" s="568"/>
      <c r="D89" s="169"/>
      <c r="E89" s="187"/>
      <c r="F89" s="402"/>
      <c r="G89" s="172"/>
      <c r="H89" s="173"/>
      <c r="I89" s="345" t="str">
        <f t="shared" si="16"/>
        <v/>
      </c>
      <c r="J89" s="498" t="str">
        <f t="shared" si="17"/>
        <v/>
      </c>
      <c r="K89" s="174"/>
      <c r="L89" s="174"/>
      <c r="M89" s="175"/>
      <c r="N89" s="174"/>
      <c r="O89" s="176">
        <f t="shared" si="9"/>
        <v>0</v>
      </c>
      <c r="P89" s="177"/>
      <c r="Q89" s="178"/>
      <c r="R89" s="179"/>
      <c r="S89" s="180"/>
      <c r="T89" s="181" t="str">
        <f t="shared" si="20"/>
        <v/>
      </c>
      <c r="U89" s="182" t="str">
        <f t="shared" si="21"/>
        <v/>
      </c>
      <c r="V89" s="183" t="str">
        <f t="shared" si="22"/>
        <v/>
      </c>
      <c r="W89" s="254"/>
    </row>
    <row r="90" spans="2:23" ht="12.95" hidden="1" customHeight="1" outlineLevel="1">
      <c r="B90" s="812"/>
      <c r="C90" s="568"/>
      <c r="D90" s="169"/>
      <c r="E90" s="187"/>
      <c r="F90" s="402"/>
      <c r="G90" s="172"/>
      <c r="H90" s="173"/>
      <c r="I90" s="345" t="str">
        <f t="shared" si="16"/>
        <v/>
      </c>
      <c r="J90" s="498" t="str">
        <f t="shared" si="17"/>
        <v/>
      </c>
      <c r="K90" s="174"/>
      <c r="L90" s="174"/>
      <c r="M90" s="175"/>
      <c r="N90" s="174"/>
      <c r="O90" s="176">
        <f t="shared" si="9"/>
        <v>0</v>
      </c>
      <c r="P90" s="177"/>
      <c r="Q90" s="178"/>
      <c r="R90" s="179"/>
      <c r="S90" s="180"/>
      <c r="T90" s="181" t="str">
        <f t="shared" si="20"/>
        <v/>
      </c>
      <c r="U90" s="182" t="str">
        <f t="shared" si="21"/>
        <v/>
      </c>
      <c r="V90" s="183" t="str">
        <f t="shared" si="22"/>
        <v/>
      </c>
      <c r="W90" s="254"/>
    </row>
    <row r="91" spans="2:23" ht="12.95" hidden="1" customHeight="1" outlineLevel="1">
      <c r="B91" s="812"/>
      <c r="C91" s="568"/>
      <c r="D91" s="169"/>
      <c r="E91" s="187"/>
      <c r="F91" s="402"/>
      <c r="G91" s="172"/>
      <c r="H91" s="173"/>
      <c r="I91" s="345" t="str">
        <f t="shared" si="16"/>
        <v/>
      </c>
      <c r="J91" s="498" t="str">
        <f t="shared" si="17"/>
        <v/>
      </c>
      <c r="K91" s="174"/>
      <c r="L91" s="174"/>
      <c r="M91" s="175"/>
      <c r="N91" s="174"/>
      <c r="O91" s="176">
        <f t="shared" si="9"/>
        <v>0</v>
      </c>
      <c r="P91" s="177"/>
      <c r="Q91" s="178"/>
      <c r="R91" s="179"/>
      <c r="S91" s="180"/>
      <c r="T91" s="181" t="str">
        <f t="shared" si="20"/>
        <v/>
      </c>
      <c r="U91" s="182" t="str">
        <f t="shared" si="21"/>
        <v/>
      </c>
      <c r="V91" s="183" t="str">
        <f t="shared" si="22"/>
        <v/>
      </c>
      <c r="W91" s="254"/>
    </row>
    <row r="92" spans="2:23" ht="12.95" hidden="1" customHeight="1" outlineLevel="1">
      <c r="B92" s="812"/>
      <c r="C92" s="569"/>
      <c r="D92" s="169"/>
      <c r="E92" s="187"/>
      <c r="F92" s="402"/>
      <c r="G92" s="189"/>
      <c r="H92" s="173"/>
      <c r="I92" s="345" t="str">
        <f t="shared" si="16"/>
        <v/>
      </c>
      <c r="J92" s="498" t="str">
        <f t="shared" si="17"/>
        <v/>
      </c>
      <c r="K92" s="174"/>
      <c r="L92" s="174"/>
      <c r="M92" s="175"/>
      <c r="N92" s="174"/>
      <c r="O92" s="176">
        <f t="shared" si="9"/>
        <v>0</v>
      </c>
      <c r="P92" s="177"/>
      <c r="Q92" s="178"/>
      <c r="R92" s="179"/>
      <c r="S92" s="180"/>
      <c r="T92" s="181" t="str">
        <f t="shared" si="20"/>
        <v/>
      </c>
      <c r="U92" s="182" t="str">
        <f t="shared" si="21"/>
        <v/>
      </c>
      <c r="V92" s="183" t="str">
        <f t="shared" si="22"/>
        <v/>
      </c>
      <c r="W92" s="254"/>
    </row>
    <row r="93" spans="2:23" ht="12.95" hidden="1" customHeight="1" outlineLevel="1">
      <c r="B93" s="812"/>
      <c r="C93" s="568"/>
      <c r="D93" s="169"/>
      <c r="E93" s="187"/>
      <c r="F93" s="402"/>
      <c r="G93" s="172"/>
      <c r="H93" s="173"/>
      <c r="I93" s="345" t="str">
        <f t="shared" si="16"/>
        <v/>
      </c>
      <c r="J93" s="498" t="str">
        <f t="shared" si="17"/>
        <v/>
      </c>
      <c r="K93" s="174"/>
      <c r="L93" s="174"/>
      <c r="M93" s="175"/>
      <c r="N93" s="174"/>
      <c r="O93" s="176">
        <f t="shared" ref="O93:O137" si="27">IF(K93*L93*N93=0,0,(L93*N93)/K93)</f>
        <v>0</v>
      </c>
      <c r="P93" s="177"/>
      <c r="Q93" s="178"/>
      <c r="R93" s="179"/>
      <c r="S93" s="180"/>
      <c r="T93" s="181" t="str">
        <f t="shared" si="20"/>
        <v/>
      </c>
      <c r="U93" s="182" t="str">
        <f t="shared" si="21"/>
        <v/>
      </c>
      <c r="V93" s="183" t="str">
        <f t="shared" si="22"/>
        <v/>
      </c>
      <c r="W93" s="254"/>
    </row>
    <row r="94" spans="2:23" ht="12.95" hidden="1" customHeight="1" outlineLevel="1">
      <c r="B94" s="812"/>
      <c r="C94" s="568"/>
      <c r="D94" s="169"/>
      <c r="E94" s="187"/>
      <c r="F94" s="402"/>
      <c r="G94" s="172"/>
      <c r="H94" s="173"/>
      <c r="I94" s="345" t="str">
        <f t="shared" si="16"/>
        <v/>
      </c>
      <c r="J94" s="498" t="str">
        <f t="shared" si="17"/>
        <v/>
      </c>
      <c r="K94" s="174"/>
      <c r="L94" s="174"/>
      <c r="M94" s="175"/>
      <c r="N94" s="174"/>
      <c r="O94" s="176">
        <f t="shared" si="27"/>
        <v>0</v>
      </c>
      <c r="P94" s="177"/>
      <c r="Q94" s="178"/>
      <c r="R94" s="179"/>
      <c r="S94" s="180"/>
      <c r="T94" s="181" t="str">
        <f t="shared" si="20"/>
        <v/>
      </c>
      <c r="U94" s="182" t="str">
        <f t="shared" si="21"/>
        <v/>
      </c>
      <c r="V94" s="183" t="str">
        <f t="shared" si="22"/>
        <v/>
      </c>
      <c r="W94" s="254"/>
    </row>
    <row r="95" spans="2:23" ht="12.95" hidden="1" customHeight="1" outlineLevel="1">
      <c r="B95" s="812"/>
      <c r="C95" s="570"/>
      <c r="D95" s="169"/>
      <c r="E95" s="185"/>
      <c r="F95" s="402"/>
      <c r="G95" s="172"/>
      <c r="H95" s="173"/>
      <c r="I95" s="345" t="str">
        <f t="shared" si="16"/>
        <v/>
      </c>
      <c r="J95" s="498" t="str">
        <f t="shared" si="17"/>
        <v/>
      </c>
      <c r="K95" s="174"/>
      <c r="L95" s="174"/>
      <c r="M95" s="175"/>
      <c r="N95" s="174"/>
      <c r="O95" s="176">
        <f t="shared" si="27"/>
        <v>0</v>
      </c>
      <c r="P95" s="177"/>
      <c r="Q95" s="178"/>
      <c r="R95" s="179"/>
      <c r="S95" s="180"/>
      <c r="T95" s="181" t="str">
        <f t="shared" si="20"/>
        <v/>
      </c>
      <c r="U95" s="182" t="str">
        <f t="shared" si="21"/>
        <v/>
      </c>
      <c r="V95" s="183" t="str">
        <f t="shared" si="22"/>
        <v/>
      </c>
      <c r="W95" s="254"/>
    </row>
    <row r="96" spans="2:23" ht="12.95" hidden="1" customHeight="1" outlineLevel="1">
      <c r="B96" s="812"/>
      <c r="C96" s="568"/>
      <c r="D96" s="169"/>
      <c r="E96" s="187"/>
      <c r="F96" s="402"/>
      <c r="G96" s="172"/>
      <c r="H96" s="173"/>
      <c r="I96" s="345" t="str">
        <f t="shared" si="16"/>
        <v/>
      </c>
      <c r="J96" s="498" t="str">
        <f t="shared" si="17"/>
        <v/>
      </c>
      <c r="K96" s="174"/>
      <c r="L96" s="174"/>
      <c r="M96" s="175"/>
      <c r="N96" s="174"/>
      <c r="O96" s="176">
        <f t="shared" si="27"/>
        <v>0</v>
      </c>
      <c r="P96" s="177"/>
      <c r="Q96" s="178"/>
      <c r="R96" s="179"/>
      <c r="S96" s="180"/>
      <c r="T96" s="181" t="str">
        <f t="shared" si="20"/>
        <v/>
      </c>
      <c r="U96" s="182" t="str">
        <f t="shared" si="21"/>
        <v/>
      </c>
      <c r="V96" s="183" t="str">
        <f t="shared" si="22"/>
        <v/>
      </c>
      <c r="W96" s="254"/>
    </row>
    <row r="97" spans="2:23" ht="12.95" hidden="1" customHeight="1" outlineLevel="1">
      <c r="B97" s="812"/>
      <c r="C97" s="568"/>
      <c r="D97" s="169"/>
      <c r="E97" s="187"/>
      <c r="F97" s="402"/>
      <c r="G97" s="172"/>
      <c r="H97" s="173"/>
      <c r="I97" s="345" t="str">
        <f t="shared" si="16"/>
        <v/>
      </c>
      <c r="J97" s="498" t="str">
        <f t="shared" si="17"/>
        <v/>
      </c>
      <c r="K97" s="174"/>
      <c r="L97" s="174"/>
      <c r="M97" s="175"/>
      <c r="N97" s="174"/>
      <c r="O97" s="176">
        <f t="shared" si="27"/>
        <v>0</v>
      </c>
      <c r="P97" s="177"/>
      <c r="Q97" s="178"/>
      <c r="R97" s="179"/>
      <c r="S97" s="180"/>
      <c r="T97" s="181" t="str">
        <f t="shared" si="20"/>
        <v/>
      </c>
      <c r="U97" s="182" t="str">
        <f t="shared" si="21"/>
        <v/>
      </c>
      <c r="V97" s="183" t="str">
        <f t="shared" si="22"/>
        <v/>
      </c>
      <c r="W97" s="254"/>
    </row>
    <row r="98" spans="2:23" ht="12.95" hidden="1" customHeight="1" outlineLevel="1">
      <c r="B98" s="812"/>
      <c r="C98" s="568"/>
      <c r="D98" s="169"/>
      <c r="E98" s="187"/>
      <c r="F98" s="402"/>
      <c r="G98" s="172"/>
      <c r="H98" s="173"/>
      <c r="I98" s="345" t="str">
        <f t="shared" si="16"/>
        <v/>
      </c>
      <c r="J98" s="498" t="str">
        <f t="shared" si="17"/>
        <v/>
      </c>
      <c r="K98" s="174"/>
      <c r="L98" s="174"/>
      <c r="M98" s="175"/>
      <c r="N98" s="174"/>
      <c r="O98" s="176">
        <f t="shared" si="27"/>
        <v>0</v>
      </c>
      <c r="P98" s="177"/>
      <c r="Q98" s="178"/>
      <c r="R98" s="179"/>
      <c r="S98" s="180"/>
      <c r="T98" s="181" t="str">
        <f t="shared" si="20"/>
        <v/>
      </c>
      <c r="U98" s="182" t="str">
        <f t="shared" si="21"/>
        <v/>
      </c>
      <c r="V98" s="183" t="str">
        <f t="shared" si="22"/>
        <v/>
      </c>
      <c r="W98" s="254"/>
    </row>
    <row r="99" spans="2:23" ht="12.95" hidden="1" customHeight="1" outlineLevel="1">
      <c r="B99" s="812"/>
      <c r="C99" s="568"/>
      <c r="D99" s="169"/>
      <c r="E99" s="187"/>
      <c r="F99" s="402"/>
      <c r="G99" s="172"/>
      <c r="H99" s="173"/>
      <c r="I99" s="345" t="str">
        <f t="shared" si="16"/>
        <v/>
      </c>
      <c r="J99" s="498" t="str">
        <f t="shared" si="17"/>
        <v/>
      </c>
      <c r="K99" s="174"/>
      <c r="L99" s="174"/>
      <c r="M99" s="175"/>
      <c r="N99" s="174"/>
      <c r="O99" s="176">
        <f t="shared" si="27"/>
        <v>0</v>
      </c>
      <c r="P99" s="177"/>
      <c r="Q99" s="178"/>
      <c r="R99" s="179"/>
      <c r="S99" s="180"/>
      <c r="T99" s="181" t="str">
        <f t="shared" si="20"/>
        <v/>
      </c>
      <c r="U99" s="182" t="str">
        <f t="shared" si="21"/>
        <v/>
      </c>
      <c r="V99" s="183" t="str">
        <f t="shared" si="22"/>
        <v/>
      </c>
      <c r="W99" s="254"/>
    </row>
    <row r="100" spans="2:23" ht="12.95" hidden="1" customHeight="1" outlineLevel="1">
      <c r="B100" s="812"/>
      <c r="C100" s="568"/>
      <c r="D100" s="169"/>
      <c r="E100" s="187"/>
      <c r="F100" s="402"/>
      <c r="G100" s="172"/>
      <c r="H100" s="173"/>
      <c r="I100" s="345" t="str">
        <f t="shared" si="16"/>
        <v/>
      </c>
      <c r="J100" s="498" t="str">
        <f t="shared" si="17"/>
        <v/>
      </c>
      <c r="K100" s="174"/>
      <c r="L100" s="174"/>
      <c r="M100" s="175"/>
      <c r="N100" s="174"/>
      <c r="O100" s="176">
        <f t="shared" si="27"/>
        <v>0</v>
      </c>
      <c r="P100" s="177"/>
      <c r="Q100" s="178"/>
      <c r="R100" s="179"/>
      <c r="S100" s="180"/>
      <c r="T100" s="181" t="str">
        <f t="shared" si="20"/>
        <v/>
      </c>
      <c r="U100" s="182" t="str">
        <f t="shared" si="21"/>
        <v/>
      </c>
      <c r="V100" s="183" t="str">
        <f t="shared" si="22"/>
        <v/>
      </c>
      <c r="W100" s="254"/>
    </row>
    <row r="101" spans="2:23" ht="12.95" hidden="1" customHeight="1" outlineLevel="1">
      <c r="B101" s="812"/>
      <c r="C101" s="569"/>
      <c r="D101" s="169"/>
      <c r="E101" s="187"/>
      <c r="F101" s="402"/>
      <c r="G101" s="172"/>
      <c r="H101" s="173"/>
      <c r="I101" s="345" t="str">
        <f t="shared" si="16"/>
        <v/>
      </c>
      <c r="J101" s="498" t="str">
        <f t="shared" si="17"/>
        <v/>
      </c>
      <c r="K101" s="174"/>
      <c r="L101" s="174"/>
      <c r="M101" s="175"/>
      <c r="N101" s="174"/>
      <c r="O101" s="176">
        <f t="shared" si="27"/>
        <v>0</v>
      </c>
      <c r="P101" s="177"/>
      <c r="Q101" s="178"/>
      <c r="R101" s="179"/>
      <c r="S101" s="180"/>
      <c r="T101" s="181" t="str">
        <f t="shared" si="20"/>
        <v/>
      </c>
      <c r="U101" s="182" t="str">
        <f t="shared" si="21"/>
        <v/>
      </c>
      <c r="V101" s="183" t="str">
        <f t="shared" si="22"/>
        <v/>
      </c>
      <c r="W101" s="254"/>
    </row>
    <row r="102" spans="2:23" ht="12.95" hidden="1" customHeight="1" outlineLevel="1" thickBot="1">
      <c r="B102" s="812"/>
      <c r="C102" s="571"/>
      <c r="D102" s="228"/>
      <c r="E102" s="229"/>
      <c r="F102" s="403"/>
      <c r="G102" s="230"/>
      <c r="H102" s="231"/>
      <c r="I102" s="346" t="str">
        <f t="shared" si="16"/>
        <v/>
      </c>
      <c r="J102" s="499" t="str">
        <f t="shared" si="17"/>
        <v/>
      </c>
      <c r="K102" s="232"/>
      <c r="L102" s="232"/>
      <c r="M102" s="233"/>
      <c r="N102" s="232"/>
      <c r="O102" s="234">
        <f t="shared" si="27"/>
        <v>0</v>
      </c>
      <c r="P102" s="235"/>
      <c r="Q102" s="236"/>
      <c r="R102" s="237"/>
      <c r="S102" s="238"/>
      <c r="T102" s="239" t="str">
        <f t="shared" si="20"/>
        <v/>
      </c>
      <c r="U102" s="240" t="str">
        <f t="shared" si="21"/>
        <v/>
      </c>
      <c r="V102" s="241" t="str">
        <f t="shared" si="22"/>
        <v/>
      </c>
      <c r="W102" s="242"/>
    </row>
    <row r="103" spans="2:23" ht="12.95" customHeight="1" collapsed="1" thickBot="1">
      <c r="B103" s="813"/>
      <c r="C103" s="319" t="s">
        <v>327</v>
      </c>
      <c r="D103" s="227"/>
      <c r="E103" s="320"/>
      <c r="F103" s="404"/>
      <c r="G103" s="321"/>
      <c r="H103" s="322"/>
      <c r="I103" s="331"/>
      <c r="J103" s="496">
        <f>SUM(J70:J102)</f>
        <v>562057</v>
      </c>
      <c r="K103" s="323"/>
      <c r="L103" s="323"/>
      <c r="M103" s="324"/>
      <c r="N103" s="323"/>
      <c r="O103" s="325"/>
      <c r="P103" s="326"/>
      <c r="Q103" s="327"/>
      <c r="R103" s="328"/>
      <c r="S103" s="329"/>
      <c r="T103" s="330"/>
      <c r="U103" s="331"/>
      <c r="V103" s="332"/>
      <c r="W103" s="333"/>
    </row>
    <row r="104" spans="2:23" ht="12.95" customHeight="1">
      <c r="B104" s="811" t="s">
        <v>453</v>
      </c>
      <c r="C104" s="210"/>
      <c r="D104" s="211"/>
      <c r="E104" s="396"/>
      <c r="F104" s="401"/>
      <c r="G104" s="213"/>
      <c r="H104" s="214"/>
      <c r="I104" s="343" t="str">
        <f t="shared" ref="I104:I109" si="28">IF(C104=0,"",D104*1/G104*H104)</f>
        <v/>
      </c>
      <c r="J104" s="497" t="str">
        <f t="shared" ref="J104:J109" si="29">IF(C104=0,"",ROUND(F104*I104,0))</f>
        <v/>
      </c>
      <c r="K104" s="215"/>
      <c r="L104" s="215"/>
      <c r="M104" s="216"/>
      <c r="N104" s="215"/>
      <c r="O104" s="217">
        <f t="shared" ref="O104:O109" si="30">IF(K104*L104*N104=0,0,(L104*N104)/K104)</f>
        <v>0</v>
      </c>
      <c r="P104" s="218"/>
      <c r="Q104" s="219"/>
      <c r="R104" s="220"/>
      <c r="S104" s="221"/>
      <c r="T104" s="222" t="str">
        <f t="shared" ref="T104:V109" si="31">IF(Q104="","",Q104*$D104)</f>
        <v/>
      </c>
      <c r="U104" s="223" t="str">
        <f t="shared" si="31"/>
        <v/>
      </c>
      <c r="V104" s="224" t="str">
        <f t="shared" si="31"/>
        <v/>
      </c>
      <c r="W104" s="225"/>
    </row>
    <row r="105" spans="2:23" ht="12.95" customHeight="1">
      <c r="B105" s="812"/>
      <c r="C105" s="166"/>
      <c r="D105" s="169"/>
      <c r="E105" s="185"/>
      <c r="F105" s="402"/>
      <c r="G105" s="172"/>
      <c r="H105" s="173"/>
      <c r="I105" s="345" t="str">
        <f t="shared" si="28"/>
        <v/>
      </c>
      <c r="J105" s="498" t="str">
        <f t="shared" si="29"/>
        <v/>
      </c>
      <c r="K105" s="174"/>
      <c r="L105" s="174"/>
      <c r="M105" s="175"/>
      <c r="N105" s="174"/>
      <c r="O105" s="176">
        <f t="shared" si="30"/>
        <v>0</v>
      </c>
      <c r="P105" s="177"/>
      <c r="Q105" s="178"/>
      <c r="R105" s="179"/>
      <c r="S105" s="180"/>
      <c r="T105" s="181" t="str">
        <f t="shared" si="31"/>
        <v/>
      </c>
      <c r="U105" s="182" t="str">
        <f t="shared" si="31"/>
        <v/>
      </c>
      <c r="V105" s="183" t="str">
        <f t="shared" si="31"/>
        <v/>
      </c>
      <c r="W105" s="250"/>
    </row>
    <row r="106" spans="2:23" ht="12.95" customHeight="1">
      <c r="B106" s="812"/>
      <c r="C106" s="186"/>
      <c r="D106" s="169"/>
      <c r="E106" s="187"/>
      <c r="F106" s="402"/>
      <c r="G106" s="172"/>
      <c r="H106" s="173"/>
      <c r="I106" s="345" t="str">
        <f t="shared" si="28"/>
        <v/>
      </c>
      <c r="J106" s="498" t="str">
        <f t="shared" si="29"/>
        <v/>
      </c>
      <c r="K106" s="174"/>
      <c r="L106" s="174"/>
      <c r="M106" s="175"/>
      <c r="N106" s="174"/>
      <c r="O106" s="176">
        <f t="shared" si="30"/>
        <v>0</v>
      </c>
      <c r="P106" s="177"/>
      <c r="Q106" s="178"/>
      <c r="R106" s="179"/>
      <c r="S106" s="180"/>
      <c r="T106" s="181" t="str">
        <f t="shared" si="31"/>
        <v/>
      </c>
      <c r="U106" s="182" t="str">
        <f t="shared" si="31"/>
        <v/>
      </c>
      <c r="V106" s="183" t="str">
        <f t="shared" si="31"/>
        <v/>
      </c>
      <c r="W106" s="250"/>
    </row>
    <row r="107" spans="2:23" ht="12.95" customHeight="1">
      <c r="B107" s="812"/>
      <c r="C107" s="186"/>
      <c r="D107" s="169"/>
      <c r="E107" s="187"/>
      <c r="F107" s="402"/>
      <c r="G107" s="172"/>
      <c r="H107" s="173"/>
      <c r="I107" s="345" t="str">
        <f t="shared" si="28"/>
        <v/>
      </c>
      <c r="J107" s="498" t="str">
        <f t="shared" si="29"/>
        <v/>
      </c>
      <c r="K107" s="174"/>
      <c r="L107" s="174"/>
      <c r="M107" s="175"/>
      <c r="N107" s="174"/>
      <c r="O107" s="176">
        <f t="shared" si="30"/>
        <v>0</v>
      </c>
      <c r="P107" s="177"/>
      <c r="Q107" s="178"/>
      <c r="R107" s="179"/>
      <c r="S107" s="180"/>
      <c r="T107" s="181" t="str">
        <f t="shared" si="31"/>
        <v/>
      </c>
      <c r="U107" s="182" t="str">
        <f t="shared" si="31"/>
        <v/>
      </c>
      <c r="V107" s="183" t="str">
        <f t="shared" si="31"/>
        <v/>
      </c>
      <c r="W107" s="250"/>
    </row>
    <row r="108" spans="2:23" ht="12.95" customHeight="1">
      <c r="B108" s="812"/>
      <c r="C108" s="188"/>
      <c r="D108" s="169"/>
      <c r="E108" s="187"/>
      <c r="F108" s="402"/>
      <c r="G108" s="172"/>
      <c r="H108" s="173"/>
      <c r="I108" s="345" t="str">
        <f t="shared" si="28"/>
        <v/>
      </c>
      <c r="J108" s="498" t="str">
        <f t="shared" si="29"/>
        <v/>
      </c>
      <c r="K108" s="174"/>
      <c r="L108" s="174"/>
      <c r="M108" s="175"/>
      <c r="N108" s="174"/>
      <c r="O108" s="176">
        <f t="shared" si="30"/>
        <v>0</v>
      </c>
      <c r="P108" s="177"/>
      <c r="Q108" s="178"/>
      <c r="R108" s="179"/>
      <c r="S108" s="180"/>
      <c r="T108" s="181" t="str">
        <f t="shared" si="31"/>
        <v/>
      </c>
      <c r="U108" s="182" t="str">
        <f t="shared" si="31"/>
        <v/>
      </c>
      <c r="V108" s="183" t="str">
        <f t="shared" si="31"/>
        <v/>
      </c>
      <c r="W108" s="250"/>
    </row>
    <row r="109" spans="2:23" ht="12.95" customHeight="1" thickBot="1">
      <c r="B109" s="812"/>
      <c r="C109" s="255"/>
      <c r="D109" s="228"/>
      <c r="E109" s="249"/>
      <c r="F109" s="403"/>
      <c r="G109" s="230"/>
      <c r="H109" s="231"/>
      <c r="I109" s="346" t="str">
        <f t="shared" si="28"/>
        <v/>
      </c>
      <c r="J109" s="499" t="str">
        <f t="shared" si="29"/>
        <v/>
      </c>
      <c r="K109" s="232"/>
      <c r="L109" s="232"/>
      <c r="M109" s="233"/>
      <c r="N109" s="232"/>
      <c r="O109" s="234">
        <f t="shared" si="30"/>
        <v>0</v>
      </c>
      <c r="P109" s="235"/>
      <c r="Q109" s="236"/>
      <c r="R109" s="237"/>
      <c r="S109" s="238"/>
      <c r="T109" s="239" t="str">
        <f t="shared" si="31"/>
        <v/>
      </c>
      <c r="U109" s="240" t="str">
        <f t="shared" si="31"/>
        <v/>
      </c>
      <c r="V109" s="241" t="str">
        <f t="shared" si="31"/>
        <v/>
      </c>
      <c r="W109" s="242"/>
    </row>
    <row r="110" spans="2:23" ht="12.95" customHeight="1" thickTop="1" thickBot="1">
      <c r="B110" s="813"/>
      <c r="C110" s="319" t="s">
        <v>327</v>
      </c>
      <c r="D110" s="227"/>
      <c r="E110" s="320"/>
      <c r="F110" s="404"/>
      <c r="G110" s="321"/>
      <c r="H110" s="322"/>
      <c r="I110" s="331"/>
      <c r="J110" s="496">
        <f>SUM(J104:J109)</f>
        <v>0</v>
      </c>
      <c r="K110" s="323"/>
      <c r="L110" s="323"/>
      <c r="M110" s="324"/>
      <c r="N110" s="323"/>
      <c r="O110" s="325"/>
      <c r="P110" s="326"/>
      <c r="Q110" s="327"/>
      <c r="R110" s="328"/>
      <c r="S110" s="329"/>
      <c r="T110" s="330"/>
      <c r="U110" s="331"/>
      <c r="V110" s="332"/>
      <c r="W110" s="333"/>
    </row>
    <row r="111" spans="2:23" ht="12.95" customHeight="1">
      <c r="B111" s="814" t="s">
        <v>477</v>
      </c>
      <c r="C111" s="252"/>
      <c r="D111" s="211"/>
      <c r="E111" s="253"/>
      <c r="F111" s="401"/>
      <c r="G111" s="213"/>
      <c r="H111" s="214"/>
      <c r="I111" s="343" t="str">
        <f>IF(C111=0,"",D111*1/G111*H111)</f>
        <v/>
      </c>
      <c r="J111" s="497" t="str">
        <f>IF(C111=0,"",ROUND(F111*I111,0))</f>
        <v/>
      </c>
      <c r="K111" s="215"/>
      <c r="L111" s="215"/>
      <c r="M111" s="216"/>
      <c r="N111" s="215"/>
      <c r="O111" s="217">
        <f>IF(K111*L111*N111=0,0,(L111*N111)/K111)</f>
        <v>0</v>
      </c>
      <c r="P111" s="218"/>
      <c r="Q111" s="219"/>
      <c r="R111" s="220"/>
      <c r="S111" s="221"/>
      <c r="T111" s="222" t="str">
        <f t="shared" ref="T111:T112" si="32">IF(Q111="","",Q111*$D111)</f>
        <v/>
      </c>
      <c r="U111" s="223" t="str">
        <f t="shared" ref="U111:U112" si="33">IF(R111="","",R111*$D111)</f>
        <v/>
      </c>
      <c r="V111" s="224" t="str">
        <f t="shared" ref="V111:V112" si="34">IF(S111="","",S111*$D111)</f>
        <v/>
      </c>
      <c r="W111" s="225"/>
    </row>
    <row r="112" spans="2:23" ht="12.95" customHeight="1">
      <c r="B112" s="815"/>
      <c r="C112" s="188"/>
      <c r="D112" s="169"/>
      <c r="E112" s="187"/>
      <c r="F112" s="402"/>
      <c r="G112" s="172"/>
      <c r="H112" s="173"/>
      <c r="I112" s="345" t="str">
        <f>IF(C112=0,"",D112*1/G112*H112)</f>
        <v/>
      </c>
      <c r="J112" s="498" t="str">
        <f>IF(C112=0,"",ROUND(F112*I112,0))</f>
        <v/>
      </c>
      <c r="K112" s="174"/>
      <c r="L112" s="174"/>
      <c r="M112" s="175"/>
      <c r="N112" s="174"/>
      <c r="O112" s="176">
        <f>IF(K112*L112*N112=0,0,(L112*N112)/K112)</f>
        <v>0</v>
      </c>
      <c r="P112" s="177"/>
      <c r="Q112" s="178"/>
      <c r="R112" s="179"/>
      <c r="S112" s="180"/>
      <c r="T112" s="181" t="str">
        <f t="shared" si="32"/>
        <v/>
      </c>
      <c r="U112" s="182" t="str">
        <f t="shared" si="33"/>
        <v/>
      </c>
      <c r="V112" s="183" t="str">
        <f t="shared" si="34"/>
        <v/>
      </c>
      <c r="W112" s="250"/>
    </row>
    <row r="113" spans="2:23" ht="12.95" customHeight="1">
      <c r="B113" s="815"/>
      <c r="C113" s="188"/>
      <c r="D113" s="169"/>
      <c r="E113" s="187"/>
      <c r="F113" s="402"/>
      <c r="G113" s="172"/>
      <c r="H113" s="173"/>
      <c r="I113" s="345" t="str">
        <f>IF(C113=0,"",D113*1/G113*H113)</f>
        <v/>
      </c>
      <c r="J113" s="498" t="str">
        <f>IF(C113=0,"",ROUND(F113*I113,0))</f>
        <v/>
      </c>
      <c r="K113" s="174"/>
      <c r="L113" s="174"/>
      <c r="M113" s="175"/>
      <c r="N113" s="174"/>
      <c r="O113" s="176"/>
      <c r="P113" s="177"/>
      <c r="Q113" s="178"/>
      <c r="R113" s="179"/>
      <c r="S113" s="180"/>
      <c r="T113" s="181"/>
      <c r="U113" s="182"/>
      <c r="V113" s="183"/>
      <c r="W113" s="250"/>
    </row>
    <row r="114" spans="2:23" ht="12.95" customHeight="1" thickBot="1">
      <c r="B114" s="815"/>
      <c r="C114" s="255"/>
      <c r="D114" s="228"/>
      <c r="E114" s="249"/>
      <c r="F114" s="403"/>
      <c r="G114" s="230"/>
      <c r="H114" s="231"/>
      <c r="I114" s="346" t="str">
        <f>IF(C114=0,"",D114*1/G114*H114)</f>
        <v/>
      </c>
      <c r="J114" s="499" t="str">
        <f>IF(C114=0,"",ROUND(F114*I114,0))</f>
        <v/>
      </c>
      <c r="K114" s="232"/>
      <c r="L114" s="232"/>
      <c r="M114" s="233"/>
      <c r="N114" s="232"/>
      <c r="O114" s="234">
        <f>IF(K114*L114*N114=0,0,(L114*N114)/K114)</f>
        <v>0</v>
      </c>
      <c r="P114" s="235"/>
      <c r="Q114" s="236"/>
      <c r="R114" s="237"/>
      <c r="S114" s="238"/>
      <c r="T114" s="239" t="str">
        <f>IF(Q114="","",Q114*$D114)</f>
        <v/>
      </c>
      <c r="U114" s="240" t="str">
        <f>IF(R114="","",R114*$D114)</f>
        <v/>
      </c>
      <c r="V114" s="241" t="str">
        <f>IF(S114="","",S114*$D114)</f>
        <v/>
      </c>
      <c r="W114" s="242"/>
    </row>
    <row r="115" spans="2:23" ht="12.95" customHeight="1" thickTop="1" thickBot="1">
      <c r="B115" s="816"/>
      <c r="C115" s="319" t="s">
        <v>327</v>
      </c>
      <c r="D115" s="227"/>
      <c r="E115" s="320"/>
      <c r="F115" s="404"/>
      <c r="G115" s="321"/>
      <c r="H115" s="322"/>
      <c r="I115" s="331"/>
      <c r="J115" s="496">
        <f>SUM(J111:J114)</f>
        <v>0</v>
      </c>
      <c r="K115" s="323"/>
      <c r="L115" s="323"/>
      <c r="M115" s="324"/>
      <c r="N115" s="323"/>
      <c r="O115" s="325"/>
      <c r="P115" s="326"/>
      <c r="Q115" s="327"/>
      <c r="R115" s="328"/>
      <c r="S115" s="329"/>
      <c r="T115" s="330"/>
      <c r="U115" s="331"/>
      <c r="V115" s="332"/>
      <c r="W115" s="333"/>
    </row>
    <row r="116" spans="2:23" ht="12.95" customHeight="1">
      <c r="B116" s="814" t="s">
        <v>479</v>
      </c>
      <c r="C116" s="252"/>
      <c r="D116" s="211"/>
      <c r="E116" s="253"/>
      <c r="F116" s="401"/>
      <c r="G116" s="213"/>
      <c r="H116" s="214"/>
      <c r="I116" s="343" t="str">
        <f>IF(C116=0,"",D116*1/G116*H116)</f>
        <v/>
      </c>
      <c r="J116" s="497" t="str">
        <f>IF(C116=0,"",ROUND(F116*I116,0))</f>
        <v/>
      </c>
      <c r="K116" s="215"/>
      <c r="L116" s="215"/>
      <c r="M116" s="216"/>
      <c r="N116" s="215"/>
      <c r="O116" s="217">
        <f>IF(K116*L116*N116=0,0,(L116*N116)/K116)</f>
        <v>0</v>
      </c>
      <c r="P116" s="218"/>
      <c r="Q116" s="219"/>
      <c r="R116" s="220"/>
      <c r="S116" s="221"/>
      <c r="T116" s="222" t="str">
        <f t="shared" ref="T116:V118" si="35">IF(Q116="","",Q116*$D116)</f>
        <v/>
      </c>
      <c r="U116" s="223" t="str">
        <f t="shared" si="35"/>
        <v/>
      </c>
      <c r="V116" s="224" t="str">
        <f t="shared" si="35"/>
        <v/>
      </c>
      <c r="W116" s="225"/>
    </row>
    <row r="117" spans="2:23" ht="12.95" customHeight="1">
      <c r="B117" s="815"/>
      <c r="C117" s="188"/>
      <c r="D117" s="169"/>
      <c r="E117" s="187"/>
      <c r="F117" s="402"/>
      <c r="G117" s="172"/>
      <c r="H117" s="173"/>
      <c r="I117" s="345" t="str">
        <f>IF(C117=0,"",D117*1/G117*H117)</f>
        <v/>
      </c>
      <c r="J117" s="498" t="str">
        <f>IF(C117=0,"",ROUND(F117*I117,0))</f>
        <v/>
      </c>
      <c r="K117" s="174"/>
      <c r="L117" s="174"/>
      <c r="M117" s="175"/>
      <c r="N117" s="174"/>
      <c r="O117" s="176">
        <f>IF(K117*L117*N117=0,0,(L117*N117)/K117)</f>
        <v>0</v>
      </c>
      <c r="P117" s="177"/>
      <c r="Q117" s="178"/>
      <c r="R117" s="179"/>
      <c r="S117" s="180"/>
      <c r="T117" s="181" t="str">
        <f t="shared" si="35"/>
        <v/>
      </c>
      <c r="U117" s="182" t="str">
        <f t="shared" si="35"/>
        <v/>
      </c>
      <c r="V117" s="183" t="str">
        <f t="shared" si="35"/>
        <v/>
      </c>
      <c r="W117" s="250"/>
    </row>
    <row r="118" spans="2:23" ht="12.95" customHeight="1">
      <c r="B118" s="815"/>
      <c r="C118" s="188"/>
      <c r="D118" s="169"/>
      <c r="E118" s="187"/>
      <c r="F118" s="402"/>
      <c r="G118" s="172"/>
      <c r="H118" s="173"/>
      <c r="I118" s="345" t="str">
        <f>IF(C118=0,"",D118*1/G118*H118)</f>
        <v/>
      </c>
      <c r="J118" s="498" t="str">
        <f>IF(C118=0,"",ROUND(F118*I118,0))</f>
        <v/>
      </c>
      <c r="K118" s="174"/>
      <c r="L118" s="174"/>
      <c r="M118" s="175"/>
      <c r="N118" s="174"/>
      <c r="O118" s="176">
        <f>IF(K118*L118*N118=0,0,(L118*N118)/K118)</f>
        <v>0</v>
      </c>
      <c r="P118" s="177"/>
      <c r="Q118" s="178"/>
      <c r="R118" s="179"/>
      <c r="S118" s="180"/>
      <c r="T118" s="181" t="str">
        <f t="shared" si="35"/>
        <v/>
      </c>
      <c r="U118" s="182" t="str">
        <f t="shared" si="35"/>
        <v/>
      </c>
      <c r="V118" s="183" t="str">
        <f t="shared" si="35"/>
        <v/>
      </c>
      <c r="W118" s="250"/>
    </row>
    <row r="119" spans="2:23" ht="12.95" customHeight="1">
      <c r="B119" s="815"/>
      <c r="C119" s="188"/>
      <c r="D119" s="169"/>
      <c r="E119" s="187"/>
      <c r="F119" s="402"/>
      <c r="G119" s="172"/>
      <c r="H119" s="173"/>
      <c r="I119" s="345" t="str">
        <f>IF(C119=0,"",D119*1/G119*H119)</f>
        <v/>
      </c>
      <c r="J119" s="498" t="str">
        <f>IF(C119=0,"",ROUND(F119*I119,0))</f>
        <v/>
      </c>
      <c r="K119" s="174"/>
      <c r="L119" s="174"/>
      <c r="M119" s="175"/>
      <c r="N119" s="174"/>
      <c r="O119" s="176"/>
      <c r="P119" s="177"/>
      <c r="Q119" s="178"/>
      <c r="R119" s="179"/>
      <c r="S119" s="180"/>
      <c r="T119" s="181"/>
      <c r="U119" s="182"/>
      <c r="V119" s="183"/>
      <c r="W119" s="250"/>
    </row>
    <row r="120" spans="2:23" ht="12.95" customHeight="1" thickBot="1">
      <c r="B120" s="815"/>
      <c r="C120" s="255"/>
      <c r="D120" s="228"/>
      <c r="E120" s="249"/>
      <c r="F120" s="403"/>
      <c r="G120" s="230"/>
      <c r="H120" s="231"/>
      <c r="I120" s="346" t="str">
        <f>IF(C120=0,"",D120*1/G120*H120)</f>
        <v/>
      </c>
      <c r="J120" s="499" t="str">
        <f>IF(C120=0,"",ROUND(F120*I120,0))</f>
        <v/>
      </c>
      <c r="K120" s="232"/>
      <c r="L120" s="232"/>
      <c r="M120" s="233"/>
      <c r="N120" s="232"/>
      <c r="O120" s="234">
        <f>IF(K120*L120*N120=0,0,(L120*N120)/K120)</f>
        <v>0</v>
      </c>
      <c r="P120" s="235"/>
      <c r="Q120" s="236"/>
      <c r="R120" s="237"/>
      <c r="S120" s="238"/>
      <c r="T120" s="239" t="str">
        <f>IF(Q120="","",Q120*$D120)</f>
        <v/>
      </c>
      <c r="U120" s="240" t="str">
        <f>IF(R120="","",R120*$D120)</f>
        <v/>
      </c>
      <c r="V120" s="241" t="str">
        <f>IF(S120="","",S120*$D120)</f>
        <v/>
      </c>
      <c r="W120" s="242"/>
    </row>
    <row r="121" spans="2:23" ht="12.95" customHeight="1" thickTop="1" thickBot="1">
      <c r="B121" s="816"/>
      <c r="C121" s="319" t="s">
        <v>327</v>
      </c>
      <c r="D121" s="227"/>
      <c r="E121" s="320"/>
      <c r="F121" s="404"/>
      <c r="G121" s="321"/>
      <c r="H121" s="322"/>
      <c r="I121" s="331"/>
      <c r="J121" s="496">
        <f>SUM(J116:J120)</f>
        <v>0</v>
      </c>
      <c r="K121" s="323"/>
      <c r="L121" s="323"/>
      <c r="M121" s="324"/>
      <c r="N121" s="323"/>
      <c r="O121" s="325"/>
      <c r="P121" s="326"/>
      <c r="Q121" s="327"/>
      <c r="R121" s="328"/>
      <c r="S121" s="329"/>
      <c r="T121" s="330"/>
      <c r="U121" s="331"/>
      <c r="V121" s="332"/>
      <c r="W121" s="333"/>
    </row>
    <row r="122" spans="2:23" ht="12.95" customHeight="1">
      <c r="B122" s="814" t="s">
        <v>504</v>
      </c>
      <c r="C122" s="252" t="s">
        <v>505</v>
      </c>
      <c r="D122" s="211">
        <f>作業体系表!AN29</f>
        <v>1343</v>
      </c>
      <c r="E122" s="253" t="s">
        <v>128</v>
      </c>
      <c r="F122" s="401">
        <v>962</v>
      </c>
      <c r="G122" s="213">
        <v>1</v>
      </c>
      <c r="H122" s="214">
        <v>1</v>
      </c>
      <c r="I122" s="343">
        <f>IF(C122=0,"",D122*1/G122*H122)</f>
        <v>1343</v>
      </c>
      <c r="J122" s="497">
        <f>IF(C122=0,"",ROUND(F122*I122,0))</f>
        <v>1291966</v>
      </c>
      <c r="K122" s="215"/>
      <c r="L122" s="215"/>
      <c r="M122" s="216"/>
      <c r="N122" s="215"/>
      <c r="O122" s="217">
        <f>IF(K122*L122*N122=0,0,(L122*N122)/K122)</f>
        <v>0</v>
      </c>
      <c r="P122" s="218"/>
      <c r="Q122" s="219"/>
      <c r="R122" s="220"/>
      <c r="S122" s="221"/>
      <c r="T122" s="222" t="str">
        <f t="shared" ref="T122:V124" si="36">IF(Q122="","",Q122*$D122)</f>
        <v/>
      </c>
      <c r="U122" s="223" t="str">
        <f t="shared" si="36"/>
        <v/>
      </c>
      <c r="V122" s="224" t="str">
        <f t="shared" si="36"/>
        <v/>
      </c>
      <c r="W122" s="225" t="s">
        <v>506</v>
      </c>
    </row>
    <row r="123" spans="2:23" ht="12.95" customHeight="1">
      <c r="B123" s="815"/>
      <c r="C123" s="188" t="s">
        <v>507</v>
      </c>
      <c r="D123" s="169">
        <f>作業体系表!AN30</f>
        <v>0</v>
      </c>
      <c r="E123" s="187" t="s">
        <v>128</v>
      </c>
      <c r="F123" s="402">
        <v>753</v>
      </c>
      <c r="G123" s="172">
        <v>1</v>
      </c>
      <c r="H123" s="173">
        <v>1</v>
      </c>
      <c r="I123" s="345">
        <f>IF(C123=0,"",D123*1/G123*H123)</f>
        <v>0</v>
      </c>
      <c r="J123" s="498">
        <f>IF(C123=0,"",ROUND(F123*I123,0))</f>
        <v>0</v>
      </c>
      <c r="K123" s="174"/>
      <c r="L123" s="174"/>
      <c r="M123" s="175"/>
      <c r="N123" s="174"/>
      <c r="O123" s="176">
        <f>IF(K123*L123*N123=0,0,(L123*N123)/K123)</f>
        <v>0</v>
      </c>
      <c r="P123" s="177"/>
      <c r="Q123" s="178"/>
      <c r="R123" s="179"/>
      <c r="S123" s="180"/>
      <c r="T123" s="181" t="str">
        <f t="shared" si="36"/>
        <v/>
      </c>
      <c r="U123" s="182" t="str">
        <f t="shared" si="36"/>
        <v/>
      </c>
      <c r="V123" s="183" t="str">
        <f t="shared" si="36"/>
        <v/>
      </c>
      <c r="W123" s="250" t="s">
        <v>589</v>
      </c>
    </row>
    <row r="124" spans="2:23" ht="12.95" customHeight="1">
      <c r="B124" s="815"/>
      <c r="C124" s="188"/>
      <c r="D124" s="169"/>
      <c r="E124" s="187"/>
      <c r="F124" s="402"/>
      <c r="G124" s="172"/>
      <c r="H124" s="173"/>
      <c r="I124" s="345" t="str">
        <f>IF(C124=0,"",D124*1/G124*H124)</f>
        <v/>
      </c>
      <c r="J124" s="498" t="str">
        <f>IF(C124=0,"",ROUND(F124*I124,0))</f>
        <v/>
      </c>
      <c r="K124" s="174"/>
      <c r="L124" s="174"/>
      <c r="M124" s="175"/>
      <c r="N124" s="174"/>
      <c r="O124" s="176">
        <f>IF(K124*L124*N124=0,0,(L124*N124)/K124)</f>
        <v>0</v>
      </c>
      <c r="P124" s="177"/>
      <c r="Q124" s="178"/>
      <c r="R124" s="179"/>
      <c r="S124" s="180"/>
      <c r="T124" s="181" t="str">
        <f t="shared" si="36"/>
        <v/>
      </c>
      <c r="U124" s="182" t="str">
        <f t="shared" si="36"/>
        <v/>
      </c>
      <c r="V124" s="183" t="str">
        <f t="shared" si="36"/>
        <v/>
      </c>
      <c r="W124" s="250"/>
    </row>
    <row r="125" spans="2:23" ht="12.95" customHeight="1">
      <c r="B125" s="815"/>
      <c r="C125" s="188"/>
      <c r="D125" s="169"/>
      <c r="E125" s="187"/>
      <c r="F125" s="402"/>
      <c r="G125" s="172"/>
      <c r="H125" s="173"/>
      <c r="I125" s="345" t="str">
        <f>IF(C125=0,"",D125*1/G125*H125)</f>
        <v/>
      </c>
      <c r="J125" s="498" t="str">
        <f>IF(C125=0,"",ROUND(F125*I125,0))</f>
        <v/>
      </c>
      <c r="K125" s="174"/>
      <c r="L125" s="174"/>
      <c r="M125" s="175"/>
      <c r="N125" s="174"/>
      <c r="O125" s="176"/>
      <c r="P125" s="177"/>
      <c r="Q125" s="178"/>
      <c r="R125" s="179"/>
      <c r="S125" s="180"/>
      <c r="T125" s="181"/>
      <c r="U125" s="182"/>
      <c r="V125" s="183"/>
      <c r="W125" s="250"/>
    </row>
    <row r="126" spans="2:23" ht="12.95" customHeight="1" thickBot="1">
      <c r="B126" s="815"/>
      <c r="C126" s="255"/>
      <c r="D126" s="228"/>
      <c r="E126" s="249"/>
      <c r="F126" s="403"/>
      <c r="G126" s="230"/>
      <c r="H126" s="231"/>
      <c r="I126" s="346" t="str">
        <f>IF(C126=0,"",D126*1/G126*H126)</f>
        <v/>
      </c>
      <c r="J126" s="499" t="str">
        <f>IF(C126=0,"",ROUND(F126*I126,0))</f>
        <v/>
      </c>
      <c r="K126" s="232"/>
      <c r="L126" s="232"/>
      <c r="M126" s="233"/>
      <c r="N126" s="232"/>
      <c r="O126" s="234">
        <f>IF(K126*L126*N126=0,0,(L126*N126)/K126)</f>
        <v>0</v>
      </c>
      <c r="P126" s="235"/>
      <c r="Q126" s="236"/>
      <c r="R126" s="237"/>
      <c r="S126" s="238"/>
      <c r="T126" s="239" t="str">
        <f>IF(Q126="","",Q126*$D126)</f>
        <v/>
      </c>
      <c r="U126" s="240" t="str">
        <f>IF(R126="","",R126*$D126)</f>
        <v/>
      </c>
      <c r="V126" s="241" t="str">
        <f>IF(S126="","",S126*$D126)</f>
        <v/>
      </c>
      <c r="W126" s="242"/>
    </row>
    <row r="127" spans="2:23" ht="12.95" customHeight="1" thickTop="1" thickBot="1">
      <c r="B127" s="816"/>
      <c r="C127" s="491" t="s">
        <v>327</v>
      </c>
      <c r="D127" s="227"/>
      <c r="E127" s="320"/>
      <c r="F127" s="404"/>
      <c r="G127" s="321"/>
      <c r="H127" s="322"/>
      <c r="I127" s="331"/>
      <c r="J127" s="496">
        <f>SUM(J122:J126)</f>
        <v>1291966</v>
      </c>
      <c r="K127" s="323"/>
      <c r="L127" s="323"/>
      <c r="M127" s="324"/>
      <c r="N127" s="323"/>
      <c r="O127" s="325"/>
      <c r="P127" s="326"/>
      <c r="Q127" s="574"/>
      <c r="R127" s="328"/>
      <c r="S127" s="329"/>
      <c r="T127" s="492"/>
      <c r="U127" s="331"/>
      <c r="V127" s="332"/>
      <c r="W127" s="575"/>
    </row>
    <row r="128" spans="2:23" ht="12.95" customHeight="1">
      <c r="B128" s="811" t="s">
        <v>125</v>
      </c>
      <c r="C128" s="348" t="s">
        <v>303</v>
      </c>
      <c r="D128" s="211">
        <v>10000</v>
      </c>
      <c r="E128" s="212"/>
      <c r="F128" s="401">
        <v>20.9</v>
      </c>
      <c r="G128" s="213">
        <v>1</v>
      </c>
      <c r="H128" s="214">
        <v>0.6</v>
      </c>
      <c r="I128" s="642">
        <f>IF(D128=0,0,D128*1/G128*H128)</f>
        <v>6000</v>
      </c>
      <c r="J128" s="642">
        <f t="shared" ref="J128:J129" si="37">IF(D128=0,0,ROUND(F128*I128,0))</f>
        <v>125400</v>
      </c>
      <c r="K128" s="215"/>
      <c r="L128" s="215"/>
      <c r="M128" s="216"/>
      <c r="N128" s="215"/>
      <c r="O128" s="217">
        <v>0</v>
      </c>
      <c r="P128" s="218"/>
      <c r="Q128" s="219"/>
      <c r="R128" s="220"/>
      <c r="S128" s="221"/>
      <c r="T128" s="222" t="s">
        <v>324</v>
      </c>
      <c r="U128" s="223" t="s">
        <v>324</v>
      </c>
      <c r="V128" s="224" t="s">
        <v>324</v>
      </c>
      <c r="W128" s="624" t="s">
        <v>543</v>
      </c>
    </row>
    <row r="129" spans="2:23" ht="12.95" customHeight="1">
      <c r="B129" s="812"/>
      <c r="C129" s="349" t="s">
        <v>304</v>
      </c>
      <c r="D129" s="169">
        <v>10000</v>
      </c>
      <c r="E129" s="170"/>
      <c r="F129" s="402">
        <v>12.6</v>
      </c>
      <c r="G129" s="172">
        <v>1</v>
      </c>
      <c r="H129" s="173">
        <v>0.6</v>
      </c>
      <c r="I129" s="505">
        <f t="shared" ref="I129:I137" si="38">IF(D129=0,0,D129*1/G129*H129)</f>
        <v>6000</v>
      </c>
      <c r="J129" s="505">
        <f t="shared" si="37"/>
        <v>75600</v>
      </c>
      <c r="K129" s="174"/>
      <c r="L129" s="174"/>
      <c r="M129" s="175"/>
      <c r="N129" s="174"/>
      <c r="O129" s="176">
        <v>0</v>
      </c>
      <c r="P129" s="177"/>
      <c r="Q129" s="178"/>
      <c r="R129" s="179"/>
      <c r="S129" s="180"/>
      <c r="T129" s="181" t="s">
        <v>324</v>
      </c>
      <c r="U129" s="182" t="s">
        <v>324</v>
      </c>
      <c r="V129" s="183" t="s">
        <v>324</v>
      </c>
      <c r="W129" s="226" t="s">
        <v>544</v>
      </c>
    </row>
    <row r="130" spans="2:23" ht="12.95" customHeight="1">
      <c r="B130" s="812"/>
      <c r="C130" s="350"/>
      <c r="D130" s="171"/>
      <c r="E130" s="197"/>
      <c r="F130" s="406"/>
      <c r="G130" s="208"/>
      <c r="H130" s="209"/>
      <c r="I130" s="610"/>
      <c r="J130" s="610"/>
      <c r="K130" s="174"/>
      <c r="L130" s="174"/>
      <c r="M130" s="175"/>
      <c r="N130" s="174"/>
      <c r="O130" s="176"/>
      <c r="P130" s="177"/>
      <c r="Q130" s="178"/>
      <c r="R130" s="179"/>
      <c r="S130" s="180"/>
      <c r="T130" s="181"/>
      <c r="U130" s="182"/>
      <c r="V130" s="183"/>
      <c r="W130" s="250"/>
    </row>
    <row r="131" spans="2:23" ht="12.95" customHeight="1">
      <c r="B131" s="812"/>
      <c r="C131" s="350" t="s">
        <v>305</v>
      </c>
      <c r="D131" s="169">
        <v>5813800</v>
      </c>
      <c r="E131" s="185"/>
      <c r="F131" s="504">
        <v>2.5000000000000001E-2</v>
      </c>
      <c r="G131" s="172">
        <v>1</v>
      </c>
      <c r="H131" s="173">
        <v>1</v>
      </c>
      <c r="I131" s="505">
        <f t="shared" si="38"/>
        <v>5813800</v>
      </c>
      <c r="J131" s="505">
        <f>IF(D131=0,0,F131*I131)</f>
        <v>145345</v>
      </c>
      <c r="K131" s="174"/>
      <c r="L131" s="174"/>
      <c r="M131" s="175"/>
      <c r="N131" s="174"/>
      <c r="O131" s="176">
        <v>0</v>
      </c>
      <c r="P131" s="177"/>
      <c r="Q131" s="178"/>
      <c r="R131" s="179"/>
      <c r="S131" s="180"/>
      <c r="T131" s="181" t="s">
        <v>324</v>
      </c>
      <c r="U131" s="182" t="s">
        <v>324</v>
      </c>
      <c r="V131" s="183" t="s">
        <v>324</v>
      </c>
      <c r="W131" s="250" t="s">
        <v>590</v>
      </c>
    </row>
    <row r="132" spans="2:23" ht="12.95" customHeight="1">
      <c r="B132" s="812"/>
      <c r="C132" s="350" t="s">
        <v>306</v>
      </c>
      <c r="D132" s="169">
        <v>5813800</v>
      </c>
      <c r="E132" s="185"/>
      <c r="F132" s="504">
        <v>0.01</v>
      </c>
      <c r="G132" s="172">
        <v>1</v>
      </c>
      <c r="H132" s="173">
        <v>1</v>
      </c>
      <c r="I132" s="505">
        <f t="shared" si="38"/>
        <v>5813800</v>
      </c>
      <c r="J132" s="505">
        <f>IF(D132=0,0,ROUND(F132*I132,0))</f>
        <v>58138</v>
      </c>
      <c r="K132" s="174"/>
      <c r="L132" s="174"/>
      <c r="M132" s="175"/>
      <c r="N132" s="174"/>
      <c r="O132" s="176">
        <v>0</v>
      </c>
      <c r="P132" s="177"/>
      <c r="Q132" s="178"/>
      <c r="R132" s="179"/>
      <c r="S132" s="180"/>
      <c r="T132" s="181" t="s">
        <v>324</v>
      </c>
      <c r="U132" s="182" t="s">
        <v>324</v>
      </c>
      <c r="V132" s="183" t="s">
        <v>324</v>
      </c>
      <c r="W132" s="250" t="s">
        <v>591</v>
      </c>
    </row>
    <row r="133" spans="2:23" ht="12.95" customHeight="1">
      <c r="B133" s="812"/>
      <c r="C133" s="350" t="s">
        <v>307</v>
      </c>
      <c r="D133" s="169">
        <v>5813800</v>
      </c>
      <c r="E133" s="185"/>
      <c r="F133" s="504">
        <v>8.5000000000000006E-2</v>
      </c>
      <c r="G133" s="172">
        <v>1</v>
      </c>
      <c r="H133" s="173">
        <v>1</v>
      </c>
      <c r="I133" s="505">
        <f t="shared" si="38"/>
        <v>5813800</v>
      </c>
      <c r="J133" s="505">
        <f>IF(D133=0,0,ROUND(F133*I133,0))</f>
        <v>494173</v>
      </c>
      <c r="K133" s="174"/>
      <c r="L133" s="174"/>
      <c r="M133" s="175"/>
      <c r="N133" s="174"/>
      <c r="O133" s="176">
        <v>0</v>
      </c>
      <c r="P133" s="177"/>
      <c r="Q133" s="178"/>
      <c r="R133" s="179"/>
      <c r="S133" s="180"/>
      <c r="T133" s="181" t="s">
        <v>324</v>
      </c>
      <c r="U133" s="182" t="s">
        <v>324</v>
      </c>
      <c r="V133" s="183" t="s">
        <v>324</v>
      </c>
      <c r="W133" s="250" t="s">
        <v>592</v>
      </c>
    </row>
    <row r="134" spans="2:23" ht="12.95" customHeight="1">
      <c r="B134" s="812"/>
      <c r="C134" s="184"/>
      <c r="D134" s="169"/>
      <c r="E134" s="170"/>
      <c r="F134" s="402"/>
      <c r="G134" s="172"/>
      <c r="H134" s="173"/>
      <c r="I134" s="505">
        <f t="shared" si="38"/>
        <v>0</v>
      </c>
      <c r="J134" s="505" t="str">
        <f t="shared" ref="J134:J137" si="39">IF(D134=0,"",ROUND(F134*I134,0))</f>
        <v/>
      </c>
      <c r="K134" s="174"/>
      <c r="L134" s="174"/>
      <c r="M134" s="175"/>
      <c r="N134" s="174"/>
      <c r="O134" s="176">
        <f t="shared" si="27"/>
        <v>0</v>
      </c>
      <c r="P134" s="177"/>
      <c r="Q134" s="178"/>
      <c r="R134" s="179"/>
      <c r="S134" s="180"/>
      <c r="T134" s="181" t="str">
        <f t="shared" ref="T134:V137" si="40">IF(Q134="","",Q134*$D134)</f>
        <v/>
      </c>
      <c r="U134" s="182" t="str">
        <f t="shared" si="40"/>
        <v/>
      </c>
      <c r="V134" s="183" t="str">
        <f t="shared" si="40"/>
        <v/>
      </c>
      <c r="W134" s="250"/>
    </row>
    <row r="135" spans="2:23" ht="12.95" customHeight="1">
      <c r="B135" s="812"/>
      <c r="C135" s="184"/>
      <c r="D135" s="169"/>
      <c r="E135" s="185"/>
      <c r="F135" s="402"/>
      <c r="G135" s="172"/>
      <c r="H135" s="173"/>
      <c r="I135" s="505">
        <f t="shared" si="38"/>
        <v>0</v>
      </c>
      <c r="J135" s="505" t="str">
        <f t="shared" si="39"/>
        <v/>
      </c>
      <c r="K135" s="174"/>
      <c r="L135" s="174"/>
      <c r="M135" s="175"/>
      <c r="N135" s="174"/>
      <c r="O135" s="176">
        <f t="shared" si="27"/>
        <v>0</v>
      </c>
      <c r="P135" s="177"/>
      <c r="Q135" s="178"/>
      <c r="R135" s="179"/>
      <c r="S135" s="180"/>
      <c r="T135" s="181" t="str">
        <f t="shared" si="40"/>
        <v/>
      </c>
      <c r="U135" s="182" t="str">
        <f t="shared" si="40"/>
        <v/>
      </c>
      <c r="V135" s="183" t="str">
        <f t="shared" si="40"/>
        <v/>
      </c>
      <c r="W135" s="250"/>
    </row>
    <row r="136" spans="2:23" ht="12.95" customHeight="1">
      <c r="B136" s="812"/>
      <c r="C136" s="184"/>
      <c r="D136" s="169"/>
      <c r="E136" s="185"/>
      <c r="F136" s="402"/>
      <c r="G136" s="172"/>
      <c r="H136" s="173"/>
      <c r="I136" s="505">
        <f t="shared" si="38"/>
        <v>0</v>
      </c>
      <c r="J136" s="505" t="str">
        <f t="shared" si="39"/>
        <v/>
      </c>
      <c r="K136" s="174"/>
      <c r="L136" s="174"/>
      <c r="M136" s="175"/>
      <c r="N136" s="174"/>
      <c r="O136" s="176">
        <f t="shared" si="27"/>
        <v>0</v>
      </c>
      <c r="P136" s="177"/>
      <c r="Q136" s="178"/>
      <c r="R136" s="179"/>
      <c r="S136" s="180"/>
      <c r="T136" s="181" t="str">
        <f t="shared" si="40"/>
        <v/>
      </c>
      <c r="U136" s="182" t="str">
        <f t="shared" si="40"/>
        <v/>
      </c>
      <c r="V136" s="183" t="str">
        <f t="shared" si="40"/>
        <v/>
      </c>
      <c r="W136" s="250"/>
    </row>
    <row r="137" spans="2:23" ht="12.95" customHeight="1" thickBot="1">
      <c r="B137" s="812"/>
      <c r="C137" s="257"/>
      <c r="D137" s="228"/>
      <c r="E137" s="258"/>
      <c r="F137" s="403"/>
      <c r="G137" s="230"/>
      <c r="H137" s="231"/>
      <c r="I137" s="506">
        <f t="shared" si="38"/>
        <v>0</v>
      </c>
      <c r="J137" s="506" t="str">
        <f t="shared" si="39"/>
        <v/>
      </c>
      <c r="K137" s="232"/>
      <c r="L137" s="232"/>
      <c r="M137" s="233"/>
      <c r="N137" s="232"/>
      <c r="O137" s="234">
        <f t="shared" si="27"/>
        <v>0</v>
      </c>
      <c r="P137" s="235"/>
      <c r="Q137" s="236"/>
      <c r="R137" s="237"/>
      <c r="S137" s="238"/>
      <c r="T137" s="239" t="str">
        <f t="shared" si="40"/>
        <v/>
      </c>
      <c r="U137" s="240" t="str">
        <f t="shared" si="40"/>
        <v/>
      </c>
      <c r="V137" s="241" t="str">
        <f t="shared" si="40"/>
        <v/>
      </c>
      <c r="W137" s="242"/>
    </row>
    <row r="138" spans="2:23" ht="12.95" customHeight="1" thickTop="1" thickBot="1">
      <c r="B138" s="813"/>
      <c r="C138" s="319" t="s">
        <v>327</v>
      </c>
      <c r="D138" s="227"/>
      <c r="E138" s="320"/>
      <c r="F138" s="404"/>
      <c r="G138" s="321"/>
      <c r="H138" s="322"/>
      <c r="I138" s="331"/>
      <c r="J138" s="496">
        <f>SUM(J128:J137)</f>
        <v>898656</v>
      </c>
      <c r="K138" s="323"/>
      <c r="L138" s="323"/>
      <c r="M138" s="324"/>
      <c r="N138" s="323"/>
      <c r="O138" s="325"/>
      <c r="P138" s="326"/>
      <c r="Q138" s="327"/>
      <c r="R138" s="328"/>
      <c r="S138" s="329"/>
      <c r="T138" s="330"/>
      <c r="U138" s="331"/>
      <c r="V138" s="332"/>
      <c r="W138" s="333"/>
    </row>
    <row r="139" spans="2:23" ht="12.95" customHeight="1">
      <c r="B139" s="822" t="s">
        <v>478</v>
      </c>
      <c r="C139" s="252"/>
      <c r="D139" s="211"/>
      <c r="E139" s="253"/>
      <c r="F139" s="401"/>
      <c r="G139" s="213"/>
      <c r="H139" s="214"/>
      <c r="I139" s="343" t="str">
        <f>IF(C139=0,"",D139*1/G139*H139)</f>
        <v/>
      </c>
      <c r="J139" s="497" t="str">
        <f>IF(C139=0,"",ROUND(F139*I139,0))</f>
        <v/>
      </c>
      <c r="K139" s="215"/>
      <c r="L139" s="215"/>
      <c r="M139" s="216"/>
      <c r="N139" s="215"/>
      <c r="O139" s="217">
        <f>IF(K139*L139*N139=0,0,(L139*N139)/K139)</f>
        <v>0</v>
      </c>
      <c r="P139" s="218"/>
      <c r="Q139" s="219"/>
      <c r="R139" s="220"/>
      <c r="S139" s="221"/>
      <c r="T139" s="222" t="str">
        <f t="shared" ref="T139:T140" si="41">IF(Q139="","",Q139*$D139)</f>
        <v/>
      </c>
      <c r="U139" s="223" t="str">
        <f t="shared" ref="U139:U140" si="42">IF(R139="","",R139*$D139)</f>
        <v/>
      </c>
      <c r="V139" s="224" t="str">
        <f t="shared" ref="V139:V140" si="43">IF(S139="","",S139*$D139)</f>
        <v/>
      </c>
      <c r="W139" s="225"/>
    </row>
    <row r="140" spans="2:23" ht="12.95" customHeight="1">
      <c r="B140" s="812"/>
      <c r="C140" s="188"/>
      <c r="D140" s="169"/>
      <c r="E140" s="187"/>
      <c r="F140" s="402"/>
      <c r="G140" s="172"/>
      <c r="H140" s="173"/>
      <c r="I140" s="345" t="str">
        <f>IF(C140=0,"",D140*1/G140*H140)</f>
        <v/>
      </c>
      <c r="J140" s="498" t="str">
        <f>IF(C140=0,"",ROUND(F140*I140,0))</f>
        <v/>
      </c>
      <c r="K140" s="174"/>
      <c r="L140" s="174"/>
      <c r="M140" s="175"/>
      <c r="N140" s="174"/>
      <c r="O140" s="176">
        <f>IF(K140*L140*N140=0,0,(L140*N140)/K140)</f>
        <v>0</v>
      </c>
      <c r="P140" s="177"/>
      <c r="Q140" s="178"/>
      <c r="R140" s="179"/>
      <c r="S140" s="180"/>
      <c r="T140" s="181" t="str">
        <f t="shared" si="41"/>
        <v/>
      </c>
      <c r="U140" s="182" t="str">
        <f t="shared" si="42"/>
        <v/>
      </c>
      <c r="V140" s="183" t="str">
        <f t="shared" si="43"/>
        <v/>
      </c>
      <c r="W140" s="250"/>
    </row>
    <row r="141" spans="2:23" ht="12.95" customHeight="1">
      <c r="B141" s="812"/>
      <c r="C141" s="188"/>
      <c r="D141" s="169"/>
      <c r="E141" s="187"/>
      <c r="F141" s="402"/>
      <c r="G141" s="172"/>
      <c r="H141" s="173"/>
      <c r="I141" s="345" t="str">
        <f>IF(C141=0,"",D141*1/G141*H141)</f>
        <v/>
      </c>
      <c r="J141" s="498" t="str">
        <f>IF(C141=0,"",ROUND(F141*I141,0))</f>
        <v/>
      </c>
      <c r="K141" s="174"/>
      <c r="L141" s="174"/>
      <c r="M141" s="175"/>
      <c r="N141" s="174"/>
      <c r="O141" s="176"/>
      <c r="P141" s="177"/>
      <c r="Q141" s="178"/>
      <c r="R141" s="179"/>
      <c r="S141" s="180"/>
      <c r="T141" s="181"/>
      <c r="U141" s="182"/>
      <c r="V141" s="183"/>
      <c r="W141" s="250"/>
    </row>
    <row r="142" spans="2:23" ht="12.95" customHeight="1" thickBot="1">
      <c r="B142" s="812"/>
      <c r="C142" s="255"/>
      <c r="D142" s="228"/>
      <c r="E142" s="249"/>
      <c r="F142" s="403"/>
      <c r="G142" s="230"/>
      <c r="H142" s="231"/>
      <c r="I142" s="346" t="str">
        <f>IF(C142=0,"",D142*1/G142*H142)</f>
        <v/>
      </c>
      <c r="J142" s="499" t="str">
        <f>IF(C142=0,"",ROUND(F142*I142,0))</f>
        <v/>
      </c>
      <c r="K142" s="232"/>
      <c r="L142" s="232"/>
      <c r="M142" s="233"/>
      <c r="N142" s="232"/>
      <c r="O142" s="234">
        <f>IF(K142*L142*N142=0,0,(L142*N142)/K142)</f>
        <v>0</v>
      </c>
      <c r="P142" s="235"/>
      <c r="Q142" s="236"/>
      <c r="R142" s="237"/>
      <c r="S142" s="238"/>
      <c r="T142" s="239" t="str">
        <f>IF(Q142="","",Q142*$D142)</f>
        <v/>
      </c>
      <c r="U142" s="240" t="str">
        <f>IF(R142="","",R142*$D142)</f>
        <v/>
      </c>
      <c r="V142" s="241" t="str">
        <f>IF(S142="","",S142*$D142)</f>
        <v/>
      </c>
      <c r="W142" s="242"/>
    </row>
    <row r="143" spans="2:23" ht="12.95" customHeight="1" thickTop="1" thickBot="1">
      <c r="B143" s="813"/>
      <c r="C143" s="319" t="s">
        <v>327</v>
      </c>
      <c r="D143" s="227"/>
      <c r="E143" s="320"/>
      <c r="F143" s="404"/>
      <c r="G143" s="321"/>
      <c r="H143" s="322"/>
      <c r="I143" s="331"/>
      <c r="J143" s="496">
        <f>SUM(J139:J142)</f>
        <v>0</v>
      </c>
      <c r="K143" s="323"/>
      <c r="L143" s="323"/>
      <c r="M143" s="324"/>
      <c r="N143" s="323"/>
      <c r="O143" s="325"/>
      <c r="P143" s="326"/>
      <c r="Q143" s="327"/>
      <c r="R143" s="328"/>
      <c r="S143" s="329"/>
      <c r="T143" s="330"/>
      <c r="U143" s="331"/>
      <c r="V143" s="332"/>
      <c r="W143" s="333"/>
    </row>
    <row r="144" spans="2:23" ht="12.95" customHeight="1">
      <c r="B144" s="814" t="s">
        <v>481</v>
      </c>
      <c r="C144" s="252" t="s">
        <v>523</v>
      </c>
      <c r="D144" s="211">
        <v>1</v>
      </c>
      <c r="E144" s="253"/>
      <c r="F144" s="401">
        <v>80000</v>
      </c>
      <c r="G144" s="213">
        <v>1</v>
      </c>
      <c r="H144" s="214">
        <v>0.33333333333333337</v>
      </c>
      <c r="I144" s="343">
        <f>IF(C144=0,"",D144*1/G144*H144)</f>
        <v>0.33333333333333337</v>
      </c>
      <c r="J144" s="497">
        <f>IF(C144=0,"",ROUND(F144*I144,0))</f>
        <v>26667</v>
      </c>
      <c r="K144" s="215"/>
      <c r="L144" s="215"/>
      <c r="M144" s="216"/>
      <c r="N144" s="215"/>
      <c r="O144" s="217">
        <f>IF(K144*L144*N144=0,0,(L144*N144)/K144)</f>
        <v>0</v>
      </c>
      <c r="P144" s="218"/>
      <c r="Q144" s="219"/>
      <c r="R144" s="220"/>
      <c r="S144" s="221"/>
      <c r="T144" s="222" t="str">
        <f t="shared" ref="T144:T145" si="44">IF(Q144="","",Q144*$D144)</f>
        <v/>
      </c>
      <c r="U144" s="223" t="str">
        <f t="shared" ref="U144:U145" si="45">IF(R144="","",R144*$D144)</f>
        <v/>
      </c>
      <c r="V144" s="224" t="str">
        <f t="shared" ref="V144:V145" si="46">IF(S144="","",S144*$D144)</f>
        <v/>
      </c>
      <c r="W144" s="225" t="s">
        <v>528</v>
      </c>
    </row>
    <row r="145" spans="2:23" ht="12.95" customHeight="1">
      <c r="B145" s="815"/>
      <c r="C145" s="188" t="s">
        <v>524</v>
      </c>
      <c r="D145" s="169">
        <v>1</v>
      </c>
      <c r="E145" s="187"/>
      <c r="F145" s="402">
        <v>10000</v>
      </c>
      <c r="G145" s="172">
        <v>1</v>
      </c>
      <c r="H145" s="173">
        <v>1</v>
      </c>
      <c r="I145" s="345">
        <f>IF(C145=0,"",D145*1/G145*H145)</f>
        <v>1</v>
      </c>
      <c r="J145" s="498">
        <f>IF(C145=0,"",ROUND(F145*I145,0))</f>
        <v>10000</v>
      </c>
      <c r="K145" s="174"/>
      <c r="L145" s="174"/>
      <c r="M145" s="175"/>
      <c r="N145" s="174"/>
      <c r="O145" s="176">
        <f>IF(K145*L145*N145=0,0,(L145*N145)/K145)</f>
        <v>0</v>
      </c>
      <c r="P145" s="177"/>
      <c r="Q145" s="178"/>
      <c r="R145" s="179"/>
      <c r="S145" s="180"/>
      <c r="T145" s="181" t="str">
        <f t="shared" si="44"/>
        <v/>
      </c>
      <c r="U145" s="182" t="str">
        <f t="shared" si="45"/>
        <v/>
      </c>
      <c r="V145" s="183" t="str">
        <f t="shared" si="46"/>
        <v/>
      </c>
      <c r="W145" s="250" t="s">
        <v>525</v>
      </c>
    </row>
    <row r="146" spans="2:23" ht="12.95" customHeight="1">
      <c r="B146" s="815"/>
      <c r="C146" s="188"/>
      <c r="D146" s="169"/>
      <c r="E146" s="187"/>
      <c r="F146" s="402"/>
      <c r="G146" s="172"/>
      <c r="H146" s="173"/>
      <c r="I146" s="345" t="str">
        <f>IF(C146=0,"",D146*1/G146*H146)</f>
        <v/>
      </c>
      <c r="J146" s="498" t="str">
        <f>IF(C146=0,"",ROUND(F146*I146,0))</f>
        <v/>
      </c>
      <c r="K146" s="174"/>
      <c r="L146" s="174"/>
      <c r="M146" s="175"/>
      <c r="N146" s="174"/>
      <c r="O146" s="176"/>
      <c r="P146" s="177"/>
      <c r="Q146" s="178"/>
      <c r="R146" s="179"/>
      <c r="S146" s="180"/>
      <c r="T146" s="181"/>
      <c r="U146" s="182"/>
      <c r="V146" s="183"/>
      <c r="W146" s="250"/>
    </row>
    <row r="147" spans="2:23" ht="12.95" customHeight="1" thickBot="1">
      <c r="B147" s="815"/>
      <c r="C147" s="255"/>
      <c r="D147" s="228"/>
      <c r="E147" s="249"/>
      <c r="F147" s="403"/>
      <c r="G147" s="230"/>
      <c r="H147" s="231"/>
      <c r="I147" s="346" t="str">
        <f>IF(C147=0,"",D147*1/G147*H147)</f>
        <v/>
      </c>
      <c r="J147" s="499" t="str">
        <f>IF(C147=0,"",ROUND(F147*I147,0))</f>
        <v/>
      </c>
      <c r="K147" s="232"/>
      <c r="L147" s="232"/>
      <c r="M147" s="233"/>
      <c r="N147" s="232"/>
      <c r="O147" s="234">
        <f>IF(K147*L147*N147=0,0,(L147*N147)/K147)</f>
        <v>0</v>
      </c>
      <c r="P147" s="235"/>
      <c r="Q147" s="236"/>
      <c r="R147" s="237"/>
      <c r="S147" s="238"/>
      <c r="T147" s="239" t="str">
        <f>IF(Q147="","",Q147*$D147)</f>
        <v/>
      </c>
      <c r="U147" s="240" t="str">
        <f>IF(R147="","",R147*$D147)</f>
        <v/>
      </c>
      <c r="V147" s="241" t="str">
        <f>IF(S147="","",S147*$D147)</f>
        <v/>
      </c>
      <c r="W147" s="242"/>
    </row>
    <row r="148" spans="2:23" ht="12.95" customHeight="1" thickTop="1" thickBot="1">
      <c r="B148" s="816"/>
      <c r="C148" s="319" t="s">
        <v>327</v>
      </c>
      <c r="D148" s="227"/>
      <c r="E148" s="320"/>
      <c r="F148" s="404"/>
      <c r="G148" s="321"/>
      <c r="H148" s="322"/>
      <c r="I148" s="331"/>
      <c r="J148" s="496">
        <f>SUM(J144:J147)</f>
        <v>36667</v>
      </c>
      <c r="K148" s="323"/>
      <c r="L148" s="323"/>
      <c r="M148" s="324"/>
      <c r="N148" s="323"/>
      <c r="O148" s="325"/>
      <c r="P148" s="326"/>
      <c r="Q148" s="327"/>
      <c r="R148" s="328"/>
      <c r="S148" s="329"/>
      <c r="T148" s="330"/>
      <c r="U148" s="331"/>
      <c r="V148" s="332"/>
      <c r="W148" s="333"/>
    </row>
    <row r="149" spans="2:23" ht="12.95" customHeight="1">
      <c r="B149" s="814" t="s">
        <v>483</v>
      </c>
      <c r="C149" s="252"/>
      <c r="D149" s="211"/>
      <c r="E149" s="253"/>
      <c r="F149" s="401"/>
      <c r="G149" s="213"/>
      <c r="H149" s="214"/>
      <c r="I149" s="343" t="str">
        <f>IF(C149=0,"",D149*1/G149*H149)</f>
        <v/>
      </c>
      <c r="J149" s="497" t="str">
        <f>IF(C149=0,"",ROUND(F149*I149,0))</f>
        <v/>
      </c>
      <c r="K149" s="215"/>
      <c r="L149" s="215"/>
      <c r="M149" s="216"/>
      <c r="N149" s="215"/>
      <c r="O149" s="217">
        <f>IF(K149*L149*N149=0,0,(L149*N149)/K149)</f>
        <v>0</v>
      </c>
      <c r="P149" s="218"/>
      <c r="Q149" s="219"/>
      <c r="R149" s="220"/>
      <c r="S149" s="221"/>
      <c r="T149" s="222" t="str">
        <f t="shared" ref="T149:T150" si="47">IF(Q149="","",Q149*$D149)</f>
        <v/>
      </c>
      <c r="U149" s="223" t="str">
        <f t="shared" ref="U149:U150" si="48">IF(R149="","",R149*$D149)</f>
        <v/>
      </c>
      <c r="V149" s="224" t="str">
        <f t="shared" ref="V149:V150" si="49">IF(S149="","",S149*$D149)</f>
        <v/>
      </c>
      <c r="W149" s="225"/>
    </row>
    <row r="150" spans="2:23" ht="12.95" customHeight="1">
      <c r="B150" s="815"/>
      <c r="C150" s="188"/>
      <c r="D150" s="169"/>
      <c r="E150" s="187"/>
      <c r="F150" s="402"/>
      <c r="G150" s="172"/>
      <c r="H150" s="173"/>
      <c r="I150" s="345" t="str">
        <f>IF(C150=0,"",D150*1/G150*H150)</f>
        <v/>
      </c>
      <c r="J150" s="498" t="str">
        <f>IF(C150=0,"",ROUND(F150*I150,0))</f>
        <v/>
      </c>
      <c r="K150" s="174"/>
      <c r="L150" s="174"/>
      <c r="M150" s="175"/>
      <c r="N150" s="174"/>
      <c r="O150" s="176">
        <f>IF(K150*L150*N150=0,0,(L150*N150)/K150)</f>
        <v>0</v>
      </c>
      <c r="P150" s="177"/>
      <c r="Q150" s="178"/>
      <c r="R150" s="179"/>
      <c r="S150" s="180"/>
      <c r="T150" s="181" t="str">
        <f t="shared" si="47"/>
        <v/>
      </c>
      <c r="U150" s="182" t="str">
        <f t="shared" si="48"/>
        <v/>
      </c>
      <c r="V150" s="183" t="str">
        <f t="shared" si="49"/>
        <v/>
      </c>
      <c r="W150" s="250"/>
    </row>
    <row r="151" spans="2:23" ht="12.95" customHeight="1">
      <c r="B151" s="815"/>
      <c r="C151" s="188"/>
      <c r="D151" s="169"/>
      <c r="E151" s="187"/>
      <c r="F151" s="402"/>
      <c r="G151" s="172"/>
      <c r="H151" s="173"/>
      <c r="I151" s="345" t="str">
        <f>IF(C151=0,"",D151*1/G151*H151)</f>
        <v/>
      </c>
      <c r="J151" s="498" t="str">
        <f>IF(C151=0,"",ROUND(F151*I151,0))</f>
        <v/>
      </c>
      <c r="K151" s="174"/>
      <c r="L151" s="174"/>
      <c r="M151" s="175"/>
      <c r="N151" s="174"/>
      <c r="O151" s="176"/>
      <c r="P151" s="177"/>
      <c r="Q151" s="178"/>
      <c r="R151" s="179"/>
      <c r="S151" s="180"/>
      <c r="T151" s="181"/>
      <c r="U151" s="182"/>
      <c r="V151" s="183"/>
      <c r="W151" s="250"/>
    </row>
    <row r="152" spans="2:23" ht="12.95" customHeight="1" thickBot="1">
      <c r="B152" s="815"/>
      <c r="C152" s="255"/>
      <c r="D152" s="228"/>
      <c r="E152" s="249"/>
      <c r="F152" s="403"/>
      <c r="G152" s="230"/>
      <c r="H152" s="231"/>
      <c r="I152" s="346" t="str">
        <f>IF(C152=0,"",D152*1/G152*H152)</f>
        <v/>
      </c>
      <c r="J152" s="499" t="str">
        <f>IF(C152=0,"",ROUND(F152*I152,0))</f>
        <v/>
      </c>
      <c r="K152" s="232"/>
      <c r="L152" s="232"/>
      <c r="M152" s="233"/>
      <c r="N152" s="232"/>
      <c r="O152" s="234">
        <f>IF(K152*L152*N152=0,0,(L152*N152)/K152)</f>
        <v>0</v>
      </c>
      <c r="P152" s="235"/>
      <c r="Q152" s="236"/>
      <c r="R152" s="237"/>
      <c r="S152" s="238"/>
      <c r="T152" s="239" t="str">
        <f>IF(Q152="","",Q152*$D152)</f>
        <v/>
      </c>
      <c r="U152" s="240" t="str">
        <f>IF(R152="","",R152*$D152)</f>
        <v/>
      </c>
      <c r="V152" s="241" t="str">
        <f>IF(S152="","",S152*$D152)</f>
        <v/>
      </c>
      <c r="W152" s="242"/>
    </row>
    <row r="153" spans="2:23" ht="12.95" customHeight="1" thickTop="1" thickBot="1">
      <c r="B153" s="816"/>
      <c r="C153" s="319" t="s">
        <v>327</v>
      </c>
      <c r="D153" s="227"/>
      <c r="E153" s="320"/>
      <c r="F153" s="404"/>
      <c r="G153" s="321"/>
      <c r="H153" s="322"/>
      <c r="I153" s="331"/>
      <c r="J153" s="496">
        <f>SUM(J149:J152)</f>
        <v>0</v>
      </c>
      <c r="K153" s="323"/>
      <c r="L153" s="323"/>
      <c r="M153" s="324"/>
      <c r="N153" s="323"/>
      <c r="O153" s="325"/>
      <c r="P153" s="326"/>
      <c r="Q153" s="327"/>
      <c r="R153" s="328"/>
      <c r="S153" s="329"/>
      <c r="T153" s="330"/>
      <c r="U153" s="331"/>
      <c r="V153" s="332"/>
      <c r="W153" s="333"/>
    </row>
    <row r="154" spans="2:23" ht="12.95" customHeight="1">
      <c r="B154" s="814" t="s">
        <v>485</v>
      </c>
      <c r="C154" s="252" t="s">
        <v>526</v>
      </c>
      <c r="D154" s="211">
        <v>1</v>
      </c>
      <c r="E154" s="253"/>
      <c r="F154" s="401">
        <v>17000</v>
      </c>
      <c r="G154" s="213">
        <v>1</v>
      </c>
      <c r="H154" s="214">
        <v>0.33333333333333337</v>
      </c>
      <c r="I154" s="343">
        <f>IF(C154=0,"",D154*1/G154*H154)</f>
        <v>0.33333333333333337</v>
      </c>
      <c r="J154" s="497">
        <f>IF(C154=0,"",ROUND(F154*I154,0))</f>
        <v>5667</v>
      </c>
      <c r="K154" s="215"/>
      <c r="L154" s="215"/>
      <c r="M154" s="216"/>
      <c r="N154" s="215"/>
      <c r="O154" s="217">
        <f>IF(K154*L154*N154=0,0,(L154*N154)/K154)</f>
        <v>0</v>
      </c>
      <c r="P154" s="218"/>
      <c r="Q154" s="219"/>
      <c r="R154" s="220"/>
      <c r="S154" s="221"/>
      <c r="T154" s="222" t="str">
        <f t="shared" ref="T154:T155" si="50">IF(Q154="","",Q154*$D154)</f>
        <v/>
      </c>
      <c r="U154" s="223" t="str">
        <f t="shared" ref="U154:U155" si="51">IF(R154="","",R154*$D154)</f>
        <v/>
      </c>
      <c r="V154" s="224" t="str">
        <f t="shared" ref="V154:V155" si="52">IF(S154="","",S154*$D154)</f>
        <v/>
      </c>
      <c r="W154" s="225" t="s">
        <v>529</v>
      </c>
    </row>
    <row r="155" spans="2:23" ht="12.95" customHeight="1">
      <c r="B155" s="815"/>
      <c r="C155" s="188" t="s">
        <v>527</v>
      </c>
      <c r="D155" s="169">
        <v>1</v>
      </c>
      <c r="E155" s="187"/>
      <c r="F155" s="402">
        <v>2000</v>
      </c>
      <c r="G155" s="172">
        <v>1</v>
      </c>
      <c r="H155" s="173">
        <v>1</v>
      </c>
      <c r="I155" s="345">
        <f>IF(C155=0,"",D155*1/G155*H155)</f>
        <v>1</v>
      </c>
      <c r="J155" s="498">
        <f>IF(C155=0,"",ROUND(F155*I155,0))</f>
        <v>2000</v>
      </c>
      <c r="K155" s="174"/>
      <c r="L155" s="174"/>
      <c r="M155" s="175"/>
      <c r="N155" s="174"/>
      <c r="O155" s="176">
        <f>IF(K155*L155*N155=0,0,(L155*N155)/K155)</f>
        <v>0</v>
      </c>
      <c r="P155" s="177"/>
      <c r="Q155" s="178"/>
      <c r="R155" s="179"/>
      <c r="S155" s="180"/>
      <c r="T155" s="181" t="str">
        <f t="shared" si="50"/>
        <v/>
      </c>
      <c r="U155" s="182" t="str">
        <f t="shared" si="51"/>
        <v/>
      </c>
      <c r="V155" s="183" t="str">
        <f t="shared" si="52"/>
        <v/>
      </c>
      <c r="W155" s="250" t="s">
        <v>525</v>
      </c>
    </row>
    <row r="156" spans="2:23" ht="12.95" customHeight="1">
      <c r="B156" s="815"/>
      <c r="C156" s="188"/>
      <c r="D156" s="169"/>
      <c r="E156" s="187"/>
      <c r="F156" s="402"/>
      <c r="G156" s="172"/>
      <c r="H156" s="173"/>
      <c r="I156" s="345" t="str">
        <f>IF(C156=0,"",D156*1/G156*H156)</f>
        <v/>
      </c>
      <c r="J156" s="498" t="str">
        <f>IF(C156=0,"",ROUND(F156*I156,0))</f>
        <v/>
      </c>
      <c r="K156" s="174"/>
      <c r="L156" s="174"/>
      <c r="M156" s="175"/>
      <c r="N156" s="174"/>
      <c r="O156" s="176"/>
      <c r="P156" s="177"/>
      <c r="Q156" s="178"/>
      <c r="R156" s="179"/>
      <c r="S156" s="180"/>
      <c r="T156" s="181"/>
      <c r="U156" s="182"/>
      <c r="V156" s="183"/>
      <c r="W156" s="250"/>
    </row>
    <row r="157" spans="2:23" ht="12.95" customHeight="1" thickBot="1">
      <c r="B157" s="815"/>
      <c r="C157" s="255"/>
      <c r="D157" s="228"/>
      <c r="E157" s="249"/>
      <c r="F157" s="403"/>
      <c r="G157" s="230"/>
      <c r="H157" s="231"/>
      <c r="I157" s="346" t="str">
        <f>IF(C157=0,"",D157*1/G157*H157)</f>
        <v/>
      </c>
      <c r="J157" s="499" t="str">
        <f>IF(C157=0,"",ROUND(F157*I157,0))</f>
        <v/>
      </c>
      <c r="K157" s="232"/>
      <c r="L157" s="232"/>
      <c r="M157" s="233"/>
      <c r="N157" s="232"/>
      <c r="O157" s="234">
        <f>IF(K157*L157*N157=0,0,(L157*N157)/K157)</f>
        <v>0</v>
      </c>
      <c r="P157" s="235"/>
      <c r="Q157" s="236"/>
      <c r="R157" s="237"/>
      <c r="S157" s="238"/>
      <c r="T157" s="239" t="str">
        <f>IF(Q157="","",Q157*$D157)</f>
        <v/>
      </c>
      <c r="U157" s="240" t="str">
        <f>IF(R157="","",R157*$D157)</f>
        <v/>
      </c>
      <c r="V157" s="241" t="str">
        <f>IF(S157="","",S157*$D157)</f>
        <v/>
      </c>
      <c r="W157" s="242"/>
    </row>
    <row r="158" spans="2:23" ht="12.95" customHeight="1" thickTop="1" thickBot="1">
      <c r="B158" s="816"/>
      <c r="C158" s="319" t="s">
        <v>327</v>
      </c>
      <c r="D158" s="227"/>
      <c r="E158" s="320"/>
      <c r="F158" s="404"/>
      <c r="G158" s="321"/>
      <c r="H158" s="322"/>
      <c r="I158" s="331"/>
      <c r="J158" s="496">
        <f>SUM(J154:J157)</f>
        <v>7667</v>
      </c>
      <c r="K158" s="323"/>
      <c r="L158" s="323"/>
      <c r="M158" s="324"/>
      <c r="N158" s="323"/>
      <c r="O158" s="325"/>
      <c r="P158" s="326"/>
      <c r="Q158" s="327"/>
      <c r="R158" s="328"/>
      <c r="S158" s="329"/>
      <c r="T158" s="330"/>
      <c r="U158" s="331"/>
      <c r="V158" s="332"/>
      <c r="W158" s="333"/>
    </row>
    <row r="159" spans="2:23" ht="12.95" customHeight="1">
      <c r="B159" s="817" t="s">
        <v>486</v>
      </c>
      <c r="C159" s="243" t="s">
        <v>193</v>
      </c>
      <c r="D159" s="211">
        <v>1</v>
      </c>
      <c r="E159" s="212"/>
      <c r="F159" s="401">
        <v>20000</v>
      </c>
      <c r="G159" s="213">
        <v>1</v>
      </c>
      <c r="H159" s="214">
        <v>1</v>
      </c>
      <c r="I159" s="343">
        <f>IF(D159=0,"",D159*1/G159*H159)</f>
        <v>1</v>
      </c>
      <c r="J159" s="497">
        <f t="shared" ref="J159:J169" si="53">IF(D159=0,"",ROUND(F159*I159,0))</f>
        <v>20000</v>
      </c>
      <c r="K159" s="215"/>
      <c r="L159" s="215"/>
      <c r="M159" s="216"/>
      <c r="N159" s="215"/>
      <c r="O159" s="217"/>
      <c r="P159" s="218"/>
      <c r="Q159" s="219"/>
      <c r="R159" s="220"/>
      <c r="S159" s="221"/>
      <c r="T159" s="222"/>
      <c r="U159" s="223"/>
      <c r="V159" s="224"/>
      <c r="W159" s="225"/>
    </row>
    <row r="160" spans="2:23" ht="12.95" customHeight="1">
      <c r="B160" s="818"/>
      <c r="C160" s="244" t="s">
        <v>124</v>
      </c>
      <c r="D160" s="152">
        <v>1</v>
      </c>
      <c r="E160" s="153"/>
      <c r="F160" s="405">
        <v>10000</v>
      </c>
      <c r="G160" s="154">
        <v>1</v>
      </c>
      <c r="H160" s="155">
        <v>1</v>
      </c>
      <c r="I160" s="500">
        <f t="shared" ref="I160:I169" si="54">IF(D160=0,"",D160*1/G160*H160)</f>
        <v>1</v>
      </c>
      <c r="J160" s="501">
        <f t="shared" si="53"/>
        <v>10000</v>
      </c>
      <c r="K160" s="156"/>
      <c r="L160" s="156"/>
      <c r="M160" s="157"/>
      <c r="N160" s="156"/>
      <c r="O160" s="158"/>
      <c r="P160" s="159"/>
      <c r="Q160" s="160"/>
      <c r="R160" s="161"/>
      <c r="S160" s="162"/>
      <c r="T160" s="163"/>
      <c r="U160" s="164"/>
      <c r="V160" s="165"/>
      <c r="W160" s="226"/>
    </row>
    <row r="161" spans="2:23" ht="12.95" customHeight="1">
      <c r="B161" s="818"/>
      <c r="C161" s="245" t="s">
        <v>194</v>
      </c>
      <c r="D161" s="152">
        <v>1</v>
      </c>
      <c r="E161" s="153"/>
      <c r="F161" s="405">
        <v>5000</v>
      </c>
      <c r="G161" s="154">
        <v>1</v>
      </c>
      <c r="H161" s="155">
        <v>1</v>
      </c>
      <c r="I161" s="500">
        <f t="shared" si="54"/>
        <v>1</v>
      </c>
      <c r="J161" s="501">
        <f t="shared" si="53"/>
        <v>5000</v>
      </c>
      <c r="K161" s="156"/>
      <c r="L161" s="156"/>
      <c r="M161" s="157"/>
      <c r="N161" s="156"/>
      <c r="O161" s="158"/>
      <c r="P161" s="159"/>
      <c r="Q161" s="160"/>
      <c r="R161" s="161"/>
      <c r="S161" s="162"/>
      <c r="T161" s="163"/>
      <c r="U161" s="164"/>
      <c r="V161" s="165"/>
      <c r="W161" s="226"/>
    </row>
    <row r="162" spans="2:23" ht="12.95" customHeight="1">
      <c r="B162" s="818"/>
      <c r="C162" s="246" t="s">
        <v>195</v>
      </c>
      <c r="D162" s="152">
        <v>1</v>
      </c>
      <c r="E162" s="153"/>
      <c r="F162" s="405">
        <v>10000</v>
      </c>
      <c r="G162" s="154">
        <v>1</v>
      </c>
      <c r="H162" s="155">
        <v>1</v>
      </c>
      <c r="I162" s="500">
        <f t="shared" si="54"/>
        <v>1</v>
      </c>
      <c r="J162" s="501">
        <f t="shared" si="53"/>
        <v>10000</v>
      </c>
      <c r="K162" s="156"/>
      <c r="L162" s="156"/>
      <c r="M162" s="157"/>
      <c r="N162" s="156"/>
      <c r="O162" s="158"/>
      <c r="P162" s="159"/>
      <c r="Q162" s="160"/>
      <c r="R162" s="161"/>
      <c r="S162" s="162"/>
      <c r="T162" s="163"/>
      <c r="U162" s="164"/>
      <c r="V162" s="165"/>
      <c r="W162" s="226"/>
    </row>
    <row r="163" spans="2:23" ht="12.95" customHeight="1">
      <c r="B163" s="818"/>
      <c r="C163" s="246"/>
      <c r="D163" s="152"/>
      <c r="E163" s="153"/>
      <c r="F163" s="405"/>
      <c r="G163" s="154"/>
      <c r="H163" s="155"/>
      <c r="I163" s="500" t="str">
        <f t="shared" si="54"/>
        <v/>
      </c>
      <c r="J163" s="501" t="str">
        <f t="shared" si="53"/>
        <v/>
      </c>
      <c r="K163" s="156"/>
      <c r="L163" s="156"/>
      <c r="M163" s="157"/>
      <c r="N163" s="156"/>
      <c r="O163" s="158"/>
      <c r="P163" s="159"/>
      <c r="Q163" s="160"/>
      <c r="R163" s="161"/>
      <c r="S163" s="162"/>
      <c r="T163" s="163"/>
      <c r="U163" s="164"/>
      <c r="V163" s="165"/>
      <c r="W163" s="226"/>
    </row>
    <row r="164" spans="2:23" ht="12.95" customHeight="1">
      <c r="B164" s="818"/>
      <c r="C164" s="246"/>
      <c r="D164" s="152"/>
      <c r="E164" s="153"/>
      <c r="F164" s="405"/>
      <c r="G164" s="154"/>
      <c r="H164" s="155"/>
      <c r="I164" s="500" t="str">
        <f t="shared" si="54"/>
        <v/>
      </c>
      <c r="J164" s="501" t="str">
        <f t="shared" si="53"/>
        <v/>
      </c>
      <c r="K164" s="156"/>
      <c r="L164" s="156"/>
      <c r="M164" s="157"/>
      <c r="N164" s="156"/>
      <c r="O164" s="158"/>
      <c r="P164" s="159"/>
      <c r="Q164" s="160"/>
      <c r="R164" s="161"/>
      <c r="S164" s="162"/>
      <c r="T164" s="163"/>
      <c r="U164" s="164"/>
      <c r="V164" s="165"/>
      <c r="W164" s="226"/>
    </row>
    <row r="165" spans="2:23" ht="12.95" customHeight="1">
      <c r="B165" s="818"/>
      <c r="C165" s="246"/>
      <c r="D165" s="152"/>
      <c r="E165" s="153"/>
      <c r="F165" s="405"/>
      <c r="G165" s="154"/>
      <c r="H165" s="155"/>
      <c r="I165" s="500" t="str">
        <f t="shared" si="54"/>
        <v/>
      </c>
      <c r="J165" s="501" t="str">
        <f t="shared" si="53"/>
        <v/>
      </c>
      <c r="K165" s="156"/>
      <c r="L165" s="156"/>
      <c r="M165" s="157"/>
      <c r="N165" s="156"/>
      <c r="O165" s="158"/>
      <c r="P165" s="159"/>
      <c r="Q165" s="160"/>
      <c r="R165" s="161"/>
      <c r="S165" s="162"/>
      <c r="T165" s="163"/>
      <c r="U165" s="164"/>
      <c r="V165" s="165"/>
      <c r="W165" s="226"/>
    </row>
    <row r="166" spans="2:23" ht="12.95" customHeight="1">
      <c r="B166" s="818"/>
      <c r="C166" s="246"/>
      <c r="D166" s="152"/>
      <c r="E166" s="153"/>
      <c r="F166" s="405"/>
      <c r="G166" s="154"/>
      <c r="H166" s="155"/>
      <c r="I166" s="500" t="str">
        <f t="shared" si="54"/>
        <v/>
      </c>
      <c r="J166" s="501" t="str">
        <f t="shared" si="53"/>
        <v/>
      </c>
      <c r="K166" s="156"/>
      <c r="L166" s="156"/>
      <c r="M166" s="157"/>
      <c r="N166" s="156"/>
      <c r="O166" s="158"/>
      <c r="P166" s="159"/>
      <c r="Q166" s="160"/>
      <c r="R166" s="161"/>
      <c r="S166" s="162"/>
      <c r="T166" s="163"/>
      <c r="U166" s="164"/>
      <c r="V166" s="165"/>
      <c r="W166" s="226"/>
    </row>
    <row r="167" spans="2:23" ht="12.95" customHeight="1">
      <c r="B167" s="818"/>
      <c r="C167" s="246"/>
      <c r="D167" s="152"/>
      <c r="E167" s="153"/>
      <c r="F167" s="405"/>
      <c r="G167" s="154"/>
      <c r="H167" s="155"/>
      <c r="I167" s="500" t="str">
        <f t="shared" si="54"/>
        <v/>
      </c>
      <c r="J167" s="501" t="str">
        <f t="shared" si="53"/>
        <v/>
      </c>
      <c r="K167" s="156"/>
      <c r="L167" s="156"/>
      <c r="M167" s="157"/>
      <c r="N167" s="156"/>
      <c r="O167" s="158"/>
      <c r="P167" s="159"/>
      <c r="Q167" s="160"/>
      <c r="R167" s="161"/>
      <c r="S167" s="162"/>
      <c r="T167" s="163"/>
      <c r="U167" s="164"/>
      <c r="V167" s="165"/>
      <c r="W167" s="226"/>
    </row>
    <row r="168" spans="2:23" ht="12.95" customHeight="1">
      <c r="B168" s="818"/>
      <c r="C168" s="246"/>
      <c r="D168" s="152"/>
      <c r="E168" s="153"/>
      <c r="F168" s="405"/>
      <c r="G168" s="154"/>
      <c r="H168" s="155"/>
      <c r="I168" s="500" t="str">
        <f t="shared" si="54"/>
        <v/>
      </c>
      <c r="J168" s="501" t="str">
        <f t="shared" si="53"/>
        <v/>
      </c>
      <c r="K168" s="156"/>
      <c r="L168" s="156"/>
      <c r="M168" s="157"/>
      <c r="N168" s="156"/>
      <c r="O168" s="158"/>
      <c r="P168" s="159"/>
      <c r="Q168" s="160"/>
      <c r="R168" s="161"/>
      <c r="S168" s="162"/>
      <c r="T168" s="163"/>
      <c r="U168" s="164"/>
      <c r="V168" s="165"/>
      <c r="W168" s="226"/>
    </row>
    <row r="169" spans="2:23" ht="12.95" customHeight="1" thickBot="1">
      <c r="B169" s="818"/>
      <c r="C169" s="247"/>
      <c r="D169" s="228"/>
      <c r="E169" s="229"/>
      <c r="F169" s="403"/>
      <c r="G169" s="230"/>
      <c r="H169" s="231"/>
      <c r="I169" s="346" t="str">
        <f t="shared" si="54"/>
        <v/>
      </c>
      <c r="J169" s="499" t="str">
        <f t="shared" si="53"/>
        <v/>
      </c>
      <c r="K169" s="232"/>
      <c r="L169" s="232"/>
      <c r="M169" s="233"/>
      <c r="N169" s="232"/>
      <c r="O169" s="234"/>
      <c r="P169" s="235"/>
      <c r="Q169" s="236"/>
      <c r="R169" s="237"/>
      <c r="S169" s="238"/>
      <c r="T169" s="239"/>
      <c r="U169" s="240"/>
      <c r="V169" s="241"/>
      <c r="W169" s="242"/>
    </row>
    <row r="170" spans="2:23" ht="12.95" customHeight="1" thickTop="1" thickBot="1">
      <c r="B170" s="819"/>
      <c r="C170" s="491" t="s">
        <v>327</v>
      </c>
      <c r="D170" s="227"/>
      <c r="E170" s="320"/>
      <c r="F170" s="404"/>
      <c r="G170" s="321"/>
      <c r="H170" s="322"/>
      <c r="I170" s="331"/>
      <c r="J170" s="496">
        <f>SUM(J159:J169)</f>
        <v>45000</v>
      </c>
      <c r="K170" s="323"/>
      <c r="L170" s="323"/>
      <c r="M170" s="324"/>
      <c r="N170" s="323"/>
      <c r="O170" s="325"/>
      <c r="P170" s="326"/>
      <c r="Q170" s="327"/>
      <c r="R170" s="328"/>
      <c r="S170" s="329"/>
      <c r="T170" s="492"/>
      <c r="U170" s="331"/>
      <c r="V170" s="332"/>
      <c r="W170" s="333"/>
    </row>
    <row r="171" spans="2:23" ht="13.5" customHeight="1">
      <c r="C171" s="93"/>
      <c r="D171" s="93"/>
      <c r="E171" s="93"/>
      <c r="F171" s="433"/>
      <c r="G171" s="93"/>
      <c r="H171" s="93"/>
      <c r="I171" s="495"/>
      <c r="J171" s="436"/>
      <c r="K171" s="1"/>
      <c r="L171" s="1"/>
      <c r="M171" s="434"/>
      <c r="N171" s="1"/>
      <c r="O171" s="1"/>
      <c r="P171" s="1"/>
      <c r="Q171" s="435"/>
      <c r="R171" s="435"/>
      <c r="S171" s="435"/>
      <c r="T171" s="436"/>
      <c r="U171" s="436"/>
      <c r="V171" s="436"/>
      <c r="W171" s="93"/>
    </row>
    <row r="172" spans="2:23" s="190" customFormat="1">
      <c r="F172" s="437"/>
      <c r="I172" s="441"/>
      <c r="J172" s="441"/>
      <c r="K172" s="438"/>
      <c r="L172" s="438"/>
      <c r="M172" s="439"/>
      <c r="N172" s="438"/>
      <c r="O172" s="438"/>
      <c r="P172" s="438"/>
      <c r="Q172" s="440"/>
      <c r="R172" s="440"/>
      <c r="S172" s="440"/>
      <c r="T172" s="441"/>
      <c r="U172" s="441"/>
      <c r="V172" s="441"/>
    </row>
    <row r="173" spans="2:23" s="190" customFormat="1">
      <c r="F173" s="437"/>
      <c r="I173" s="441"/>
      <c r="J173" s="441"/>
      <c r="K173" s="438"/>
      <c r="L173" s="438"/>
      <c r="M173" s="439"/>
      <c r="N173" s="438"/>
      <c r="O173" s="438"/>
      <c r="P173" s="438"/>
      <c r="Q173" s="440"/>
      <c r="R173" s="440"/>
      <c r="S173" s="440"/>
      <c r="T173" s="441"/>
      <c r="U173" s="441"/>
      <c r="V173" s="441"/>
    </row>
    <row r="174" spans="2:23" s="190" customFormat="1">
      <c r="F174" s="437"/>
      <c r="I174" s="441"/>
      <c r="J174" s="441"/>
      <c r="K174" s="438"/>
      <c r="L174" s="438"/>
      <c r="M174" s="439"/>
      <c r="N174" s="438"/>
      <c r="O174" s="438"/>
      <c r="P174" s="438"/>
      <c r="Q174" s="440"/>
      <c r="R174" s="440"/>
      <c r="S174" s="440"/>
      <c r="T174" s="441"/>
      <c r="U174" s="441"/>
      <c r="V174" s="441"/>
    </row>
    <row r="175" spans="2:23" s="190" customFormat="1">
      <c r="F175" s="437"/>
      <c r="I175" s="441"/>
      <c r="J175" s="441"/>
      <c r="K175" s="438"/>
      <c r="L175" s="438"/>
      <c r="M175" s="439"/>
      <c r="N175" s="438"/>
      <c r="O175" s="438"/>
      <c r="P175" s="438"/>
      <c r="Q175" s="440"/>
      <c r="R175" s="440"/>
      <c r="S175" s="440"/>
      <c r="T175" s="441"/>
      <c r="U175" s="441"/>
      <c r="V175" s="441"/>
    </row>
    <row r="176" spans="2:23" s="190" customFormat="1">
      <c r="F176" s="437"/>
      <c r="I176" s="441"/>
      <c r="J176" s="441"/>
      <c r="K176" s="438"/>
      <c r="L176" s="438"/>
      <c r="M176" s="439"/>
      <c r="N176" s="438"/>
      <c r="O176" s="438"/>
      <c r="P176" s="438"/>
      <c r="Q176" s="440"/>
      <c r="R176" s="440"/>
      <c r="S176" s="440"/>
      <c r="T176" s="441"/>
      <c r="U176" s="441"/>
      <c r="V176" s="441"/>
    </row>
    <row r="177" spans="3:23" s="190" customFormat="1">
      <c r="F177" s="437"/>
      <c r="I177" s="441"/>
      <c r="J177" s="441"/>
      <c r="K177" s="438"/>
      <c r="L177" s="438"/>
      <c r="M177" s="439"/>
      <c r="N177" s="438"/>
      <c r="O177" s="438"/>
      <c r="P177" s="438"/>
      <c r="Q177" s="440"/>
      <c r="R177" s="440"/>
      <c r="S177" s="440"/>
      <c r="T177" s="441"/>
      <c r="U177" s="441"/>
      <c r="V177" s="441"/>
    </row>
    <row r="178" spans="3:23" s="190" customFormat="1">
      <c r="F178" s="437"/>
      <c r="I178" s="441"/>
      <c r="J178" s="441"/>
      <c r="K178" s="438"/>
      <c r="L178" s="438"/>
      <c r="M178" s="439"/>
      <c r="N178" s="438"/>
      <c r="O178" s="438"/>
      <c r="P178" s="438"/>
      <c r="Q178" s="440"/>
      <c r="R178" s="440"/>
      <c r="S178" s="440"/>
      <c r="T178" s="441"/>
      <c r="U178" s="441"/>
      <c r="V178" s="441"/>
    </row>
    <row r="179" spans="3:23" s="190" customFormat="1">
      <c r="F179" s="437"/>
      <c r="I179" s="441" t="s">
        <v>324</v>
      </c>
      <c r="J179" s="441" t="s">
        <v>324</v>
      </c>
      <c r="K179" s="438"/>
      <c r="L179" s="438"/>
      <c r="M179" s="439"/>
      <c r="N179" s="438"/>
      <c r="O179" s="438">
        <v>0</v>
      </c>
      <c r="P179" s="438"/>
      <c r="Q179" s="440"/>
      <c r="R179" s="440"/>
      <c r="S179" s="440"/>
      <c r="T179" s="441" t="s">
        <v>324</v>
      </c>
      <c r="U179" s="441" t="s">
        <v>324</v>
      </c>
      <c r="V179" s="441" t="s">
        <v>324</v>
      </c>
    </row>
    <row r="180" spans="3:23" s="190" customFormat="1">
      <c r="F180" s="437"/>
      <c r="I180" s="441" t="s">
        <v>324</v>
      </c>
      <c r="J180" s="441" t="s">
        <v>324</v>
      </c>
      <c r="K180" s="438"/>
      <c r="L180" s="438"/>
      <c r="M180" s="439"/>
      <c r="N180" s="438"/>
      <c r="O180" s="438">
        <v>0</v>
      </c>
      <c r="P180" s="438"/>
      <c r="Q180" s="440"/>
      <c r="R180" s="440"/>
      <c r="S180" s="440"/>
      <c r="T180" s="441" t="s">
        <v>324</v>
      </c>
      <c r="U180" s="441" t="s">
        <v>324</v>
      </c>
      <c r="V180" s="441" t="s">
        <v>324</v>
      </c>
    </row>
    <row r="181" spans="3:23" s="190" customFormat="1">
      <c r="C181" s="191"/>
      <c r="D181" s="191"/>
      <c r="E181" s="191"/>
      <c r="F181" s="442"/>
      <c r="G181" s="191"/>
      <c r="H181" s="191"/>
      <c r="I181" s="446" t="s">
        <v>324</v>
      </c>
      <c r="J181" s="446" t="s">
        <v>324</v>
      </c>
      <c r="K181" s="443"/>
      <c r="L181" s="443"/>
      <c r="M181" s="444"/>
      <c r="N181" s="443"/>
      <c r="O181" s="443">
        <v>0</v>
      </c>
      <c r="P181" s="443"/>
      <c r="Q181" s="445"/>
      <c r="R181" s="445"/>
      <c r="S181" s="445"/>
      <c r="T181" s="446" t="s">
        <v>324</v>
      </c>
      <c r="U181" s="446" t="s">
        <v>324</v>
      </c>
      <c r="V181" s="446" t="s">
        <v>324</v>
      </c>
      <c r="W181" s="191"/>
    </row>
    <row r="182" spans="3:23" s="190" customFormat="1">
      <c r="C182" s="191"/>
      <c r="D182" s="191"/>
      <c r="E182" s="191"/>
      <c r="F182" s="442"/>
      <c r="G182" s="191"/>
      <c r="H182" s="191"/>
      <c r="I182" s="446" t="s">
        <v>324</v>
      </c>
      <c r="J182" s="446" t="s">
        <v>324</v>
      </c>
      <c r="K182" s="443"/>
      <c r="L182" s="443"/>
      <c r="M182" s="444"/>
      <c r="N182" s="443"/>
      <c r="O182" s="443">
        <v>0</v>
      </c>
      <c r="P182" s="443"/>
      <c r="Q182" s="445"/>
      <c r="R182" s="445"/>
      <c r="S182" s="445"/>
      <c r="T182" s="446" t="s">
        <v>324</v>
      </c>
      <c r="U182" s="446" t="s">
        <v>324</v>
      </c>
      <c r="V182" s="446" t="s">
        <v>324</v>
      </c>
      <c r="W182" s="191"/>
    </row>
    <row r="183" spans="3:23" s="190" customFormat="1">
      <c r="C183" s="191"/>
      <c r="D183" s="191"/>
      <c r="E183" s="191"/>
      <c r="F183" s="442"/>
      <c r="G183" s="191"/>
      <c r="H183" s="191"/>
      <c r="I183" s="446" t="s">
        <v>324</v>
      </c>
      <c r="J183" s="446" t="s">
        <v>324</v>
      </c>
      <c r="K183" s="443"/>
      <c r="L183" s="443"/>
      <c r="M183" s="444"/>
      <c r="N183" s="443"/>
      <c r="O183" s="443">
        <v>0</v>
      </c>
      <c r="P183" s="443"/>
      <c r="Q183" s="445"/>
      <c r="R183" s="445"/>
      <c r="S183" s="445"/>
      <c r="T183" s="446" t="s">
        <v>324</v>
      </c>
      <c r="U183" s="446" t="s">
        <v>324</v>
      </c>
      <c r="V183" s="446" t="s">
        <v>324</v>
      </c>
      <c r="W183" s="191"/>
    </row>
    <row r="184" spans="3:23" s="190" customFormat="1">
      <c r="C184" s="191"/>
      <c r="D184" s="191"/>
      <c r="E184" s="191"/>
      <c r="F184" s="442"/>
      <c r="G184" s="191"/>
      <c r="H184" s="191"/>
      <c r="I184" s="446" t="s">
        <v>324</v>
      </c>
      <c r="J184" s="446" t="s">
        <v>324</v>
      </c>
      <c r="K184" s="443"/>
      <c r="L184" s="443"/>
      <c r="M184" s="444"/>
      <c r="N184" s="443"/>
      <c r="O184" s="443">
        <v>0</v>
      </c>
      <c r="P184" s="443"/>
      <c r="Q184" s="445"/>
      <c r="R184" s="445"/>
      <c r="S184" s="445"/>
      <c r="T184" s="446" t="s">
        <v>324</v>
      </c>
      <c r="U184" s="446" t="s">
        <v>324</v>
      </c>
      <c r="V184" s="446" t="s">
        <v>324</v>
      </c>
      <c r="W184" s="191"/>
    </row>
    <row r="185" spans="3:23" s="190" customFormat="1">
      <c r="C185" s="191"/>
      <c r="D185" s="191"/>
      <c r="E185" s="191"/>
      <c r="F185" s="442"/>
      <c r="G185" s="191"/>
      <c r="H185" s="191"/>
      <c r="I185" s="446" t="s">
        <v>324</v>
      </c>
      <c r="J185" s="446" t="s">
        <v>324</v>
      </c>
      <c r="K185" s="443"/>
      <c r="L185" s="443"/>
      <c r="M185" s="444"/>
      <c r="N185" s="443"/>
      <c r="O185" s="443">
        <v>0</v>
      </c>
      <c r="P185" s="443"/>
      <c r="Q185" s="445"/>
      <c r="R185" s="445"/>
      <c r="S185" s="445"/>
      <c r="T185" s="446" t="s">
        <v>324</v>
      </c>
      <c r="U185" s="446" t="s">
        <v>324</v>
      </c>
      <c r="V185" s="446" t="s">
        <v>324</v>
      </c>
      <c r="W185" s="191"/>
    </row>
    <row r="186" spans="3:23" s="190" customFormat="1">
      <c r="C186" s="191"/>
      <c r="D186" s="191"/>
      <c r="E186" s="191"/>
      <c r="F186" s="442"/>
      <c r="G186" s="191"/>
      <c r="H186" s="191"/>
      <c r="I186" s="446" t="s">
        <v>324</v>
      </c>
      <c r="J186" s="446" t="s">
        <v>324</v>
      </c>
      <c r="K186" s="443"/>
      <c r="L186" s="443"/>
      <c r="M186" s="444"/>
      <c r="N186" s="443"/>
      <c r="O186" s="443">
        <v>0</v>
      </c>
      <c r="P186" s="443"/>
      <c r="Q186" s="445"/>
      <c r="R186" s="445"/>
      <c r="S186" s="445"/>
      <c r="T186" s="446" t="s">
        <v>324</v>
      </c>
      <c r="U186" s="446" t="s">
        <v>324</v>
      </c>
      <c r="V186" s="446" t="s">
        <v>324</v>
      </c>
      <c r="W186" s="191"/>
    </row>
    <row r="187" spans="3:23">
      <c r="I187" s="446" t="s">
        <v>324</v>
      </c>
      <c r="J187" s="446" t="s">
        <v>324</v>
      </c>
      <c r="O187" s="443">
        <v>0</v>
      </c>
      <c r="T187" s="446" t="s">
        <v>324</v>
      </c>
      <c r="U187" s="446" t="s">
        <v>324</v>
      </c>
      <c r="V187" s="446" t="s">
        <v>324</v>
      </c>
    </row>
    <row r="188" spans="3:23">
      <c r="I188" s="446" t="s">
        <v>324</v>
      </c>
      <c r="J188" s="446" t="s">
        <v>324</v>
      </c>
      <c r="O188" s="443">
        <v>0</v>
      </c>
      <c r="T188" s="446" t="s">
        <v>324</v>
      </c>
      <c r="U188" s="446" t="s">
        <v>324</v>
      </c>
      <c r="V188" s="446" t="s">
        <v>324</v>
      </c>
    </row>
    <row r="189" spans="3:23">
      <c r="I189" s="446" t="s">
        <v>324</v>
      </c>
      <c r="J189" s="446" t="s">
        <v>324</v>
      </c>
      <c r="O189" s="443">
        <v>0</v>
      </c>
      <c r="T189" s="446" t="s">
        <v>324</v>
      </c>
      <c r="U189" s="446" t="s">
        <v>324</v>
      </c>
      <c r="V189" s="446" t="s">
        <v>324</v>
      </c>
    </row>
    <row r="190" spans="3:23">
      <c r="I190" s="446" t="s">
        <v>324</v>
      </c>
      <c r="J190" s="446" t="s">
        <v>324</v>
      </c>
      <c r="O190" s="443">
        <v>0</v>
      </c>
      <c r="T190" s="446" t="s">
        <v>324</v>
      </c>
      <c r="U190" s="446" t="s">
        <v>324</v>
      </c>
      <c r="V190" s="446" t="s">
        <v>324</v>
      </c>
    </row>
    <row r="191" spans="3:23">
      <c r="I191" s="446" t="s">
        <v>324</v>
      </c>
      <c r="J191" s="446" t="s">
        <v>324</v>
      </c>
      <c r="O191" s="443">
        <v>0</v>
      </c>
      <c r="T191" s="446" t="s">
        <v>324</v>
      </c>
      <c r="U191" s="446" t="s">
        <v>324</v>
      </c>
      <c r="V191" s="446" t="s">
        <v>324</v>
      </c>
    </row>
    <row r="192" spans="3:23">
      <c r="I192" s="446" t="s">
        <v>324</v>
      </c>
      <c r="J192" s="446" t="s">
        <v>324</v>
      </c>
      <c r="O192" s="443">
        <v>0</v>
      </c>
      <c r="T192" s="446" t="s">
        <v>324</v>
      </c>
      <c r="U192" s="446" t="s">
        <v>324</v>
      </c>
      <c r="V192" s="446" t="s">
        <v>324</v>
      </c>
    </row>
    <row r="193" spans="9:22">
      <c r="I193" s="446" t="s">
        <v>324</v>
      </c>
      <c r="J193" s="446" t="s">
        <v>324</v>
      </c>
      <c r="O193" s="443">
        <v>0</v>
      </c>
      <c r="T193" s="446" t="s">
        <v>324</v>
      </c>
      <c r="U193" s="446" t="s">
        <v>324</v>
      </c>
      <c r="V193" s="446" t="s">
        <v>324</v>
      </c>
    </row>
    <row r="194" spans="9:22">
      <c r="I194" s="446" t="s">
        <v>324</v>
      </c>
      <c r="J194" s="446" t="s">
        <v>324</v>
      </c>
      <c r="O194" s="443">
        <v>0</v>
      </c>
      <c r="T194" s="446" t="s">
        <v>324</v>
      </c>
      <c r="U194" s="446" t="s">
        <v>324</v>
      </c>
      <c r="V194" s="446" t="s">
        <v>324</v>
      </c>
    </row>
    <row r="195" spans="9:22">
      <c r="I195" s="446" t="s">
        <v>324</v>
      </c>
      <c r="J195" s="446" t="s">
        <v>324</v>
      </c>
      <c r="O195" s="443">
        <v>0</v>
      </c>
      <c r="T195" s="446" t="s">
        <v>324</v>
      </c>
      <c r="U195" s="446" t="s">
        <v>324</v>
      </c>
      <c r="V195" s="446" t="s">
        <v>324</v>
      </c>
    </row>
    <row r="196" spans="9:22">
      <c r="I196" s="446" t="s">
        <v>324</v>
      </c>
      <c r="J196" s="446" t="s">
        <v>324</v>
      </c>
      <c r="O196" s="443">
        <v>0</v>
      </c>
      <c r="T196" s="446" t="s">
        <v>324</v>
      </c>
      <c r="U196" s="446" t="s">
        <v>324</v>
      </c>
      <c r="V196" s="446" t="s">
        <v>324</v>
      </c>
    </row>
    <row r="197" spans="9:22">
      <c r="I197" s="446" t="s">
        <v>324</v>
      </c>
      <c r="J197" s="446" t="s">
        <v>324</v>
      </c>
      <c r="O197" s="443">
        <v>0</v>
      </c>
      <c r="T197" s="446" t="s">
        <v>324</v>
      </c>
      <c r="U197" s="446" t="s">
        <v>324</v>
      </c>
      <c r="V197" s="446" t="s">
        <v>324</v>
      </c>
    </row>
    <row r="198" spans="9:22">
      <c r="I198" s="446" t="s">
        <v>324</v>
      </c>
      <c r="J198" s="446" t="s">
        <v>324</v>
      </c>
      <c r="O198" s="443">
        <v>0</v>
      </c>
      <c r="T198" s="446" t="s">
        <v>324</v>
      </c>
      <c r="U198" s="446" t="s">
        <v>324</v>
      </c>
      <c r="V198" s="446" t="s">
        <v>324</v>
      </c>
    </row>
    <row r="199" spans="9:22">
      <c r="I199" s="446" t="s">
        <v>324</v>
      </c>
      <c r="J199" s="446" t="s">
        <v>324</v>
      </c>
      <c r="O199" s="443">
        <v>0</v>
      </c>
      <c r="T199" s="446" t="s">
        <v>324</v>
      </c>
      <c r="U199" s="446" t="s">
        <v>324</v>
      </c>
      <c r="V199" s="446" t="s">
        <v>324</v>
      </c>
    </row>
    <row r="200" spans="9:22">
      <c r="I200" s="446" t="s">
        <v>324</v>
      </c>
      <c r="J200" s="446" t="s">
        <v>324</v>
      </c>
      <c r="O200" s="443">
        <v>0</v>
      </c>
      <c r="T200" s="446" t="s">
        <v>324</v>
      </c>
      <c r="U200" s="446" t="s">
        <v>324</v>
      </c>
      <c r="V200" s="446" t="s">
        <v>324</v>
      </c>
    </row>
    <row r="201" spans="9:22">
      <c r="I201" s="446" t="s">
        <v>324</v>
      </c>
      <c r="J201" s="446" t="s">
        <v>324</v>
      </c>
      <c r="O201" s="443">
        <v>0</v>
      </c>
      <c r="T201" s="446" t="s">
        <v>324</v>
      </c>
      <c r="U201" s="446" t="s">
        <v>324</v>
      </c>
      <c r="V201" s="446" t="s">
        <v>324</v>
      </c>
    </row>
    <row r="202" spans="9:22">
      <c r="I202" s="446" t="s">
        <v>324</v>
      </c>
      <c r="J202" s="446" t="s">
        <v>324</v>
      </c>
      <c r="O202" s="443">
        <v>0</v>
      </c>
      <c r="T202" s="446" t="s">
        <v>324</v>
      </c>
      <c r="U202" s="446" t="s">
        <v>324</v>
      </c>
      <c r="V202" s="446" t="s">
        <v>324</v>
      </c>
    </row>
    <row r="203" spans="9:22">
      <c r="I203" s="446" t="s">
        <v>324</v>
      </c>
      <c r="J203" s="446" t="s">
        <v>324</v>
      </c>
      <c r="O203" s="443">
        <v>0</v>
      </c>
      <c r="T203" s="446" t="s">
        <v>324</v>
      </c>
      <c r="U203" s="446" t="s">
        <v>324</v>
      </c>
      <c r="V203" s="446" t="s">
        <v>324</v>
      </c>
    </row>
    <row r="204" spans="9:22">
      <c r="T204" s="446"/>
      <c r="U204" s="446"/>
      <c r="V204" s="446"/>
    </row>
    <row r="205" spans="9:22">
      <c r="T205" s="446"/>
      <c r="U205" s="446"/>
      <c r="V205" s="446"/>
    </row>
    <row r="206" spans="9:22">
      <c r="T206" s="446"/>
      <c r="U206" s="446"/>
      <c r="V206" s="446"/>
    </row>
    <row r="207" spans="9:22">
      <c r="T207" s="446"/>
      <c r="U207" s="446"/>
      <c r="V207" s="446"/>
    </row>
    <row r="208" spans="9:22">
      <c r="T208" s="446"/>
      <c r="U208" s="446"/>
      <c r="V208" s="446"/>
    </row>
    <row r="209" spans="20:22">
      <c r="T209" s="446"/>
      <c r="U209" s="446"/>
      <c r="V209" s="446"/>
    </row>
    <row r="210" spans="20:22">
      <c r="T210" s="446"/>
      <c r="U210" s="446"/>
      <c r="V210" s="446"/>
    </row>
    <row r="211" spans="20:22">
      <c r="T211" s="446"/>
      <c r="U211" s="446"/>
      <c r="V211" s="446"/>
    </row>
    <row r="212" spans="20:22">
      <c r="T212" s="446"/>
      <c r="U212" s="446"/>
      <c r="V212" s="446"/>
    </row>
    <row r="213" spans="20:22">
      <c r="T213" s="446"/>
      <c r="U213" s="446"/>
      <c r="V213" s="446"/>
    </row>
    <row r="214" spans="20:22">
      <c r="T214" s="446"/>
      <c r="U214" s="446"/>
      <c r="V214" s="446"/>
    </row>
    <row r="215" spans="20:22" hidden="1">
      <c r="T215" s="446"/>
      <c r="U215" s="446"/>
      <c r="V215" s="446"/>
    </row>
    <row r="216" spans="20:22">
      <c r="T216" s="446"/>
      <c r="U216" s="446"/>
      <c r="V216" s="446"/>
    </row>
    <row r="217" spans="20:22">
      <c r="T217" s="446"/>
      <c r="U217" s="446"/>
      <c r="V217" s="446"/>
    </row>
    <row r="218" spans="20:22">
      <c r="T218" s="446"/>
      <c r="U218" s="446"/>
      <c r="V218" s="446"/>
    </row>
    <row r="219" spans="20:22">
      <c r="T219" s="446"/>
      <c r="U219" s="446"/>
      <c r="V219" s="446"/>
    </row>
    <row r="220" spans="20:22">
      <c r="T220" s="446"/>
      <c r="U220" s="446"/>
      <c r="V220" s="446"/>
    </row>
    <row r="221" spans="20:22">
      <c r="T221" s="446"/>
      <c r="U221" s="446"/>
      <c r="V221" s="446"/>
    </row>
    <row r="222" spans="20:22">
      <c r="T222" s="446"/>
      <c r="U222" s="446"/>
      <c r="V222" s="446"/>
    </row>
    <row r="223" spans="20:22">
      <c r="T223" s="446"/>
      <c r="U223" s="446"/>
      <c r="V223" s="446"/>
    </row>
    <row r="224" spans="20:22">
      <c r="T224" s="446"/>
      <c r="U224" s="446"/>
      <c r="V224" s="446"/>
    </row>
    <row r="225" spans="20:22">
      <c r="T225" s="446"/>
      <c r="U225" s="446"/>
      <c r="V225" s="446"/>
    </row>
    <row r="226" spans="20:22">
      <c r="T226" s="446"/>
      <c r="U226" s="446"/>
      <c r="V226" s="446"/>
    </row>
    <row r="227" spans="20:22">
      <c r="T227" s="446"/>
      <c r="U227" s="446"/>
      <c r="V227" s="446"/>
    </row>
    <row r="228" spans="20:22">
      <c r="T228" s="446"/>
      <c r="U228" s="446"/>
      <c r="V228" s="446"/>
    </row>
    <row r="229" spans="20:22">
      <c r="T229" s="446"/>
      <c r="U229" s="446"/>
      <c r="V229" s="446"/>
    </row>
    <row r="230" spans="20:22">
      <c r="T230" s="446"/>
      <c r="U230" s="446"/>
      <c r="V230" s="446"/>
    </row>
    <row r="231" spans="20:22">
      <c r="T231" s="446"/>
      <c r="U231" s="446"/>
      <c r="V231" s="446"/>
    </row>
    <row r="232" spans="20:22">
      <c r="T232" s="446"/>
      <c r="U232" s="446"/>
      <c r="V232" s="446"/>
    </row>
    <row r="233" spans="20:22">
      <c r="T233" s="446"/>
      <c r="U233" s="446"/>
      <c r="V233" s="446"/>
    </row>
    <row r="234" spans="20:22">
      <c r="T234" s="446"/>
      <c r="U234" s="446"/>
      <c r="V234" s="446"/>
    </row>
    <row r="235" spans="20:22">
      <c r="T235" s="446"/>
      <c r="U235" s="446"/>
      <c r="V235" s="446"/>
    </row>
    <row r="236" spans="20:22">
      <c r="T236" s="446"/>
      <c r="U236" s="446"/>
      <c r="V236" s="446"/>
    </row>
    <row r="237" spans="20:22">
      <c r="T237" s="446"/>
      <c r="U237" s="446"/>
      <c r="V237" s="446"/>
    </row>
    <row r="238" spans="20:22">
      <c r="T238" s="446"/>
      <c r="U238" s="446"/>
      <c r="V238" s="446"/>
    </row>
    <row r="239" spans="20:22">
      <c r="T239" s="446"/>
      <c r="U239" s="446"/>
      <c r="V239" s="446"/>
    </row>
    <row r="240" spans="20:22">
      <c r="T240" s="446"/>
      <c r="U240" s="446"/>
      <c r="V240" s="446"/>
    </row>
    <row r="241" spans="20:22">
      <c r="T241" s="446"/>
      <c r="U241" s="446"/>
      <c r="V241" s="446"/>
    </row>
    <row r="242" spans="20:22">
      <c r="T242" s="446"/>
      <c r="U242" s="446"/>
      <c r="V242" s="446"/>
    </row>
    <row r="243" spans="20:22">
      <c r="T243" s="446"/>
      <c r="U243" s="446"/>
      <c r="V243" s="446"/>
    </row>
    <row r="244" spans="20:22">
      <c r="T244" s="446"/>
      <c r="U244" s="446"/>
      <c r="V244" s="446"/>
    </row>
    <row r="245" spans="20:22">
      <c r="T245" s="446"/>
      <c r="U245" s="446"/>
      <c r="V245" s="446"/>
    </row>
    <row r="246" spans="20:22">
      <c r="T246" s="446"/>
      <c r="U246" s="446"/>
      <c r="V246" s="446"/>
    </row>
    <row r="247" spans="20:22">
      <c r="T247" s="446"/>
      <c r="U247" s="446"/>
      <c r="V247" s="446"/>
    </row>
    <row r="248" spans="20:22">
      <c r="T248" s="446"/>
      <c r="U248" s="446"/>
      <c r="V248" s="446"/>
    </row>
    <row r="249" spans="20:22">
      <c r="T249" s="446"/>
      <c r="U249" s="446"/>
      <c r="V249" s="446"/>
    </row>
    <row r="250" spans="20:22">
      <c r="T250" s="446"/>
      <c r="U250" s="446"/>
      <c r="V250" s="446"/>
    </row>
    <row r="251" spans="20:22">
      <c r="T251" s="446"/>
      <c r="U251" s="446"/>
      <c r="V251" s="446"/>
    </row>
    <row r="252" spans="20:22">
      <c r="T252" s="446"/>
      <c r="U252" s="446"/>
      <c r="V252" s="446"/>
    </row>
    <row r="253" spans="20:22">
      <c r="T253" s="446"/>
      <c r="U253" s="446"/>
      <c r="V253" s="446"/>
    </row>
    <row r="254" spans="20:22">
      <c r="T254" s="446"/>
      <c r="U254" s="446"/>
      <c r="V254" s="446"/>
    </row>
    <row r="255" spans="20:22">
      <c r="T255" s="446"/>
      <c r="U255" s="446"/>
      <c r="V255" s="446"/>
    </row>
    <row r="256" spans="20:22">
      <c r="T256" s="446"/>
      <c r="U256" s="446"/>
      <c r="V256" s="446"/>
    </row>
    <row r="257" spans="20:22">
      <c r="T257" s="446"/>
      <c r="U257" s="446"/>
      <c r="V257" s="446"/>
    </row>
    <row r="258" spans="20:22">
      <c r="T258" s="446"/>
      <c r="U258" s="446"/>
      <c r="V258" s="446"/>
    </row>
    <row r="259" spans="20:22">
      <c r="T259" s="446"/>
      <c r="U259" s="446"/>
      <c r="V259" s="446"/>
    </row>
    <row r="260" spans="20:22">
      <c r="T260" s="446"/>
      <c r="U260" s="446"/>
      <c r="V260" s="446"/>
    </row>
    <row r="261" spans="20:22">
      <c r="T261" s="446"/>
      <c r="U261" s="446"/>
      <c r="V261" s="446"/>
    </row>
    <row r="262" spans="20:22">
      <c r="T262" s="446"/>
      <c r="U262" s="446"/>
      <c r="V262" s="446"/>
    </row>
    <row r="263" spans="20:22">
      <c r="T263" s="446"/>
      <c r="U263" s="446"/>
      <c r="V263" s="446"/>
    </row>
    <row r="264" spans="20:22">
      <c r="T264" s="446"/>
      <c r="U264" s="446"/>
      <c r="V264" s="446"/>
    </row>
    <row r="265" spans="20:22">
      <c r="T265" s="446"/>
      <c r="U265" s="446"/>
      <c r="V265" s="446"/>
    </row>
    <row r="266" spans="20:22">
      <c r="T266" s="446"/>
      <c r="U266" s="446"/>
      <c r="V266" s="446"/>
    </row>
    <row r="267" spans="20:22">
      <c r="T267" s="446"/>
      <c r="U267" s="446"/>
      <c r="V267" s="446"/>
    </row>
    <row r="268" spans="20:22">
      <c r="T268" s="446"/>
      <c r="U268" s="446"/>
      <c r="V268" s="446"/>
    </row>
    <row r="269" spans="20:22">
      <c r="T269" s="446"/>
      <c r="U269" s="446"/>
      <c r="V269" s="446"/>
    </row>
    <row r="270" spans="20:22">
      <c r="T270" s="446"/>
      <c r="U270" s="446"/>
      <c r="V270" s="446"/>
    </row>
    <row r="271" spans="20:22">
      <c r="T271" s="446"/>
      <c r="U271" s="446"/>
      <c r="V271" s="446"/>
    </row>
    <row r="272" spans="20:22">
      <c r="T272" s="446"/>
      <c r="U272" s="446"/>
      <c r="V272" s="446"/>
    </row>
    <row r="273" spans="20:22">
      <c r="T273" s="446"/>
      <c r="U273" s="446"/>
      <c r="V273" s="446"/>
    </row>
    <row r="274" spans="20:22">
      <c r="T274" s="446"/>
      <c r="U274" s="446"/>
      <c r="V274" s="446"/>
    </row>
    <row r="275" spans="20:22">
      <c r="T275" s="446"/>
      <c r="U275" s="446"/>
      <c r="V275" s="446"/>
    </row>
    <row r="276" spans="20:22">
      <c r="T276" s="446"/>
      <c r="U276" s="446"/>
      <c r="V276" s="446"/>
    </row>
    <row r="277" spans="20:22">
      <c r="T277" s="446"/>
      <c r="U277" s="446"/>
      <c r="V277" s="446"/>
    </row>
    <row r="278" spans="20:22">
      <c r="T278" s="446"/>
      <c r="U278" s="446"/>
      <c r="V278" s="446"/>
    </row>
    <row r="279" spans="20:22">
      <c r="T279" s="446"/>
      <c r="U279" s="446"/>
      <c r="V279" s="446"/>
    </row>
    <row r="280" spans="20:22">
      <c r="T280" s="446"/>
      <c r="U280" s="446"/>
      <c r="V280" s="446"/>
    </row>
    <row r="281" spans="20:22">
      <c r="T281" s="446"/>
      <c r="U281" s="446"/>
      <c r="V281" s="446"/>
    </row>
    <row r="282" spans="20:22">
      <c r="T282" s="446"/>
      <c r="U282" s="446"/>
      <c r="V282" s="446"/>
    </row>
    <row r="283" spans="20:22">
      <c r="T283" s="446"/>
      <c r="U283" s="446"/>
      <c r="V283" s="446"/>
    </row>
    <row r="284" spans="20:22">
      <c r="T284" s="446"/>
      <c r="U284" s="446"/>
      <c r="V284" s="446"/>
    </row>
    <row r="285" spans="20:22">
      <c r="T285" s="446"/>
      <c r="U285" s="446"/>
      <c r="V285" s="446"/>
    </row>
    <row r="286" spans="20:22">
      <c r="T286" s="446"/>
      <c r="U286" s="446"/>
      <c r="V286" s="446"/>
    </row>
    <row r="287" spans="20:22">
      <c r="T287" s="446"/>
      <c r="U287" s="446"/>
      <c r="V287" s="446"/>
    </row>
    <row r="288" spans="20:22">
      <c r="T288" s="446"/>
      <c r="U288" s="446"/>
      <c r="V288" s="446"/>
    </row>
    <row r="289" spans="20:22">
      <c r="T289" s="446"/>
      <c r="U289" s="446"/>
      <c r="V289" s="446"/>
    </row>
    <row r="290" spans="20:22">
      <c r="T290" s="446"/>
      <c r="U290" s="446"/>
      <c r="V290" s="446"/>
    </row>
    <row r="291" spans="20:22">
      <c r="T291" s="446"/>
      <c r="U291" s="446"/>
      <c r="V291" s="446"/>
    </row>
    <row r="292" spans="20:22">
      <c r="T292" s="446"/>
      <c r="U292" s="446"/>
      <c r="V292" s="446"/>
    </row>
    <row r="293" spans="20:22">
      <c r="T293" s="446"/>
      <c r="U293" s="446"/>
      <c r="V293" s="446"/>
    </row>
    <row r="294" spans="20:22">
      <c r="T294" s="446"/>
      <c r="U294" s="446"/>
      <c r="V294" s="446"/>
    </row>
    <row r="295" spans="20:22">
      <c r="T295" s="446"/>
      <c r="U295" s="446"/>
      <c r="V295" s="446"/>
    </row>
    <row r="296" spans="20:22">
      <c r="T296" s="446"/>
      <c r="U296" s="446"/>
      <c r="V296" s="446"/>
    </row>
    <row r="297" spans="20:22">
      <c r="T297" s="446"/>
      <c r="U297" s="446"/>
      <c r="V297" s="446"/>
    </row>
    <row r="298" spans="20:22">
      <c r="T298" s="446"/>
      <c r="U298" s="446"/>
      <c r="V298" s="446"/>
    </row>
    <row r="299" spans="20:22">
      <c r="T299" s="446"/>
      <c r="U299" s="446"/>
      <c r="V299" s="446"/>
    </row>
    <row r="300" spans="20:22"/>
    <row r="301" spans="20:22"/>
    <row r="302" spans="20:22"/>
    <row r="303" spans="20:22"/>
    <row r="304" spans="20:22"/>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sheetData>
  <sheetProtection sheet="1" objects="1" scenarios="1" selectLockedCells="1"/>
  <mergeCells count="16">
    <mergeCell ref="B149:B153"/>
    <mergeCell ref="B154:B158"/>
    <mergeCell ref="B159:B170"/>
    <mergeCell ref="B128:B138"/>
    <mergeCell ref="B10:B20"/>
    <mergeCell ref="B21:B59"/>
    <mergeCell ref="B139:B143"/>
    <mergeCell ref="B144:B148"/>
    <mergeCell ref="B122:B127"/>
    <mergeCell ref="D1:E1"/>
    <mergeCell ref="B3:B9"/>
    <mergeCell ref="B60:B69"/>
    <mergeCell ref="B104:B110"/>
    <mergeCell ref="B116:B121"/>
    <mergeCell ref="B111:B115"/>
    <mergeCell ref="B70:B103"/>
  </mergeCells>
  <phoneticPr fontId="14"/>
  <dataValidations count="2">
    <dataValidation type="list" allowBlank="1" showErrorMessage="1" sqref="E102:E170 E9:E91 P3:P170 M3:M170">
      <formula1>単位</formula1>
      <formula2>0</formula2>
    </dataValidation>
    <dataValidation type="list" allowBlank="1" showInputMessage="1" showErrorMessage="1" sqref="E3:E8">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6"/>
  <sheetViews>
    <sheetView workbookViewId="0">
      <selection activeCell="G28" sqref="G28"/>
    </sheetView>
  </sheetViews>
  <sheetFormatPr defaultRowHeight="13.5"/>
  <cols>
    <col min="3" max="3" width="9.875" bestFit="1" customWidth="1"/>
    <col min="4" max="4" width="30.5" bestFit="1" customWidth="1"/>
  </cols>
  <sheetData>
    <row r="3" spans="3:4">
      <c r="C3" s="285" t="s">
        <v>427</v>
      </c>
      <c r="D3" s="287"/>
    </row>
    <row r="4" spans="3:4">
      <c r="C4" s="289"/>
      <c r="D4" s="287" t="s">
        <v>428</v>
      </c>
    </row>
    <row r="5" spans="3:4">
      <c r="C5" s="290"/>
      <c r="D5" s="287" t="s">
        <v>429</v>
      </c>
    </row>
    <row r="6" spans="3:4">
      <c r="C6" s="287"/>
      <c r="D6" s="287" t="s">
        <v>430</v>
      </c>
    </row>
    <row r="13" spans="3:4">
      <c r="C13" s="285" t="s">
        <v>423</v>
      </c>
      <c r="D13" s="285" t="s">
        <v>422</v>
      </c>
    </row>
    <row r="14" spans="3:4">
      <c r="C14" s="286"/>
      <c r="D14" s="287" t="s">
        <v>424</v>
      </c>
    </row>
    <row r="15" spans="3:4">
      <c r="C15" s="288"/>
      <c r="D15" s="287" t="s">
        <v>425</v>
      </c>
    </row>
    <row r="16" spans="3:4">
      <c r="C16" s="287"/>
      <c r="D16" s="287" t="s">
        <v>426</v>
      </c>
    </row>
  </sheetData>
  <phoneticPr fontId="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経営収支</vt:lpstr>
      <vt:lpstr>作業体系表</vt:lpstr>
      <vt:lpstr>Z-BFM</vt:lpstr>
      <vt:lpstr>①技術体系</vt:lpstr>
      <vt:lpstr>②償却資産</vt:lpstr>
      <vt:lpstr>③労働時間</vt:lpstr>
      <vt:lpstr>④収入</vt:lpstr>
      <vt:lpstr>⑤支出</vt:lpstr>
      <vt:lpstr>凡例</vt:lpstr>
      <vt:lpstr>科目設定</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③労働時間!Print_Area</vt:lpstr>
      <vt:lpstr>④収入!Print_Area</vt:lpstr>
      <vt:lpstr>⑤支出!Print_Area</vt:lpstr>
      <vt:lpstr>科目設定!Print_Area</vt:lpstr>
      <vt:lpstr>作業体系表!Print_Area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2018-02-11T06:29:13Z</cp:lastPrinted>
  <dcterms:created xsi:type="dcterms:W3CDTF">2008-10-27T01:58:08Z</dcterms:created>
  <dcterms:modified xsi:type="dcterms:W3CDTF">2018-02-11T06:29:18Z</dcterms:modified>
</cp:coreProperties>
</file>