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45" yWindow="6420" windowWidth="26430" windowHeight="6060" firstSheet="4" activeTab="10"/>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 name="ｲﾒｰｼﾞ" sheetId="22" r:id="rId11"/>
    <sheet name="牛購入・販売根基" sheetId="23" r:id="rId12"/>
    <sheet name="共済掛金算出" sheetId="24" r:id="rId13"/>
  </sheets>
  <externalReferences>
    <externalReference r:id="rId14"/>
    <externalReference r:id="rId15"/>
  </externalReferences>
  <definedNames>
    <definedName name="_xlnm._FilterDatabase" localSheetId="7" hidden="1">⑤支出!$A$2:$W$178</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③労働時間!$A$1:$O$353</definedName>
    <definedName name="_xlnm.Print_Area" localSheetId="6">④収入!$A$2:$H$22</definedName>
    <definedName name="_xlnm.Print_Area" localSheetId="7">⑤支出!$B$1:$W$177</definedName>
    <definedName name="_xlnm.Print_Area" localSheetId="9">科目設定!$A$1:$W$38</definedName>
    <definedName name="_xlnm.Print_Area" localSheetId="1">作業体系表!$A$1:$AN$51</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F68" i="4" l="1"/>
  <c r="I70" i="4" l="1"/>
  <c r="J70" i="4" s="1"/>
  <c r="C64" i="4"/>
  <c r="C65" i="4"/>
  <c r="C66" i="4"/>
  <c r="C67" i="4"/>
  <c r="D67" i="4" s="1"/>
  <c r="C68" i="4"/>
  <c r="C69" i="4"/>
  <c r="D65" i="4"/>
  <c r="I65" i="4" s="1"/>
  <c r="D66" i="4"/>
  <c r="I66" i="4" s="1"/>
  <c r="I67" i="4" l="1"/>
  <c r="J67" i="4"/>
  <c r="J66" i="4"/>
  <c r="J65" i="4"/>
  <c r="G22" i="7"/>
  <c r="AN36" i="5"/>
  <c r="D40" i="5" s="1"/>
  <c r="AN35" i="5"/>
  <c r="C6" i="19"/>
  <c r="V133" i="4" l="1"/>
  <c r="U133" i="4"/>
  <c r="T133" i="4"/>
  <c r="O133" i="4"/>
  <c r="J133" i="4"/>
  <c r="I133" i="4"/>
  <c r="J132" i="4"/>
  <c r="I132" i="4"/>
  <c r="V131" i="4"/>
  <c r="U131" i="4"/>
  <c r="T131" i="4"/>
  <c r="O131" i="4"/>
  <c r="J131" i="4"/>
  <c r="I131" i="4"/>
  <c r="V130" i="4"/>
  <c r="U130" i="4"/>
  <c r="T130" i="4"/>
  <c r="O130" i="4"/>
  <c r="V129" i="4"/>
  <c r="U129" i="4"/>
  <c r="T129" i="4"/>
  <c r="O129" i="4"/>
  <c r="U30" i="5"/>
  <c r="AK29" i="5"/>
  <c r="AG29" i="5"/>
  <c r="AC29" i="5"/>
  <c r="Y29" i="5"/>
  <c r="U29" i="5"/>
  <c r="Q29" i="5"/>
  <c r="M29" i="5"/>
  <c r="I29" i="5"/>
  <c r="E29" i="5"/>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AG30" i="5" s="1"/>
  <c r="Q6" i="3"/>
  <c r="D29" i="5" s="1"/>
  <c r="R5" i="3"/>
  <c r="AM30" i="5" s="1"/>
  <c r="Q5" i="3"/>
  <c r="AM29" i="5" s="1"/>
  <c r="G28" i="7"/>
  <c r="Q6" i="24"/>
  <c r="F29" i="23"/>
  <c r="E29" i="23"/>
  <c r="D29" i="23"/>
  <c r="C29" i="23"/>
  <c r="B29" i="23"/>
  <c r="K28" i="23"/>
  <c r="I28" i="23"/>
  <c r="G28" i="23"/>
  <c r="K27" i="23"/>
  <c r="I27" i="23"/>
  <c r="G27" i="23"/>
  <c r="K26" i="23"/>
  <c r="I26" i="23"/>
  <c r="G26" i="23"/>
  <c r="K25" i="23"/>
  <c r="I25" i="23"/>
  <c r="G25" i="23"/>
  <c r="K24" i="23"/>
  <c r="I24" i="23"/>
  <c r="G24" i="23"/>
  <c r="K23" i="23"/>
  <c r="I23" i="23"/>
  <c r="G23" i="23"/>
  <c r="K22" i="23"/>
  <c r="I22" i="23"/>
  <c r="G22" i="23"/>
  <c r="K21" i="23"/>
  <c r="I21" i="23"/>
  <c r="G21" i="23"/>
  <c r="K20" i="23"/>
  <c r="I20" i="23"/>
  <c r="G20" i="23"/>
  <c r="K19" i="23"/>
  <c r="I19" i="23"/>
  <c r="G19" i="23"/>
  <c r="K18" i="23"/>
  <c r="I18" i="23"/>
  <c r="G18" i="23"/>
  <c r="K17" i="23"/>
  <c r="I17" i="23"/>
  <c r="G17" i="23"/>
  <c r="K16" i="23"/>
  <c r="I16" i="23"/>
  <c r="G16" i="23"/>
  <c r="K15" i="23"/>
  <c r="I15" i="23"/>
  <c r="G15" i="23"/>
  <c r="K14" i="23"/>
  <c r="I14" i="23"/>
  <c r="G14" i="23"/>
  <c r="K13" i="23"/>
  <c r="I13" i="23"/>
  <c r="G13" i="23"/>
  <c r="K12" i="23"/>
  <c r="I12" i="23"/>
  <c r="G12" i="23"/>
  <c r="K11" i="23"/>
  <c r="I11" i="23"/>
  <c r="G11" i="23"/>
  <c r="K10" i="23"/>
  <c r="I10" i="23"/>
  <c r="G10" i="23"/>
  <c r="K9" i="23"/>
  <c r="I9" i="23"/>
  <c r="G9" i="23"/>
  <c r="K8" i="23"/>
  <c r="I8" i="23"/>
  <c r="G8" i="23"/>
  <c r="K7" i="23"/>
  <c r="I7" i="23"/>
  <c r="G7" i="23"/>
  <c r="K6" i="23"/>
  <c r="I6" i="23"/>
  <c r="G6" i="23"/>
  <c r="K5" i="23"/>
  <c r="I5" i="23"/>
  <c r="G5" i="23"/>
  <c r="K4" i="23"/>
  <c r="I4" i="23"/>
  <c r="G4" i="23"/>
  <c r="E30" i="5" l="1"/>
  <c r="M30" i="5"/>
  <c r="G29" i="23"/>
  <c r="H29" i="5"/>
  <c r="L29" i="5"/>
  <c r="P29" i="5"/>
  <c r="T29" i="5"/>
  <c r="X29" i="5"/>
  <c r="AB29" i="5"/>
  <c r="AF29" i="5"/>
  <c r="AJ29" i="5"/>
  <c r="D30" i="5"/>
  <c r="H30" i="5"/>
  <c r="L30" i="5"/>
  <c r="P30" i="5"/>
  <c r="T30" i="5"/>
  <c r="X30" i="5"/>
  <c r="AB30" i="5"/>
  <c r="AF30" i="5"/>
  <c r="AJ30" i="5"/>
  <c r="I30" i="5"/>
  <c r="Q30" i="5"/>
  <c r="Y30" i="5"/>
  <c r="AK30" i="5"/>
  <c r="N29" i="5"/>
  <c r="R29" i="5"/>
  <c r="V29" i="5"/>
  <c r="Z29" i="5"/>
  <c r="AD29" i="5"/>
  <c r="AH29" i="5"/>
  <c r="AL29" i="5"/>
  <c r="F30" i="5"/>
  <c r="J30" i="5"/>
  <c r="N30" i="5"/>
  <c r="R30" i="5"/>
  <c r="V30" i="5"/>
  <c r="Z30" i="5"/>
  <c r="AD30" i="5"/>
  <c r="AH30" i="5"/>
  <c r="AL30" i="5"/>
  <c r="AC30" i="5"/>
  <c r="F29" i="5"/>
  <c r="J29" i="5"/>
  <c r="I29" i="23"/>
  <c r="G29" i="5"/>
  <c r="K29" i="5"/>
  <c r="O29" i="5"/>
  <c r="S29" i="5"/>
  <c r="W29" i="5"/>
  <c r="AA29" i="5"/>
  <c r="AE29" i="5"/>
  <c r="AI29" i="5"/>
  <c r="G30" i="5"/>
  <c r="K30" i="5"/>
  <c r="O30" i="5"/>
  <c r="S30" i="5"/>
  <c r="W30" i="5"/>
  <c r="AA30" i="5"/>
  <c r="AE30" i="5"/>
  <c r="AI30" i="5"/>
  <c r="K29" i="23"/>
  <c r="M29" i="23" s="1"/>
  <c r="J176" i="4" l="1"/>
  <c r="J175" i="4"/>
  <c r="J174" i="4"/>
  <c r="J173" i="4"/>
  <c r="J172" i="4"/>
  <c r="J171" i="4"/>
  <c r="J170" i="4"/>
  <c r="J169" i="4"/>
  <c r="J168" i="4"/>
  <c r="J167" i="4"/>
  <c r="J166" i="4"/>
  <c r="J164" i="4"/>
  <c r="J163" i="4"/>
  <c r="J162" i="4"/>
  <c r="J161" i="4"/>
  <c r="J165" i="4" s="1"/>
  <c r="J159" i="4"/>
  <c r="J158" i="4"/>
  <c r="J157" i="4"/>
  <c r="J156" i="4"/>
  <c r="J160" i="4" s="1"/>
  <c r="J154" i="4"/>
  <c r="J153" i="4"/>
  <c r="J152" i="4"/>
  <c r="J149" i="4"/>
  <c r="J148" i="4"/>
  <c r="J147" i="4"/>
  <c r="J146" i="4"/>
  <c r="J144" i="4"/>
  <c r="J143" i="4"/>
  <c r="J142" i="4"/>
  <c r="J141" i="4"/>
  <c r="J139" i="4"/>
  <c r="J138" i="4"/>
  <c r="J137" i="4"/>
  <c r="J136" i="4"/>
  <c r="J135" i="4"/>
  <c r="J127" i="4"/>
  <c r="J126" i="4"/>
  <c r="J121" i="4"/>
  <c r="J120" i="4"/>
  <c r="J119" i="4"/>
  <c r="J118" i="4"/>
  <c r="J122" i="4" s="1"/>
  <c r="J116" i="4"/>
  <c r="J115" i="4"/>
  <c r="J114" i="4"/>
  <c r="J113" i="4"/>
  <c r="J112" i="4"/>
  <c r="J111" i="4"/>
  <c r="J117" i="4" s="1"/>
  <c r="J109" i="4"/>
  <c r="J108" i="4"/>
  <c r="J107" i="4"/>
  <c r="J106" i="4"/>
  <c r="J105" i="4"/>
  <c r="J104" i="4"/>
  <c r="J103" i="4"/>
  <c r="J102" i="4"/>
  <c r="J101" i="4"/>
  <c r="J100" i="4"/>
  <c r="J99" i="4"/>
  <c r="J98" i="4"/>
  <c r="J97" i="4"/>
  <c r="J96" i="4"/>
  <c r="J95" i="4"/>
  <c r="J94" i="4"/>
  <c r="J93"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19" i="4"/>
  <c r="J18" i="4"/>
  <c r="J17" i="4"/>
  <c r="J16" i="4"/>
  <c r="J15" i="4"/>
  <c r="J14" i="4"/>
  <c r="J13" i="4"/>
  <c r="J12" i="4"/>
  <c r="J11" i="4"/>
  <c r="J10" i="4"/>
  <c r="J9" i="4"/>
  <c r="J7" i="4"/>
  <c r="J6" i="4"/>
  <c r="J5" i="4"/>
  <c r="J4" i="4"/>
  <c r="J8" i="4" s="1"/>
  <c r="J3" i="4"/>
  <c r="I136" i="4"/>
  <c r="I137" i="4"/>
  <c r="I138" i="4"/>
  <c r="I139" i="4"/>
  <c r="I140" i="4"/>
  <c r="J140" i="4" s="1"/>
  <c r="I141" i="4"/>
  <c r="I142" i="4"/>
  <c r="I143" i="4"/>
  <c r="I144" i="4"/>
  <c r="I135" i="4"/>
  <c r="D20" i="21"/>
  <c r="K22" i="2"/>
  <c r="L22" i="2" s="1"/>
  <c r="K23" i="2"/>
  <c r="L23" i="2" s="1"/>
  <c r="K24" i="2"/>
  <c r="L24" i="2" s="1"/>
  <c r="K25" i="2"/>
  <c r="L25" i="2" s="1"/>
  <c r="K26" i="2"/>
  <c r="L26" i="2" s="1"/>
  <c r="K27" i="2"/>
  <c r="L27" i="2" s="1"/>
  <c r="K28" i="2"/>
  <c r="L28" i="2" s="1"/>
  <c r="K29" i="2"/>
  <c r="L29" i="2" s="1"/>
  <c r="K30" i="2"/>
  <c r="L30" i="2" s="1"/>
  <c r="K31" i="2"/>
  <c r="L31" i="2" s="1"/>
  <c r="I167" i="4"/>
  <c r="I168" i="4"/>
  <c r="I169" i="4"/>
  <c r="I170" i="4"/>
  <c r="I171" i="4"/>
  <c r="I172" i="4"/>
  <c r="I173" i="4"/>
  <c r="I174" i="4"/>
  <c r="I175" i="4"/>
  <c r="I176" i="4"/>
  <c r="I166" i="4"/>
  <c r="J150" i="4" l="1"/>
  <c r="J61" i="4"/>
  <c r="J20" i="4"/>
  <c r="J145" i="4"/>
  <c r="N29" i="2"/>
  <c r="O29" i="2" s="1"/>
  <c r="P29" i="2" s="1"/>
  <c r="Q29" i="2" s="1"/>
  <c r="N27" i="2"/>
  <c r="O27" i="2" s="1"/>
  <c r="P27" i="2" s="1"/>
  <c r="Q27" i="2" s="1"/>
  <c r="N25" i="2"/>
  <c r="O25" i="2" s="1"/>
  <c r="P25" i="2" s="1"/>
  <c r="Q25" i="2" s="1"/>
  <c r="N23" i="2"/>
  <c r="O23" i="2" s="1"/>
  <c r="P23" i="2" s="1"/>
  <c r="Q23" i="2" s="1"/>
  <c r="N30" i="2"/>
  <c r="O30" i="2" s="1"/>
  <c r="P30" i="2" s="1"/>
  <c r="Q30" i="2" s="1"/>
  <c r="N28" i="2"/>
  <c r="O28" i="2" s="1"/>
  <c r="P28" i="2" s="1"/>
  <c r="Q28" i="2" s="1"/>
  <c r="N26" i="2"/>
  <c r="O26" i="2" s="1"/>
  <c r="P26" i="2" s="1"/>
  <c r="Q26" i="2" s="1"/>
  <c r="N24" i="2"/>
  <c r="O24" i="2" s="1"/>
  <c r="P24" i="2" s="1"/>
  <c r="Q24" i="2" s="1"/>
  <c r="N22" i="2"/>
  <c r="O22" i="2" s="1"/>
  <c r="P22" i="2" s="1"/>
  <c r="Q22" i="2" s="1"/>
  <c r="I164" i="4"/>
  <c r="I163" i="4"/>
  <c r="I162" i="4"/>
  <c r="I161" i="4"/>
  <c r="I159" i="4"/>
  <c r="I158" i="4"/>
  <c r="I157" i="4"/>
  <c r="I156" i="4"/>
  <c r="I154" i="4"/>
  <c r="I153" i="4"/>
  <c r="I152" i="4"/>
  <c r="I151" i="4"/>
  <c r="J151" i="4" s="1"/>
  <c r="J155" i="4" s="1"/>
  <c r="I149" i="4"/>
  <c r="I148" i="4"/>
  <c r="I147" i="4"/>
  <c r="I146" i="4"/>
  <c r="I127" i="4"/>
  <c r="I126" i="4"/>
  <c r="I125" i="4"/>
  <c r="J125" i="4" s="1"/>
  <c r="I124" i="4"/>
  <c r="J124" i="4" s="1"/>
  <c r="I123" i="4"/>
  <c r="J123" i="4" s="1"/>
  <c r="I121" i="4"/>
  <c r="I120" i="4"/>
  <c r="I119" i="4"/>
  <c r="I118" i="4"/>
  <c r="I116" i="4"/>
  <c r="I115" i="4"/>
  <c r="I114" i="4"/>
  <c r="I113" i="4"/>
  <c r="I112" i="4"/>
  <c r="I111" i="4"/>
  <c r="I109" i="4"/>
  <c r="I108" i="4"/>
  <c r="I107" i="4"/>
  <c r="I106" i="4"/>
  <c r="I105" i="4"/>
  <c r="I104" i="4"/>
  <c r="I103" i="4"/>
  <c r="I102" i="4"/>
  <c r="I101" i="4"/>
  <c r="I100" i="4"/>
  <c r="I99" i="4"/>
  <c r="I98" i="4"/>
  <c r="I97" i="4"/>
  <c r="I96" i="4"/>
  <c r="I95" i="4"/>
  <c r="I94" i="4"/>
  <c r="I93" i="4"/>
  <c r="I92" i="4"/>
  <c r="J92" i="4" s="1"/>
  <c r="I91" i="4"/>
  <c r="J91" i="4" s="1"/>
  <c r="I90" i="4"/>
  <c r="J90" i="4" s="1"/>
  <c r="I89" i="4"/>
  <c r="J89" i="4" s="1"/>
  <c r="I88" i="4"/>
  <c r="J88" i="4" s="1"/>
  <c r="I87" i="4"/>
  <c r="J87" i="4" s="1"/>
  <c r="I86" i="4"/>
  <c r="J86" i="4" s="1"/>
  <c r="I85" i="4"/>
  <c r="J85" i="4" s="1"/>
  <c r="I84" i="4"/>
  <c r="J84" i="4" s="1"/>
  <c r="I83" i="4"/>
  <c r="J83" i="4" s="1"/>
  <c r="I82" i="4"/>
  <c r="J82" i="4" s="1"/>
  <c r="I81" i="4"/>
  <c r="J81" i="4" s="1"/>
  <c r="I80" i="4"/>
  <c r="J80" i="4" s="1"/>
  <c r="I79" i="4"/>
  <c r="J79" i="4" s="1"/>
  <c r="I78" i="4"/>
  <c r="J78" i="4" s="1"/>
  <c r="I77" i="4"/>
  <c r="J77" i="4" s="1"/>
  <c r="I76" i="4"/>
  <c r="J76" i="4" s="1"/>
  <c r="I75" i="4"/>
  <c r="J75" i="4" s="1"/>
  <c r="I74" i="4"/>
  <c r="J74" i="4" s="1"/>
  <c r="I73" i="4"/>
  <c r="J73" i="4" s="1"/>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19" i="4"/>
  <c r="I18" i="4"/>
  <c r="I17" i="4"/>
  <c r="I16" i="4"/>
  <c r="I15" i="4"/>
  <c r="I14" i="4"/>
  <c r="I13" i="4"/>
  <c r="I12" i="4"/>
  <c r="I11" i="4"/>
  <c r="I10" i="4"/>
  <c r="I9" i="4"/>
  <c r="I4" i="4"/>
  <c r="I5" i="4"/>
  <c r="I6" i="4"/>
  <c r="I7" i="4"/>
  <c r="I3" i="4"/>
  <c r="B23" i="5"/>
  <c r="B24" i="5"/>
  <c r="B25" i="5"/>
  <c r="B26" i="5"/>
  <c r="B27" i="5"/>
  <c r="B28" i="5"/>
  <c r="J110" i="4" l="1"/>
  <c r="J128" i="4"/>
  <c r="G27" i="7"/>
  <c r="G26" i="7"/>
  <c r="J177" i="4"/>
  <c r="E35" i="7" s="1"/>
  <c r="V164" i="4"/>
  <c r="U164" i="4"/>
  <c r="T164" i="4"/>
  <c r="O164" i="4"/>
  <c r="V162" i="4"/>
  <c r="U162" i="4"/>
  <c r="T162" i="4"/>
  <c r="O162" i="4"/>
  <c r="V161" i="4"/>
  <c r="U161" i="4"/>
  <c r="T161" i="4"/>
  <c r="O161" i="4"/>
  <c r="E34" i="7"/>
  <c r="V159" i="4"/>
  <c r="U159" i="4"/>
  <c r="T159" i="4"/>
  <c r="O159" i="4"/>
  <c r="V157" i="4"/>
  <c r="U157" i="4"/>
  <c r="T157" i="4"/>
  <c r="O157" i="4"/>
  <c r="V156" i="4"/>
  <c r="U156" i="4"/>
  <c r="T156" i="4"/>
  <c r="O156" i="4"/>
  <c r="E33" i="7"/>
  <c r="V154" i="4"/>
  <c r="U154" i="4"/>
  <c r="T154" i="4"/>
  <c r="O154" i="4"/>
  <c r="V152" i="4"/>
  <c r="U152" i="4"/>
  <c r="T152" i="4"/>
  <c r="O152" i="4"/>
  <c r="V151" i="4"/>
  <c r="U151" i="4"/>
  <c r="T151" i="4"/>
  <c r="O151" i="4"/>
  <c r="E32" i="7"/>
  <c r="V149" i="4"/>
  <c r="U149" i="4"/>
  <c r="T149" i="4"/>
  <c r="O149" i="4"/>
  <c r="V147" i="4"/>
  <c r="U147" i="4"/>
  <c r="T147" i="4"/>
  <c r="O147" i="4"/>
  <c r="V146" i="4"/>
  <c r="U146" i="4"/>
  <c r="T146" i="4"/>
  <c r="O146" i="4"/>
  <c r="E31" i="7"/>
  <c r="V121" i="4"/>
  <c r="U121" i="4"/>
  <c r="T121" i="4"/>
  <c r="O121" i="4"/>
  <c r="V119" i="4"/>
  <c r="U119" i="4"/>
  <c r="T119" i="4"/>
  <c r="O119" i="4"/>
  <c r="V118" i="4"/>
  <c r="U118" i="4"/>
  <c r="T118" i="4"/>
  <c r="O118" i="4"/>
  <c r="G25" i="7"/>
  <c r="G24" i="7"/>
  <c r="G20" i="21"/>
  <c r="E21" i="21"/>
  <c r="F21" i="21"/>
  <c r="E5" i="7" s="1"/>
  <c r="B21" i="21"/>
  <c r="B22" i="5"/>
  <c r="B21" i="5"/>
  <c r="B20" i="5"/>
  <c r="B19" i="5"/>
  <c r="B18" i="5"/>
  <c r="B17" i="5"/>
  <c r="B16" i="5"/>
  <c r="B15" i="5"/>
  <c r="B14" i="5"/>
  <c r="B13" i="5"/>
  <c r="B12" i="5"/>
  <c r="B11" i="5"/>
  <c r="B10" i="5"/>
  <c r="B9" i="5"/>
  <c r="C13" i="19" l="1"/>
  <c r="E4" i="7"/>
  <c r="E13" i="7"/>
  <c r="C11" i="19" l="1"/>
  <c r="C5" i="19"/>
  <c r="C4" i="19"/>
  <c r="E27" i="7"/>
  <c r="E26" i="7"/>
  <c r="E25" i="7"/>
  <c r="E24" i="7"/>
  <c r="D8" i="21" l="1"/>
  <c r="G8" i="21" s="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63" i="4"/>
  <c r="D64" i="4"/>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I64" i="4" l="1"/>
  <c r="J64" i="4"/>
  <c r="D68" i="4"/>
  <c r="I68" i="4" s="1"/>
  <c r="J68" i="4" s="1"/>
  <c r="D63" i="4"/>
  <c r="J63" i="4" s="1"/>
  <c r="J69" i="4" s="1"/>
  <c r="D62" i="4"/>
  <c r="J62" i="4" s="1"/>
  <c r="G21" i="21"/>
  <c r="D21" i="21"/>
  <c r="K15" i="2"/>
  <c r="L15" i="2" s="1"/>
  <c r="K14" i="2"/>
  <c r="L14" i="2" s="1"/>
  <c r="K13" i="2"/>
  <c r="L13" i="2" s="1"/>
  <c r="K12" i="2"/>
  <c r="L12" i="2" s="1"/>
  <c r="K11" i="2"/>
  <c r="L11" i="2" s="1"/>
  <c r="K21" i="2"/>
  <c r="N21" i="2" s="1"/>
  <c r="K20" i="2"/>
  <c r="N20" i="2" s="1"/>
  <c r="O20" i="2" s="1"/>
  <c r="I63" i="4" l="1"/>
  <c r="J72" i="4"/>
  <c r="I62" i="4"/>
  <c r="C21" i="21"/>
  <c r="C12" i="19" s="1"/>
  <c r="C14" i="19" s="1"/>
  <c r="E3" i="7"/>
  <c r="E6" i="7" s="1"/>
  <c r="L20" i="2"/>
  <c r="N12" i="2"/>
  <c r="O12" i="2" s="1"/>
  <c r="N14" i="2"/>
  <c r="O14" i="2" s="1"/>
  <c r="N11" i="2"/>
  <c r="O11" i="2" s="1"/>
  <c r="N13" i="2"/>
  <c r="O13" i="2" s="1"/>
  <c r="N15" i="2"/>
  <c r="O15" i="2" s="1"/>
  <c r="O21" i="2"/>
  <c r="P21" i="2" s="1"/>
  <c r="Q21" i="2" s="1"/>
  <c r="L21" i="2"/>
  <c r="P20" i="2"/>
  <c r="Q20" i="2" s="1"/>
  <c r="K9" i="2"/>
  <c r="K7" i="2"/>
  <c r="P15" i="2" l="1"/>
  <c r="Q15" i="2" s="1"/>
  <c r="P13" i="2"/>
  <c r="Q13" i="2" s="1"/>
  <c r="P11" i="2"/>
  <c r="Q11" i="2" s="1"/>
  <c r="P12" i="2"/>
  <c r="Q12" i="2" s="1"/>
  <c r="P14" i="2"/>
  <c r="Q14" i="2" s="1"/>
  <c r="A1" i="3" l="1"/>
  <c r="AN30" i="5" l="1"/>
  <c r="D130" i="4" s="1"/>
  <c r="I130" i="4" s="1"/>
  <c r="J130" i="4" s="1"/>
  <c r="E1" i="2"/>
  <c r="O127" i="4"/>
  <c r="O125" i="4"/>
  <c r="O124" i="4"/>
  <c r="O123" i="4"/>
  <c r="O116" i="4"/>
  <c r="O115" i="4"/>
  <c r="O114" i="4"/>
  <c r="O113" i="4"/>
  <c r="O112" i="4"/>
  <c r="O111" i="4"/>
  <c r="O144" i="4"/>
  <c r="O143" i="4"/>
  <c r="O142" i="4"/>
  <c r="O141" i="4"/>
  <c r="O109" i="4"/>
  <c r="O108" i="4"/>
  <c r="O107" i="4"/>
  <c r="O106" i="4"/>
  <c r="O105" i="4"/>
  <c r="O104" i="4"/>
  <c r="O103" i="4"/>
  <c r="O102" i="4"/>
  <c r="O101" i="4"/>
  <c r="O100" i="4"/>
  <c r="O99" i="4"/>
  <c r="O98" i="4"/>
  <c r="O97" i="4"/>
  <c r="O96" i="4"/>
  <c r="O95" i="4"/>
  <c r="O94" i="4"/>
  <c r="O93" i="4"/>
  <c r="O92" i="4"/>
  <c r="O91" i="4"/>
  <c r="O71" i="4"/>
  <c r="O70" i="4"/>
  <c r="O69" i="4"/>
  <c r="O60" i="4"/>
  <c r="O59" i="4"/>
  <c r="K5" i="2"/>
  <c r="N5" i="2" s="1"/>
  <c r="N9" i="2"/>
  <c r="K10" i="2"/>
  <c r="N10" i="2" s="1"/>
  <c r="O10" i="2" s="1"/>
  <c r="P10" i="2" s="1"/>
  <c r="Q10" i="2" s="1"/>
  <c r="Q6" i="2"/>
  <c r="R6" i="2" s="1"/>
  <c r="S6" i="2" s="1"/>
  <c r="N31" i="2"/>
  <c r="K32" i="2"/>
  <c r="N32" i="2" s="1"/>
  <c r="O32" i="2" s="1"/>
  <c r="P32" i="2" s="1"/>
  <c r="Q32" i="2" s="1"/>
  <c r="R32" i="2" s="1"/>
  <c r="S32" i="2" s="1"/>
  <c r="K6" i="2"/>
  <c r="N6" i="2" s="1"/>
  <c r="O6" i="2" s="1"/>
  <c r="P6" i="2" s="1"/>
  <c r="Q7" i="2"/>
  <c r="R7" i="2" s="1"/>
  <c r="S7" i="2" s="1"/>
  <c r="Q16" i="2"/>
  <c r="R16" i="2" s="1"/>
  <c r="S16" i="2" s="1"/>
  <c r="Q17" i="2"/>
  <c r="R17" i="2" s="1"/>
  <c r="S17" i="2" s="1"/>
  <c r="Q18" i="2"/>
  <c r="R18" i="2" s="1"/>
  <c r="S18" i="2" s="1"/>
  <c r="Q33" i="2"/>
  <c r="R33" i="2" s="1"/>
  <c r="S33" i="2" s="1"/>
  <c r="Q36" i="2"/>
  <c r="R36" i="2" s="1"/>
  <c r="Q35" i="2"/>
  <c r="R35" i="2" s="1"/>
  <c r="K36" i="2"/>
  <c r="K35" i="2"/>
  <c r="K33" i="2"/>
  <c r="N33" i="2" s="1"/>
  <c r="K16" i="2"/>
  <c r="N16" i="2" s="1"/>
  <c r="O16" i="2" s="1"/>
  <c r="P16" i="2" s="1"/>
  <c r="K17" i="2"/>
  <c r="N17" i="2" s="1"/>
  <c r="O17" i="2" s="1"/>
  <c r="K18" i="2"/>
  <c r="N18" i="2" s="1"/>
  <c r="O18" i="2" s="1"/>
  <c r="P18" i="2" s="1"/>
  <c r="N7" i="2"/>
  <c r="H1" i="7"/>
  <c r="G30" i="7"/>
  <c r="D1" i="3"/>
  <c r="W1" i="4"/>
  <c r="T59" i="4"/>
  <c r="U59" i="4"/>
  <c r="V59" i="4"/>
  <c r="T60" i="4"/>
  <c r="U60" i="4"/>
  <c r="V60" i="4"/>
  <c r="T69" i="4"/>
  <c r="U69" i="4"/>
  <c r="V69" i="4"/>
  <c r="T70" i="4"/>
  <c r="U70" i="4"/>
  <c r="V70" i="4"/>
  <c r="T71" i="4"/>
  <c r="U71" i="4"/>
  <c r="V71"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08" i="4"/>
  <c r="U108" i="4"/>
  <c r="V108" i="4"/>
  <c r="T109" i="4"/>
  <c r="U109" i="4"/>
  <c r="V109" i="4"/>
  <c r="T141" i="4"/>
  <c r="U141" i="4"/>
  <c r="V141" i="4"/>
  <c r="T142" i="4"/>
  <c r="U142" i="4"/>
  <c r="V142" i="4"/>
  <c r="T143" i="4"/>
  <c r="U143" i="4"/>
  <c r="V143" i="4"/>
  <c r="T144" i="4"/>
  <c r="U144" i="4"/>
  <c r="V144" i="4"/>
  <c r="T111" i="4"/>
  <c r="U111" i="4"/>
  <c r="V111" i="4"/>
  <c r="T112" i="4"/>
  <c r="U112" i="4"/>
  <c r="V112" i="4"/>
  <c r="T113" i="4"/>
  <c r="U113" i="4"/>
  <c r="V113" i="4"/>
  <c r="T114" i="4"/>
  <c r="U114" i="4"/>
  <c r="V114" i="4"/>
  <c r="T115" i="4"/>
  <c r="U115" i="4"/>
  <c r="V115" i="4"/>
  <c r="T116" i="4"/>
  <c r="U116" i="4"/>
  <c r="V116" i="4"/>
  <c r="T123" i="4"/>
  <c r="U123" i="4"/>
  <c r="V123" i="4"/>
  <c r="T124" i="4"/>
  <c r="U124" i="4"/>
  <c r="V124" i="4"/>
  <c r="T125" i="4"/>
  <c r="U125" i="4"/>
  <c r="V125" i="4"/>
  <c r="T127" i="4"/>
  <c r="U127" i="4"/>
  <c r="V127" i="4"/>
  <c r="Q1" i="2"/>
  <c r="L7" i="2"/>
  <c r="L9" i="2"/>
  <c r="L32" i="2"/>
  <c r="N43" i="2"/>
  <c r="O43" i="2" s="1"/>
  <c r="N46" i="2"/>
  <c r="O46" i="2" s="1"/>
  <c r="L17" i="2" l="1"/>
  <c r="N35" i="2"/>
  <c r="N37" i="2" s="1"/>
  <c r="O36" i="2"/>
  <c r="P36" i="2" s="1"/>
  <c r="N36" i="2"/>
  <c r="L6" i="2"/>
  <c r="R27" i="2"/>
  <c r="S27" i="2" s="1"/>
  <c r="R23" i="2"/>
  <c r="S23" i="2" s="1"/>
  <c r="R28" i="2"/>
  <c r="S28" i="2" s="1"/>
  <c r="R24" i="2"/>
  <c r="S24" i="2" s="1"/>
  <c r="R29" i="2"/>
  <c r="S29" i="2" s="1"/>
  <c r="R25" i="2"/>
  <c r="S25" i="2" s="1"/>
  <c r="R30" i="2"/>
  <c r="S30" i="2" s="1"/>
  <c r="R26" i="2"/>
  <c r="S26" i="2" s="1"/>
  <c r="R22" i="2"/>
  <c r="S22" i="2" s="1"/>
  <c r="E12" i="7"/>
  <c r="C24" i="19" s="1"/>
  <c r="E14" i="7"/>
  <c r="C22" i="19" s="1"/>
  <c r="E28" i="7"/>
  <c r="E11" i="7"/>
  <c r="C20" i="19" s="1"/>
  <c r="E10" i="7"/>
  <c r="C19" i="19" s="1"/>
  <c r="E9" i="7"/>
  <c r="C18" i="19" s="1"/>
  <c r="L18" i="2"/>
  <c r="L10" i="2"/>
  <c r="L5" i="2"/>
  <c r="L8" i="2" s="1"/>
  <c r="L16" i="2"/>
  <c r="L35" i="2"/>
  <c r="R15" i="2"/>
  <c r="S15" i="2" s="1"/>
  <c r="R11" i="2"/>
  <c r="S11" i="2" s="1"/>
  <c r="R13" i="2"/>
  <c r="S13" i="2" s="1"/>
  <c r="R14" i="2"/>
  <c r="S14" i="2" s="1"/>
  <c r="R12" i="2"/>
  <c r="S12" i="2" s="1"/>
  <c r="K19" i="2"/>
  <c r="N8" i="2"/>
  <c r="R21" i="2"/>
  <c r="S21" i="2" s="1"/>
  <c r="R20" i="2"/>
  <c r="S20" i="2" s="1"/>
  <c r="Q37" i="2"/>
  <c r="O5" i="2"/>
  <c r="P5" i="2" s="1"/>
  <c r="Q5" i="2" s="1"/>
  <c r="R5" i="2" s="1"/>
  <c r="S5" i="2" s="1"/>
  <c r="S8" i="2" s="1"/>
  <c r="K8" i="2"/>
  <c r="N34" i="2"/>
  <c r="N19" i="2"/>
  <c r="R10" i="2"/>
  <c r="S10" i="2" s="1"/>
  <c r="R37" i="2"/>
  <c r="O9" i="2"/>
  <c r="P9" i="2" s="1"/>
  <c r="Q9" i="2" s="1"/>
  <c r="R9" i="2" s="1"/>
  <c r="S9" i="2" s="1"/>
  <c r="O7" i="2"/>
  <c r="P7" i="2" s="1"/>
  <c r="O33" i="2"/>
  <c r="P33" i="2" s="1"/>
  <c r="L36" i="2"/>
  <c r="K34" i="2"/>
  <c r="L33" i="2"/>
  <c r="P17" i="2"/>
  <c r="O31" i="2"/>
  <c r="P31" i="2" s="1"/>
  <c r="Q31" i="2" s="1"/>
  <c r="R31" i="2" s="1"/>
  <c r="S31" i="2" s="1"/>
  <c r="F2" i="7"/>
  <c r="L19" i="2" l="1"/>
  <c r="O35" i="2"/>
  <c r="P35" i="2" s="1"/>
  <c r="P37" i="2" s="1"/>
  <c r="F34" i="7"/>
  <c r="F5" i="7"/>
  <c r="E21" i="7"/>
  <c r="F21" i="7" s="1"/>
  <c r="E15" i="7"/>
  <c r="C21" i="19"/>
  <c r="F35" i="7"/>
  <c r="L37" i="2"/>
  <c r="N38" i="2"/>
  <c r="P8" i="2"/>
  <c r="Q8" i="2"/>
  <c r="K38" i="2"/>
  <c r="L34" i="2"/>
  <c r="F3" i="7"/>
  <c r="F32" i="7"/>
  <c r="R8" i="2"/>
  <c r="O8" i="2"/>
  <c r="F33" i="7"/>
  <c r="F31" i="7"/>
  <c r="O19" i="2"/>
  <c r="O42" i="2" s="1"/>
  <c r="O44" i="2" s="1"/>
  <c r="O45" i="2" s="1"/>
  <c r="O47" i="2" s="1"/>
  <c r="O34" i="2"/>
  <c r="E29" i="7"/>
  <c r="C23" i="19" s="1"/>
  <c r="F25" i="7"/>
  <c r="F28" i="7"/>
  <c r="F7" i="7"/>
  <c r="F12" i="7"/>
  <c r="F14" i="7"/>
  <c r="F8" i="7"/>
  <c r="F24" i="7"/>
  <c r="F27" i="7"/>
  <c r="F13" i="7"/>
  <c r="F9" i="7"/>
  <c r="F11" i="7"/>
  <c r="H37" i="2" l="1"/>
  <c r="R45" i="2"/>
  <c r="O37" i="2"/>
  <c r="O38" i="2" s="1"/>
  <c r="L42" i="2" s="1"/>
  <c r="L44" i="2" s="1"/>
  <c r="L45" i="2" s="1"/>
  <c r="L47" i="2" s="1"/>
  <c r="E30" i="7" s="1"/>
  <c r="E36" i="7" s="1"/>
  <c r="L38" i="2"/>
  <c r="L39" i="2" s="1"/>
  <c r="E18" i="7"/>
  <c r="F18" i="7" s="1"/>
  <c r="R42" i="2"/>
  <c r="F4" i="7"/>
  <c r="F6" i="7" s="1"/>
  <c r="F26" i="7"/>
  <c r="F29" i="7" s="1"/>
  <c r="P34" i="2"/>
  <c r="N42" i="2"/>
  <c r="N44" i="2" s="1"/>
  <c r="N45" i="2" s="1"/>
  <c r="N47" i="2" s="1"/>
  <c r="P19" i="2"/>
  <c r="AN29" i="5" l="1"/>
  <c r="D129" i="4" s="1"/>
  <c r="I129" i="4" s="1"/>
  <c r="J129" i="4" s="1"/>
  <c r="J134"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9" i="2"/>
  <c r="P38" i="2"/>
  <c r="Q19" i="2"/>
  <c r="R43" i="2" s="1"/>
  <c r="Q34"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9" i="2"/>
  <c r="Q38" i="2"/>
  <c r="H34" i="2"/>
  <c r="R44" i="2"/>
  <c r="S34" i="2"/>
  <c r="E17" i="7" s="1"/>
  <c r="R34" i="2"/>
  <c r="E20" i="7" s="1"/>
  <c r="F20" i="7" s="1"/>
  <c r="S19" i="2"/>
  <c r="E16" i="7" s="1"/>
  <c r="R19" i="2"/>
  <c r="AN34" i="5" l="1"/>
  <c r="F22" i="7" s="1"/>
  <c r="D37" i="5"/>
  <c r="AN37" i="5" s="1"/>
  <c r="E19" i="7"/>
  <c r="F19" i="7" s="1"/>
  <c r="F16"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8" i="2"/>
  <c r="F17" i="7"/>
  <c r="S38" i="2"/>
  <c r="E23" i="7" l="1"/>
  <c r="E37" i="7"/>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<sst xmlns="http://schemas.openxmlformats.org/spreadsheetml/2006/main" count="1264" uniqueCount="672">
  <si>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</si>
  <si>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</si>
  <si>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</si>
  <si>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</si>
  <si>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</si>
  <si>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</si>
  <si>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</si>
  <si>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</si>
  <si>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</si>
  <si>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</si>
  <si>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</si>
  <si>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</si>
  <si>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</si>
  <si>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</si>
  <si>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</si>
  <si>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</si>
  <si>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</si>
  <si>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</si>
  <si>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</si>
  <si>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</si>
  <si>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</si>
  <si>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</si>
  <si>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</si>
  <si>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</si>
  <si>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</si>
  <si>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</si>
  <si>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</si>
  <si>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</si>
  <si>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</si>
  <si>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</si>
  <si>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</si>
  <si>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</si>
  <si>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</si>
  <si>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</si>
  <si>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</si>
  <si>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</si>
  <si>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</si>
  <si>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</si>
  <si>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</si>
  <si>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</si>
  <si>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</si>
  <si>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</si>
  <si>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</si>
  <si>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</si>
  <si>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</si>
  <si>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</si>
  <si>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</si>
  <si>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</si>
  <si>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</si>
  <si>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</si>
  <si>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</si>
  <si>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</si>
  <si>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</si>
  <si>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</si>
  <si>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</si>
  <si>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</si>
  <si>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</si>
  <si>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</si>
  <si>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</si>
  <si>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</si>
  <si>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</si>
  <si>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</si>
  <si>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</si>
  <si>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</si>
  <si>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</si>
  <si>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</si>
  <si>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</si>
  <si>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</si>
  <si>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</si>
  <si>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</si>
  <si>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</si>
  <si>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</si>
  <si>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</si>
  <si>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</si>
  <si>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</si>
  <si>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</si>
  <si>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</si>
  <si>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</si>
  <si>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</si>
  <si>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</si>
  <si>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</si>
  <si>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</si>
  <si>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</si>
  <si>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</si>
  <si>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</si>
  <si>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</si>
  <si>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</si>
  <si>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</si>
  <si>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</si>
  <si>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</si>
  <si>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</si>
  <si>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</si>
  <si>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</si>
  <si>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</si>
  <si>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</si>
  <si>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</si>
  <si>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</si>
  <si>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</si>
  <si>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</si>
  <si>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</si>
  <si>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</si>
  <si>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</si>
  <si>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</si>
  <si>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</si>
  <si>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</si>
  <si>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</si>
  <si>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</si>
  <si>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</si>
  <si>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</si>
  <si>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</si>
  <si>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</si>
  <si>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</si>
  <si>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</si>
  <si>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</si>
  <si>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</si>
  <si>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</si>
  <si>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</si>
  <si>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</si>
  <si>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</si>
  <si>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</si>
  <si>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</si>
  <si>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</si>
  <si>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</si>
  <si>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</si>
  <si>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</si>
  <si>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</si>
  <si>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</si>
  <si>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</si>
  <si>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</si>
  <si>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</si>
  <si>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</si>
  <si>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</si>
  <si>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</si>
  <si>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</si>
  <si>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</si>
  <si>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</si>
  <si>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</si>
  <si>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</si>
  <si>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</si>
  <si>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</si>
  <si>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</si>
  <si>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</si>
  <si>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</si>
  <si>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</si>
  <si>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</si>
  <si>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</si>
  <si>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</si>
  <si>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</si>
  <si>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</si>
  <si>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</si>
  <si>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</si>
  <si>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</si>
  <si>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</si>
  <si>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</si>
  <si>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</si>
  <si>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</si>
  <si>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</si>
  <si>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</si>
  <si>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</si>
  <si>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</si>
  <si>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</si>
  <si>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</si>
  <si>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</si>
  <si>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</si>
  <si>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</si>
  <si>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</si>
  <si>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</si>
  <si>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</si>
  <si>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</si>
  <si>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</si>
  <si>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</si>
  <si>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</si>
  <si>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</si>
  <si>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</si>
  <si>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</si>
  <si>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</si>
  <si>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</si>
  <si>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</si>
  <si>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</si>
  <si>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</si>
  <si>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</si>
  <si>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</si>
  <si>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</si>
  <si>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</si>
  <si>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</si>
  <si>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</si>
  <si>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</si>
  <si>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</si>
  <si>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</si>
  <si>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</si>
  <si>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</si>
  <si>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</si>
  <si>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</si>
  <si>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</si>
  <si>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</si>
  <si>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</si>
  <si>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</si>
  <si>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</si>
  <si>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</si>
  <si>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</si>
  <si>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</si>
  <si>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</si>
  <si>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</si>
  <si>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</si>
  <si>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</si>
  <si>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</si>
  <si>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</si>
  <si>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</si>
  <si>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</si>
  <si>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</si>
  <si>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</si>
  <si>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</si>
  <si>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</si>
  <si>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</si>
  <si>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</si>
  <si>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</si>
  <si>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</si>
  <si>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</si>
  <si>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</si>
  <si>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</si>
  <si>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</si>
  <si>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</si>
  <si>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</si>
  <si>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</si>
  <si>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</si>
  <si>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</si>
  <si>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</si>
  <si>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</si>
  <si>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</si>
  <si>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</si>
  <si>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</si>
  <si>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</si>
  <si>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</si>
  <si>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</si>
  <si>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</si>
  <si>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</si>
  <si>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</si>
  <si>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</si>
  <si>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</si>
  <si>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</si>
  <si>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</si>
  <si>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</si>
  <si>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</si>
  <si>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</si>
  <si>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</si>
  <si>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</si>
  <si>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</si>
  <si>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</si>
  <si>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</si>
  <si>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</si>
  <si>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</si>
  <si>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</si>
  <si>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</si>
  <si>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</si>
  <si>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</si>
  <si>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</si>
  <si>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</si>
  <si>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</si>
  <si>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</si>
  <si>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</si>
  <si>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</si>
  <si>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</si>
  <si>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</si>
  <si>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</si>
  <si>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</si>
  <si>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</si>
  <si>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</si>
  <si>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</si>
  <si>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</si>
  <si>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</si>
  <si>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</si>
  <si>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</si>
  <si>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</si>
  <si>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</si>
  <si>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</si>
  <si>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</si>
  <si>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</si>
  <si>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</si>
  <si>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</si>
  <si>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</si>
  <si>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</si>
  <si>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</si>
  <si>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</si>
  <si>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</si>
  <si>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</si>
  <si>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</si>
  <si>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</si>
  <si>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</si>
  <si>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</si>
  <si>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</si>
  <si>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</si>
  <si>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</si>
  <si>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</si>
  <si>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</si>
  <si>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</si>
  <si>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その他燃料</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</si>
  <si>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</si>
  <si>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</si>
  <si>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</si>
  <si>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</si>
  <si>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</si>
  <si>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</si>
  <si>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</si>
  <si>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</si>
  <si>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</si>
  <si>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</si>
  <si>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</si>
  <si>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</si>
  <si>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</si>
  <si>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</si>
  <si>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</si>
  <si>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</si>
  <si>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</si>
  <si>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</si>
  <si>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</si>
  <si>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</si>
  <si>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</si>
  <si>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</si>
  <si>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</si>
  <si>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</si>
  <si>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</si>
  <si>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</si>
  <si>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</si>
  <si>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</si>
  <si>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</si>
  <si>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</si>
  <si>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</si>
  <si>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</si>
  <si>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</si>
  <si>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</si>
  <si>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</si>
  <si>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</si>
  <si>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</si>
  <si>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</si>
  <si>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</si>
  <si>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</si>
  <si>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</si>
  <si>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</si>
  <si>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</si>
  <si>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</si>
  <si>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</si>
  <si>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</si>
  <si>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</si>
  <si>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</si>
  <si>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</si>
  <si>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</si>
  <si>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</si>
  <si>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</si>
  <si>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</si>
  <si>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</si>
  <si>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</si>
  <si>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</si>
  <si>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</si>
  <si>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</si>
  <si>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</si>
  <si>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</si>
  <si>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</si>
  <si>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</si>
  <si>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</si>
  <si>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</si>
  <si>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</si>
  <si>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</si>
  <si>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</si>
  <si>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</si>
  <si>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</si>
  <si>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</si>
  <si>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</si>
  <si>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</si>
  <si>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</si>
  <si>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</si>
  <si>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</si>
  <si>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</si>
  <si>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</si>
  <si>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</si>
  <si>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</si>
  <si>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</si>
  <si>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</si>
  <si>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</si>
  <si>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</si>
  <si>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</si>
  <si>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</si>
  <si>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</si>
  <si>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</si>
  <si>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</si>
  <si>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</si>
  <si>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</si>
  <si>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</si>
  <si>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</si>
  <si>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</si>
  <si>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</si>
  <si>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</si>
  <si>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</si>
  <si>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</si>
  <si>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</si>
  <si>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</si>
  <si>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</si>
  <si>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</si>
  <si>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</si>
  <si>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</si>
  <si>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</si>
  <si>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</si>
  <si>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</si>
  <si>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</si>
  <si>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</si>
  <si>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</si>
  <si>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</si>
  <si>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</si>
  <si>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</si>
  <si>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</si>
  <si>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</si>
  <si>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</si>
  <si>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</si>
  <si>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</si>
  <si>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</si>
  <si>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</si>
  <si>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</si>
  <si>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</si>
  <si>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</si>
  <si>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</si>
  <si>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</si>
  <si>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</si>
  <si>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</si>
  <si>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</si>
  <si>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</si>
  <si>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</si>
  <si>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</si>
  <si>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</si>
  <si>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</si>
  <si>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</si>
  <si>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</si>
  <si>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</si>
  <si>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</si>
  <si>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</si>
  <si>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</si>
  <si>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</si>
  <si>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</si>
  <si>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</si>
  <si>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</si>
  <si>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出荷袋</t>
  </si>
  <si>
    <t>放牧牛肉</t>
    <rPh sb="0" eb="2">
      <t>ホウボク</t>
    </rPh>
    <rPh sb="2" eb="4">
      <t>ギュウニク</t>
    </rPh>
    <phoneticPr fontId="15"/>
  </si>
  <si>
    <t>春から秋の耕作放棄地経産牛放牧</t>
    <rPh sb="0" eb="1">
      <t>ハル</t>
    </rPh>
    <rPh sb="3" eb="4">
      <t>アキ</t>
    </rPh>
    <rPh sb="5" eb="7">
      <t>コウサク</t>
    </rPh>
    <rPh sb="7" eb="9">
      <t>ホウキ</t>
    </rPh>
    <rPh sb="9" eb="10">
      <t>チ</t>
    </rPh>
    <rPh sb="10" eb="12">
      <t>ケイサン</t>
    </rPh>
    <rPh sb="12" eb="13">
      <t>ウシ</t>
    </rPh>
    <rPh sb="13" eb="15">
      <t>ホウボク</t>
    </rPh>
    <phoneticPr fontId="15"/>
  </si>
  <si>
    <t>黒毛和種</t>
    <rPh sb="0" eb="2">
      <t>クロゲ</t>
    </rPh>
    <rPh sb="2" eb="3">
      <t>ワ</t>
    </rPh>
    <rPh sb="3" eb="4">
      <t>シュ</t>
    </rPh>
    <phoneticPr fontId="15"/>
  </si>
  <si>
    <t>県全域</t>
  </si>
  <si>
    <t>経産牛導入</t>
  </si>
  <si>
    <t>成牛市場で2頭購入</t>
  </si>
  <si>
    <t>４月中旬</t>
  </si>
  <si>
    <t>経産牛２頭、家畜運搬車</t>
  </si>
  <si>
    <t>放牧馴致</t>
  </si>
  <si>
    <t>農林総合技術Ｃ畜産技術部で放牧馴致開始</t>
  </si>
  <si>
    <t>４月中旬～５月上旬</t>
  </si>
  <si>
    <t>家畜運搬車</t>
  </si>
  <si>
    <t>導入日同日運搬</t>
  </si>
  <si>
    <t>下草刈り</t>
  </si>
  <si>
    <t>電気牧柵設置場所の草刈り</t>
  </si>
  <si>
    <t>５月中旬</t>
  </si>
  <si>
    <t>刈払機</t>
  </si>
  <si>
    <t>放牧施設設置</t>
  </si>
  <si>
    <t>電気牧柵設置・水飲み場設置・寒冷紗設置</t>
  </si>
  <si>
    <t>電牧器、電牧線、電牧柱、検電器</t>
  </si>
  <si>
    <t>入牧(牧区１)</t>
  </si>
  <si>
    <t>農林総合技術Ｃ畜産技術部から牛の運搬・殺ダニ剤塗布</t>
  </si>
  <si>
    <t>５月下旬</t>
  </si>
  <si>
    <t>家畜運搬車、殺ダニ剤</t>
  </si>
  <si>
    <t>放牧馴致終了日同日</t>
  </si>
  <si>
    <t>放牧管理(牧区1)</t>
  </si>
  <si>
    <t>放牧牛の健康観察・電牧管理</t>
  </si>
  <si>
    <t>5月下旬～６月中旬</t>
  </si>
  <si>
    <t>検電器</t>
  </si>
  <si>
    <t>ｼｰﾄのｲﾒｰｼﾞ参照</t>
  </si>
  <si>
    <t>転牧(牧区２)</t>
  </si>
  <si>
    <t>放牧牛の捕獲・牧区移動・殺ダニ剤塗布</t>
  </si>
  <si>
    <t>６月下旬</t>
  </si>
  <si>
    <t>殺ダニ剤</t>
  </si>
  <si>
    <t>放牧管理(牧区2)</t>
  </si>
  <si>
    <t>６月下旬～７月中旬</t>
  </si>
  <si>
    <t>化粧刈(牧区１)</t>
  </si>
  <si>
    <t>不食草等の化粧刈り</t>
  </si>
  <si>
    <t>転牧(牧区３)</t>
  </si>
  <si>
    <t>７月下旬</t>
  </si>
  <si>
    <t>放牧管理(牧区3)</t>
  </si>
  <si>
    <t>７月下旬～８月中旬</t>
  </si>
  <si>
    <t>化粧刈(牧区２)</t>
  </si>
  <si>
    <t>転牧(牧区１)</t>
  </si>
  <si>
    <t>８月下旬</t>
  </si>
  <si>
    <t>放牧管理(牧区1')</t>
  </si>
  <si>
    <t>８月下旬～９月中旬</t>
  </si>
  <si>
    <t>化粧刈(牧区３)</t>
  </si>
  <si>
    <t>転牧(牧区２')</t>
  </si>
  <si>
    <t>９月下旬</t>
  </si>
  <si>
    <t>放牧管理(牧区2')</t>
  </si>
  <si>
    <t>９月下旬～10月中旬</t>
  </si>
  <si>
    <t>転牧(牧区３')</t>
  </si>
  <si>
    <t>放牧管理(牧区3')</t>
  </si>
  <si>
    <t>10月下旬～11月中旬</t>
  </si>
  <si>
    <t>退牧・放牧牛販売</t>
  </si>
  <si>
    <t>成牛市場で2頭販売</t>
  </si>
  <si>
    <t>式</t>
    <rPh sb="0" eb="1">
      <t>シキ</t>
    </rPh>
    <phoneticPr fontId="14"/>
  </si>
  <si>
    <t>台</t>
    <rPh sb="0" eb="1">
      <t>ダイ</t>
    </rPh>
    <phoneticPr fontId="15"/>
  </si>
  <si>
    <t>電牧器(ｿｰﾗ・ﾊﾞｯﾃﾘｰ一体型）</t>
    <phoneticPr fontId="14"/>
  </si>
  <si>
    <t>刈払機</t>
    <rPh sb="0" eb="1">
      <t>カ</t>
    </rPh>
    <rPh sb="1" eb="2">
      <t>ハラ</t>
    </rPh>
    <rPh sb="2" eb="3">
      <t>キ</t>
    </rPh>
    <phoneticPr fontId="15"/>
  </si>
  <si>
    <t>経産牛</t>
    <rPh sb="0" eb="2">
      <t>ケイサン</t>
    </rPh>
    <rPh sb="2" eb="3">
      <t>ウシ</t>
    </rPh>
    <phoneticPr fontId="15"/>
  </si>
  <si>
    <t>頭</t>
    <rPh sb="0" eb="1">
      <t>トウ</t>
    </rPh>
    <phoneticPr fontId="15"/>
  </si>
  <si>
    <t>市場購買手数料</t>
    <rPh sb="0" eb="2">
      <t>シジョウ</t>
    </rPh>
    <rPh sb="2" eb="4">
      <t>コウバイ</t>
    </rPh>
    <rPh sb="4" eb="7">
      <t>テスウリョウ</t>
    </rPh>
    <phoneticPr fontId="15"/>
  </si>
  <si>
    <t>別シート牛購入・販売参照</t>
    <rPh sb="0" eb="1">
      <t>ベツ</t>
    </rPh>
    <rPh sb="4" eb="5">
      <t>ウシ</t>
    </rPh>
    <rPh sb="5" eb="7">
      <t>コウニュウ</t>
    </rPh>
    <rPh sb="8" eb="10">
      <t>ハンバイ</t>
    </rPh>
    <rPh sb="10" eb="12">
      <t>サンショウ</t>
    </rPh>
    <phoneticPr fontId="32"/>
  </si>
  <si>
    <t>3,240円/頭×2頭分の購買手数料</t>
    <rPh sb="5" eb="6">
      <t>エン</t>
    </rPh>
    <rPh sb="7" eb="8">
      <t>トウ</t>
    </rPh>
    <rPh sb="10" eb="11">
      <t>トウ</t>
    </rPh>
    <rPh sb="11" eb="12">
      <t>ブン</t>
    </rPh>
    <rPh sb="13" eb="15">
      <t>コウバイ</t>
    </rPh>
    <rPh sb="15" eb="18">
      <t>テスウリョウ</t>
    </rPh>
    <phoneticPr fontId="15"/>
  </si>
  <si>
    <t>家畜運搬車による輸送料</t>
    <rPh sb="0" eb="2">
      <t>カチク</t>
    </rPh>
    <rPh sb="2" eb="5">
      <t>ウンパンシャ</t>
    </rPh>
    <rPh sb="8" eb="10">
      <t>ユソウ</t>
    </rPh>
    <rPh sb="10" eb="11">
      <t>リョウ</t>
    </rPh>
    <phoneticPr fontId="15"/>
  </si>
  <si>
    <t>JA山口中央(H26),5,000円/頭×2頭</t>
    <rPh sb="2" eb="4">
      <t>ヤマグチ</t>
    </rPh>
    <rPh sb="4" eb="6">
      <t>チュウオウ</t>
    </rPh>
    <rPh sb="17" eb="18">
      <t>エン</t>
    </rPh>
    <rPh sb="19" eb="20">
      <t>トウ</t>
    </rPh>
    <rPh sb="22" eb="23">
      <t>トウ</t>
    </rPh>
    <phoneticPr fontId="32"/>
  </si>
  <si>
    <t>家畜共済掛金</t>
    <rPh sb="0" eb="2">
      <t>カチク</t>
    </rPh>
    <rPh sb="2" eb="4">
      <t>キョウサイ</t>
    </rPh>
    <rPh sb="4" eb="6">
      <t>カケキン</t>
    </rPh>
    <phoneticPr fontId="15"/>
  </si>
  <si>
    <t>別シート共済掛金算出参照</t>
    <rPh sb="0" eb="1">
      <t>ベツ</t>
    </rPh>
    <rPh sb="4" eb="6">
      <t>キョウサイ</t>
    </rPh>
    <rPh sb="6" eb="8">
      <t>カケキン</t>
    </rPh>
    <rPh sb="8" eb="10">
      <t>サンシュツ</t>
    </rPh>
    <rPh sb="10" eb="12">
      <t>サンショウ</t>
    </rPh>
    <phoneticPr fontId="15"/>
  </si>
  <si>
    <t>電牧器</t>
    <rPh sb="0" eb="1">
      <t>デン</t>
    </rPh>
    <rPh sb="1" eb="2">
      <t>ボク</t>
    </rPh>
    <rPh sb="2" eb="3">
      <t>キ</t>
    </rPh>
    <phoneticPr fontId="15"/>
  </si>
  <si>
    <t>ｸﾞﾗｽﾎﾟｰﾙ（14Φ×1,600）</t>
  </si>
  <si>
    <t>ｸﾞﾗｽﾎﾟｰﾙ（20Φ×1,600）</t>
  </si>
  <si>
    <t>ｹﾞｰﾄﾊﾝﾄﾞﾙ（強ﾊﾞﾈ）</t>
    <rPh sb="10" eb="11">
      <t>ツヨ</t>
    </rPh>
    <phoneticPr fontId="15"/>
  </si>
  <si>
    <t>ｱｰｽ棒(2連)</t>
    <rPh sb="3" eb="4">
      <t>ボウ</t>
    </rPh>
    <rPh sb="6" eb="7">
      <t>レン</t>
    </rPh>
    <phoneticPr fontId="32"/>
  </si>
  <si>
    <t>電牧線(2.5Φ×400m）</t>
    <rPh sb="0" eb="1">
      <t>デン</t>
    </rPh>
    <rPh sb="1" eb="2">
      <t>ボク</t>
    </rPh>
    <rPh sb="2" eb="3">
      <t>セン</t>
    </rPh>
    <phoneticPr fontId="15"/>
  </si>
  <si>
    <t>検電器（漏電ﾃｽﾀｰ）</t>
    <rPh sb="0" eb="3">
      <t>ケンデンキ</t>
    </rPh>
    <rPh sb="4" eb="6">
      <t>ロウデン</t>
    </rPh>
    <phoneticPr fontId="15"/>
  </si>
  <si>
    <t>寒冷紗部材(鋼管4m）</t>
    <rPh sb="0" eb="3">
      <t>カンレイシャ</t>
    </rPh>
    <rPh sb="3" eb="5">
      <t>ブザイ</t>
    </rPh>
    <rPh sb="6" eb="8">
      <t>コウカン</t>
    </rPh>
    <phoneticPr fontId="32"/>
  </si>
  <si>
    <t>寒冷紗部材(鋼管2m）</t>
    <rPh sb="0" eb="3">
      <t>カンレイシャ</t>
    </rPh>
    <rPh sb="3" eb="5">
      <t>ブザイ</t>
    </rPh>
    <rPh sb="6" eb="8">
      <t>コウカン</t>
    </rPh>
    <phoneticPr fontId="32"/>
  </si>
  <si>
    <t>寒冷紗部材(鋼管1.5m）</t>
    <rPh sb="0" eb="3">
      <t>カンレイシャ</t>
    </rPh>
    <rPh sb="3" eb="5">
      <t>ブザイ</t>
    </rPh>
    <rPh sb="6" eb="8">
      <t>コウカン</t>
    </rPh>
    <phoneticPr fontId="32"/>
  </si>
  <si>
    <t>寒冷紗部材(ｸﾗﾝﾌﾟ）</t>
    <rPh sb="0" eb="3">
      <t>カンレイシャ</t>
    </rPh>
    <rPh sb="3" eb="5">
      <t>ブザイ</t>
    </rPh>
    <phoneticPr fontId="32"/>
  </si>
  <si>
    <t>寒冷紗部材(遮光ﾈｯﾄ2×4m）</t>
    <rPh sb="0" eb="3">
      <t>カンレイシャ</t>
    </rPh>
    <rPh sb="3" eb="5">
      <t>ブザイ</t>
    </rPh>
    <rPh sb="6" eb="8">
      <t>シャコウ</t>
    </rPh>
    <phoneticPr fontId="32"/>
  </si>
  <si>
    <t>畜試購入額（H25） 1台/ha</t>
    <rPh sb="0" eb="1">
      <t>チク</t>
    </rPh>
    <rPh sb="1" eb="2">
      <t>タメシ</t>
    </rPh>
    <rPh sb="2" eb="4">
      <t>コウニュウ</t>
    </rPh>
    <rPh sb="4" eb="5">
      <t>ガク</t>
    </rPh>
    <rPh sb="12" eb="13">
      <t>ダイ</t>
    </rPh>
    <phoneticPr fontId="15"/>
  </si>
  <si>
    <t>エスケー資材カタログより  120本/ha</t>
    <rPh sb="4" eb="6">
      <t>シザイ</t>
    </rPh>
    <rPh sb="17" eb="18">
      <t>ホン</t>
    </rPh>
    <phoneticPr fontId="32"/>
  </si>
  <si>
    <t>エスケー資材カタログより  20本/ha</t>
    <rPh sb="4" eb="6">
      <t>シザイ</t>
    </rPh>
    <rPh sb="16" eb="17">
      <t>ホン</t>
    </rPh>
    <phoneticPr fontId="32"/>
  </si>
  <si>
    <t>エスケー資材カタログより  6個/ha</t>
    <rPh sb="4" eb="6">
      <t>シザイ</t>
    </rPh>
    <rPh sb="15" eb="16">
      <t>コ</t>
    </rPh>
    <phoneticPr fontId="32"/>
  </si>
  <si>
    <t>エスケー資材カタログより  1個/ha</t>
    <rPh sb="4" eb="6">
      <t>シザイ</t>
    </rPh>
    <rPh sb="15" eb="16">
      <t>コ</t>
    </rPh>
    <phoneticPr fontId="32"/>
  </si>
  <si>
    <t>エスケー資材カタログより  3巻/ha</t>
    <rPh sb="4" eb="6">
      <t>シザイ</t>
    </rPh>
    <rPh sb="15" eb="16">
      <t>マ</t>
    </rPh>
    <phoneticPr fontId="32"/>
  </si>
  <si>
    <t>資材カタログより   4本/ha</t>
    <rPh sb="0" eb="2">
      <t>シザイ</t>
    </rPh>
    <rPh sb="12" eb="13">
      <t>ホン</t>
    </rPh>
    <phoneticPr fontId="15"/>
  </si>
  <si>
    <t>資材カタログより   8本/ha</t>
    <rPh sb="0" eb="2">
      <t>シザイ</t>
    </rPh>
    <rPh sb="12" eb="13">
      <t>ホン</t>
    </rPh>
    <phoneticPr fontId="15"/>
  </si>
  <si>
    <t>資材カタログより   30個/ha</t>
    <rPh sb="0" eb="2">
      <t>シザイ</t>
    </rPh>
    <rPh sb="13" eb="14">
      <t>コ</t>
    </rPh>
    <phoneticPr fontId="15"/>
  </si>
  <si>
    <t>資材カタログより   16㎡/ha</t>
    <rPh sb="0" eb="2">
      <t>シザイ</t>
    </rPh>
    <phoneticPr fontId="15"/>
  </si>
  <si>
    <t>殺ﾀﾞﾆ剤（ﾊﾞｲﾁｺｰﾙ）</t>
    <rPh sb="0" eb="1">
      <t>サツ</t>
    </rPh>
    <rPh sb="4" eb="5">
      <t>ザイ</t>
    </rPh>
    <phoneticPr fontId="32"/>
  </si>
  <si>
    <t>1本1000ml入　2頭分で1回100ml</t>
    <rPh sb="1" eb="2">
      <t>ホン</t>
    </rPh>
    <rPh sb="8" eb="9">
      <t>イ</t>
    </rPh>
    <rPh sb="11" eb="12">
      <t>トウ</t>
    </rPh>
    <rPh sb="12" eb="13">
      <t>ブン</t>
    </rPh>
    <rPh sb="15" eb="16">
      <t>カイ</t>
    </rPh>
    <phoneticPr fontId="15"/>
  </si>
  <si>
    <t>○…</t>
    <phoneticPr fontId="14"/>
  </si>
  <si>
    <t>……</t>
    <phoneticPr fontId="14"/>
  </si>
  <si>
    <t>◎</t>
    <phoneticPr fontId="14"/>
  </si>
  <si>
    <t>◇</t>
    <phoneticPr fontId="14"/>
  </si>
  <si>
    <t>◆</t>
    <phoneticPr fontId="14"/>
  </si>
  <si>
    <t>∩≠</t>
    <phoneticPr fontId="14"/>
  </si>
  <si>
    <t>△</t>
    <phoneticPr fontId="14"/>
  </si>
  <si>
    <t>☆――</t>
    <phoneticPr fontId="14"/>
  </si>
  <si>
    <t>―――</t>
    <phoneticPr fontId="14"/>
  </si>
  <si>
    <t>家畜市場で購入後運搬委託2時間</t>
    <rPh sb="0" eb="2">
      <t>カチク</t>
    </rPh>
    <rPh sb="2" eb="4">
      <t>シジョウ</t>
    </rPh>
    <rPh sb="5" eb="7">
      <t>コウニュウ</t>
    </rPh>
    <rPh sb="7" eb="8">
      <t>ゴ</t>
    </rPh>
    <rPh sb="8" eb="10">
      <t>ウンパン</t>
    </rPh>
    <rPh sb="10" eb="12">
      <t>イタク</t>
    </rPh>
    <rPh sb="13" eb="15">
      <t>ジカン</t>
    </rPh>
    <phoneticPr fontId="14"/>
  </si>
  <si>
    <t>0.8m幅、長さ600m、4時間で想定</t>
    <rPh sb="4" eb="5">
      <t>ハバ</t>
    </rPh>
    <rPh sb="6" eb="7">
      <t>ナガ</t>
    </rPh>
    <rPh sb="14" eb="16">
      <t>ジカン</t>
    </rPh>
    <rPh sb="17" eb="19">
      <t>ソウテイ</t>
    </rPh>
    <phoneticPr fontId="14"/>
  </si>
  <si>
    <t>電気牧柵、日陰施設、水飲み場設置10時間想定</t>
    <rPh sb="0" eb="2">
      <t>デンキ</t>
    </rPh>
    <rPh sb="2" eb="4">
      <t>ボクサク</t>
    </rPh>
    <rPh sb="5" eb="7">
      <t>ヒカゲ</t>
    </rPh>
    <rPh sb="7" eb="9">
      <t>シセツ</t>
    </rPh>
    <rPh sb="10" eb="12">
      <t>ミズノ</t>
    </rPh>
    <rPh sb="13" eb="14">
      <t>バ</t>
    </rPh>
    <rPh sb="14" eb="16">
      <t>セッチ</t>
    </rPh>
    <rPh sb="18" eb="20">
      <t>ジカン</t>
    </rPh>
    <rPh sb="20" eb="22">
      <t>ソウテイ</t>
    </rPh>
    <phoneticPr fontId="14"/>
  </si>
  <si>
    <t>試験場から入牧(運搬委託)1時間</t>
    <rPh sb="0" eb="3">
      <t>シケンジョウ</t>
    </rPh>
    <rPh sb="5" eb="6">
      <t>ニュウ</t>
    </rPh>
    <rPh sb="6" eb="7">
      <t>ボク</t>
    </rPh>
    <rPh sb="8" eb="10">
      <t>ウンパン</t>
    </rPh>
    <rPh sb="10" eb="12">
      <t>イタク</t>
    </rPh>
    <rPh sb="14" eb="16">
      <t>ジカン</t>
    </rPh>
    <phoneticPr fontId="14"/>
  </si>
  <si>
    <t>健康観察、電牧管理毎日30分×10日分</t>
    <rPh sb="0" eb="2">
      <t>ケンコウ</t>
    </rPh>
    <rPh sb="2" eb="4">
      <t>カンサツ</t>
    </rPh>
    <rPh sb="5" eb="6">
      <t>デン</t>
    </rPh>
    <rPh sb="6" eb="7">
      <t>ボク</t>
    </rPh>
    <rPh sb="7" eb="9">
      <t>カンリ</t>
    </rPh>
    <rPh sb="9" eb="11">
      <t>マイニチ</t>
    </rPh>
    <rPh sb="13" eb="14">
      <t>フン</t>
    </rPh>
    <rPh sb="17" eb="19">
      <t>ニチブン</t>
    </rPh>
    <phoneticPr fontId="14"/>
  </si>
  <si>
    <t>牧区１→２転牧1時間</t>
    <rPh sb="0" eb="1">
      <t>ボク</t>
    </rPh>
    <rPh sb="1" eb="2">
      <t>ク</t>
    </rPh>
    <rPh sb="5" eb="6">
      <t>テン</t>
    </rPh>
    <rPh sb="6" eb="7">
      <t>ボク</t>
    </rPh>
    <rPh sb="8" eb="10">
      <t>ジカン</t>
    </rPh>
    <phoneticPr fontId="14"/>
  </si>
  <si>
    <t>0.8m幅、長さ150m、1時間で想定</t>
    <rPh sb="4" eb="5">
      <t>ハバ</t>
    </rPh>
    <rPh sb="6" eb="7">
      <t>ナガ</t>
    </rPh>
    <rPh sb="14" eb="16">
      <t>ジカン</t>
    </rPh>
    <rPh sb="17" eb="19">
      <t>ソウテイ</t>
    </rPh>
    <phoneticPr fontId="14"/>
  </si>
  <si>
    <t>牧区２→３転牧1時間</t>
    <rPh sb="0" eb="1">
      <t>ボク</t>
    </rPh>
    <rPh sb="1" eb="2">
      <t>ク</t>
    </rPh>
    <rPh sb="5" eb="6">
      <t>テン</t>
    </rPh>
    <rPh sb="6" eb="7">
      <t>ボク</t>
    </rPh>
    <rPh sb="8" eb="10">
      <t>ジカン</t>
    </rPh>
    <phoneticPr fontId="14"/>
  </si>
  <si>
    <t>牧区３→１転牧1時間</t>
    <rPh sb="0" eb="1">
      <t>ボク</t>
    </rPh>
    <rPh sb="1" eb="2">
      <t>ク</t>
    </rPh>
    <rPh sb="5" eb="6">
      <t>テン</t>
    </rPh>
    <rPh sb="6" eb="7">
      <t>ボク</t>
    </rPh>
    <rPh sb="8" eb="10">
      <t>ジカン</t>
    </rPh>
    <phoneticPr fontId="14"/>
  </si>
  <si>
    <t>牧区２→３へ転牧</t>
    <rPh sb="0" eb="1">
      <t>ボク</t>
    </rPh>
    <rPh sb="1" eb="2">
      <t>ク</t>
    </rPh>
    <rPh sb="6" eb="7">
      <t>テン</t>
    </rPh>
    <rPh sb="7" eb="8">
      <t>ボク</t>
    </rPh>
    <phoneticPr fontId="14"/>
  </si>
  <si>
    <t>と畜場へ搬送委託</t>
    <rPh sb="1" eb="2">
      <t>チク</t>
    </rPh>
    <rPh sb="2" eb="3">
      <t>ジョウ</t>
    </rPh>
    <rPh sb="4" eb="6">
      <t>ハンソウ</t>
    </rPh>
    <rPh sb="6" eb="8">
      <t>イタク</t>
    </rPh>
    <phoneticPr fontId="14"/>
  </si>
  <si>
    <t>　約1haの耕作放棄地を下図のように3分割して電気牧柵の設置、及び水飲場等、必要があれば日陰施設の作成</t>
    <rPh sb="1" eb="2">
      <t>ヤク</t>
    </rPh>
    <rPh sb="6" eb="8">
      <t>コウサク</t>
    </rPh>
    <rPh sb="8" eb="10">
      <t>ホウキ</t>
    </rPh>
    <rPh sb="10" eb="11">
      <t>チ</t>
    </rPh>
    <rPh sb="12" eb="14">
      <t>カズ</t>
    </rPh>
    <rPh sb="19" eb="21">
      <t>ブンカツ</t>
    </rPh>
    <rPh sb="23" eb="25">
      <t>デンキ</t>
    </rPh>
    <rPh sb="25" eb="27">
      <t>ボクサク</t>
    </rPh>
    <rPh sb="28" eb="30">
      <t>セッチ</t>
    </rPh>
    <rPh sb="31" eb="32">
      <t>オヨ</t>
    </rPh>
    <rPh sb="33" eb="34">
      <t>ミズ</t>
    </rPh>
    <rPh sb="34" eb="35">
      <t>オン</t>
    </rPh>
    <rPh sb="35" eb="36">
      <t>ジョウ</t>
    </rPh>
    <rPh sb="36" eb="37">
      <t>トウ</t>
    </rPh>
    <rPh sb="38" eb="40">
      <t>ヒツヨウ</t>
    </rPh>
    <rPh sb="44" eb="46">
      <t>ヒカゲ</t>
    </rPh>
    <rPh sb="46" eb="48">
      <t>シセツ</t>
    </rPh>
    <rPh sb="49" eb="51">
      <t>サクセイ</t>
    </rPh>
    <phoneticPr fontId="14"/>
  </si>
  <si>
    <t>　牧区1に入牧、以後毎日の健康観察、牧柵管理等（5～6月）</t>
    <rPh sb="1" eb="2">
      <t>ボク</t>
    </rPh>
    <rPh sb="2" eb="3">
      <t>ク</t>
    </rPh>
    <rPh sb="5" eb="6">
      <t>ニュウ</t>
    </rPh>
    <rPh sb="6" eb="7">
      <t>ボク</t>
    </rPh>
    <rPh sb="8" eb="10">
      <t>イゴ</t>
    </rPh>
    <rPh sb="10" eb="12">
      <t>マイニチ</t>
    </rPh>
    <rPh sb="13" eb="15">
      <t>ケンコウ</t>
    </rPh>
    <rPh sb="15" eb="17">
      <t>カンサツ</t>
    </rPh>
    <rPh sb="18" eb="20">
      <t>ボクサク</t>
    </rPh>
    <rPh sb="20" eb="22">
      <t>カンリ</t>
    </rPh>
    <rPh sb="22" eb="23">
      <t>トウ</t>
    </rPh>
    <rPh sb="27" eb="28">
      <t>ガツ</t>
    </rPh>
    <phoneticPr fontId="14"/>
  </si>
  <si>
    <t>　牧区2に放牧牛移動、以後毎日の健康観察、牧柵管理等（6～7月）</t>
    <rPh sb="1" eb="2">
      <t>ボク</t>
    </rPh>
    <rPh sb="2" eb="3">
      <t>ク</t>
    </rPh>
    <rPh sb="5" eb="7">
      <t>ホウボク</t>
    </rPh>
    <rPh sb="7" eb="8">
      <t>ギュウ</t>
    </rPh>
    <rPh sb="8" eb="10">
      <t>イドウ</t>
    </rPh>
    <rPh sb="11" eb="13">
      <t>イゴ</t>
    </rPh>
    <rPh sb="13" eb="15">
      <t>マイニチ</t>
    </rPh>
    <rPh sb="16" eb="18">
      <t>ケンコウ</t>
    </rPh>
    <rPh sb="18" eb="20">
      <t>カンサツ</t>
    </rPh>
    <rPh sb="21" eb="23">
      <t>ボクサク</t>
    </rPh>
    <rPh sb="23" eb="25">
      <t>カンリ</t>
    </rPh>
    <rPh sb="25" eb="26">
      <t>トウ</t>
    </rPh>
    <rPh sb="30" eb="31">
      <t>ガツ</t>
    </rPh>
    <phoneticPr fontId="14"/>
  </si>
  <si>
    <t>　牧区1の化粧刈</t>
    <rPh sb="1" eb="2">
      <t>ボク</t>
    </rPh>
    <rPh sb="2" eb="3">
      <t>ク</t>
    </rPh>
    <rPh sb="5" eb="7">
      <t>ケショウ</t>
    </rPh>
    <rPh sb="7" eb="8">
      <t>カ</t>
    </rPh>
    <phoneticPr fontId="14"/>
  </si>
  <si>
    <t>　牧区3に放牧牛移動、以後毎日の健康観察、牧柵管理等（7～8月）</t>
    <rPh sb="1" eb="2">
      <t>ボク</t>
    </rPh>
    <rPh sb="2" eb="3">
      <t>ク</t>
    </rPh>
    <rPh sb="5" eb="7">
      <t>ホウボク</t>
    </rPh>
    <rPh sb="7" eb="8">
      <t>ギュウ</t>
    </rPh>
    <rPh sb="8" eb="10">
      <t>イドウ</t>
    </rPh>
    <rPh sb="11" eb="13">
      <t>イゴ</t>
    </rPh>
    <rPh sb="13" eb="15">
      <t>マイニチ</t>
    </rPh>
    <rPh sb="16" eb="18">
      <t>ケンコウ</t>
    </rPh>
    <rPh sb="18" eb="20">
      <t>カンサツ</t>
    </rPh>
    <rPh sb="21" eb="23">
      <t>ボクサク</t>
    </rPh>
    <rPh sb="23" eb="25">
      <t>カンリ</t>
    </rPh>
    <rPh sb="25" eb="26">
      <t>トウ</t>
    </rPh>
    <rPh sb="30" eb="31">
      <t>ガツ</t>
    </rPh>
    <phoneticPr fontId="14"/>
  </si>
  <si>
    <t>　牧区2の化粧刈</t>
    <rPh sb="1" eb="2">
      <t>ボク</t>
    </rPh>
    <rPh sb="2" eb="3">
      <t>ク</t>
    </rPh>
    <rPh sb="5" eb="7">
      <t>ケショウ</t>
    </rPh>
    <rPh sb="7" eb="8">
      <t>カ</t>
    </rPh>
    <phoneticPr fontId="14"/>
  </si>
  <si>
    <t>　牧区1に放牧牛移動、以後毎日の健康観察、牧柵管理等（8～9月）</t>
    <rPh sb="1" eb="2">
      <t>ボク</t>
    </rPh>
    <rPh sb="2" eb="3">
      <t>ク</t>
    </rPh>
    <rPh sb="5" eb="7">
      <t>ホウボク</t>
    </rPh>
    <rPh sb="7" eb="8">
      <t>ギュウ</t>
    </rPh>
    <rPh sb="8" eb="10">
      <t>イドウ</t>
    </rPh>
    <rPh sb="11" eb="13">
      <t>イゴ</t>
    </rPh>
    <rPh sb="13" eb="15">
      <t>マイニチ</t>
    </rPh>
    <rPh sb="16" eb="18">
      <t>ケンコウ</t>
    </rPh>
    <rPh sb="18" eb="20">
      <t>カンサツ</t>
    </rPh>
    <rPh sb="21" eb="23">
      <t>ボクサク</t>
    </rPh>
    <rPh sb="23" eb="25">
      <t>カンリ</t>
    </rPh>
    <rPh sb="25" eb="26">
      <t>トウ</t>
    </rPh>
    <rPh sb="30" eb="31">
      <t>ガツ</t>
    </rPh>
    <phoneticPr fontId="14"/>
  </si>
  <si>
    <t>　牧区3の化粧刈</t>
    <rPh sb="1" eb="2">
      <t>ボク</t>
    </rPh>
    <rPh sb="2" eb="3">
      <t>ク</t>
    </rPh>
    <rPh sb="5" eb="7">
      <t>ケショウ</t>
    </rPh>
    <rPh sb="7" eb="8">
      <t>カ</t>
    </rPh>
    <phoneticPr fontId="14"/>
  </si>
  <si>
    <t>　牧区2に放牧牛移動、以後毎日の健康観察、牧柵管理等（9～10月）</t>
    <rPh sb="1" eb="2">
      <t>ボク</t>
    </rPh>
    <rPh sb="2" eb="3">
      <t>ク</t>
    </rPh>
    <rPh sb="5" eb="7">
      <t>ホウボク</t>
    </rPh>
    <rPh sb="7" eb="8">
      <t>ギュウ</t>
    </rPh>
    <rPh sb="8" eb="10">
      <t>イドウ</t>
    </rPh>
    <rPh sb="11" eb="13">
      <t>イゴ</t>
    </rPh>
    <rPh sb="13" eb="15">
      <t>マイニチ</t>
    </rPh>
    <rPh sb="16" eb="18">
      <t>ケンコウ</t>
    </rPh>
    <rPh sb="18" eb="20">
      <t>カンサツ</t>
    </rPh>
    <rPh sb="21" eb="23">
      <t>ボクサク</t>
    </rPh>
    <rPh sb="23" eb="25">
      <t>カンリ</t>
    </rPh>
    <rPh sb="25" eb="26">
      <t>トウ</t>
    </rPh>
    <rPh sb="31" eb="32">
      <t>ガツ</t>
    </rPh>
    <phoneticPr fontId="14"/>
  </si>
  <si>
    <t>　牧区3に放牧牛移動、以後毎日の健康観察、牧柵管理等（10～11月）</t>
    <rPh sb="1" eb="2">
      <t>ボク</t>
    </rPh>
    <rPh sb="2" eb="3">
      <t>ク</t>
    </rPh>
    <rPh sb="5" eb="7">
      <t>ホウボク</t>
    </rPh>
    <rPh sb="7" eb="8">
      <t>ギュウ</t>
    </rPh>
    <rPh sb="8" eb="10">
      <t>イドウ</t>
    </rPh>
    <rPh sb="11" eb="13">
      <t>イゴ</t>
    </rPh>
    <rPh sb="13" eb="15">
      <t>マイニチ</t>
    </rPh>
    <rPh sb="16" eb="18">
      <t>ケンコウ</t>
    </rPh>
    <rPh sb="18" eb="20">
      <t>カンサツ</t>
    </rPh>
    <rPh sb="21" eb="23">
      <t>ボクサク</t>
    </rPh>
    <rPh sb="23" eb="25">
      <t>カンリ</t>
    </rPh>
    <rPh sb="25" eb="26">
      <t>トウ</t>
    </rPh>
    <rPh sb="32" eb="33">
      <t>ガツ</t>
    </rPh>
    <phoneticPr fontId="14"/>
  </si>
  <si>
    <t>　牧区3を退牧後、出荷</t>
    <rPh sb="1" eb="2">
      <t>ボク</t>
    </rPh>
    <rPh sb="2" eb="3">
      <t>ク</t>
    </rPh>
    <rPh sb="5" eb="6">
      <t>シリゾ</t>
    </rPh>
    <rPh sb="6" eb="7">
      <t>ボク</t>
    </rPh>
    <rPh sb="7" eb="8">
      <t>ゴ</t>
    </rPh>
    <rPh sb="9" eb="11">
      <t>シュッカ</t>
    </rPh>
    <phoneticPr fontId="14"/>
  </si>
  <si>
    <t>牧区１（約33a）</t>
    <rPh sb="0" eb="1">
      <t>ボク</t>
    </rPh>
    <rPh sb="1" eb="2">
      <t>ク</t>
    </rPh>
    <rPh sb="4" eb="5">
      <t>ヤク</t>
    </rPh>
    <phoneticPr fontId="14"/>
  </si>
  <si>
    <t>放牧期間</t>
    <rPh sb="0" eb="2">
      <t>ホウボク</t>
    </rPh>
    <rPh sb="2" eb="4">
      <t>キカン</t>
    </rPh>
    <phoneticPr fontId="14"/>
  </si>
  <si>
    <t>（5～6月）</t>
    <rPh sb="4" eb="5">
      <t>ガツ</t>
    </rPh>
    <phoneticPr fontId="14"/>
  </si>
  <si>
    <t>（8～9月）</t>
    <rPh sb="4" eb="5">
      <t>ガツ</t>
    </rPh>
    <phoneticPr fontId="14"/>
  </si>
  <si>
    <t>牧区２（約33a）</t>
    <rPh sb="0" eb="1">
      <t>ボク</t>
    </rPh>
    <rPh sb="1" eb="2">
      <t>ク</t>
    </rPh>
    <rPh sb="4" eb="5">
      <t>ヤク</t>
    </rPh>
    <phoneticPr fontId="14"/>
  </si>
  <si>
    <t>（6～7月）</t>
    <rPh sb="4" eb="5">
      <t>ガツ</t>
    </rPh>
    <phoneticPr fontId="14"/>
  </si>
  <si>
    <t>（9～10月）</t>
    <rPh sb="5" eb="6">
      <t>ガツ</t>
    </rPh>
    <phoneticPr fontId="14"/>
  </si>
  <si>
    <t>牧区３（約33a）</t>
    <rPh sb="0" eb="1">
      <t>ボク</t>
    </rPh>
    <rPh sb="1" eb="2">
      <t>ク</t>
    </rPh>
    <rPh sb="4" eb="5">
      <t>ヤク</t>
    </rPh>
    <phoneticPr fontId="14"/>
  </si>
  <si>
    <t>（7～8月）</t>
    <rPh sb="4" eb="5">
      <t>ガツ</t>
    </rPh>
    <phoneticPr fontId="14"/>
  </si>
  <si>
    <t>（10～11月）</t>
    <rPh sb="6" eb="7">
      <t>ガツ</t>
    </rPh>
    <phoneticPr fontId="14"/>
  </si>
  <si>
    <t>導入牛について</t>
    <rPh sb="0" eb="2">
      <t>ドウニュウ</t>
    </rPh>
    <rPh sb="2" eb="3">
      <t>ウシ</t>
    </rPh>
    <phoneticPr fontId="14"/>
  </si>
  <si>
    <t>市場開設日</t>
  </si>
  <si>
    <t>経産牛取引頭数</t>
  </si>
  <si>
    <t>平均価格</t>
  </si>
  <si>
    <t>高値</t>
  </si>
  <si>
    <t>安値</t>
  </si>
  <si>
    <t>平均体重</t>
  </si>
  <si>
    <t>ｋｇ単価</t>
  </si>
  <si>
    <t>平均価格×頭数</t>
  </si>
  <si>
    <t>平均体重×頭数</t>
  </si>
  <si>
    <t>計又は単純平均</t>
  </si>
  <si>
    <t>加重平均価格</t>
  </si>
  <si>
    <t>加重平均体重</t>
  </si>
  <si>
    <t>加重平均ｋｇ単価</t>
  </si>
  <si>
    <t>導入牛は５００ｋｇとし、購入価格は税込み272,500円（500kg×545円)とする。</t>
  </si>
  <si>
    <t>販売牛について</t>
    <rPh sb="0" eb="2">
      <t>ハンバイ</t>
    </rPh>
    <rPh sb="2" eb="3">
      <t>ギュウ</t>
    </rPh>
    <phoneticPr fontId="14"/>
  </si>
  <si>
    <t>農研機構（熟ビーフ連絡会資料より）</t>
    <rPh sb="0" eb="1">
      <t>ノウ</t>
    </rPh>
    <rPh sb="1" eb="2">
      <t>ケン</t>
    </rPh>
    <rPh sb="2" eb="4">
      <t>キコウ</t>
    </rPh>
    <rPh sb="5" eb="6">
      <t>ジュク</t>
    </rPh>
    <rPh sb="9" eb="12">
      <t>レンラクカイ</t>
    </rPh>
    <rPh sb="12" eb="14">
      <t>シリョウ</t>
    </rPh>
    <phoneticPr fontId="14"/>
  </si>
  <si>
    <t>畜産試験場放牧牛肉場試牛（ギンザ畜産出荷データ）</t>
    <rPh sb="0" eb="2">
      <t>チクサン</t>
    </rPh>
    <rPh sb="2" eb="4">
      <t>シケン</t>
    </rPh>
    <rPh sb="4" eb="5">
      <t>ジョウ</t>
    </rPh>
    <rPh sb="5" eb="7">
      <t>ホウボク</t>
    </rPh>
    <rPh sb="7" eb="9">
      <t>ギュウニク</t>
    </rPh>
    <rPh sb="9" eb="10">
      <t>ジョウ</t>
    </rPh>
    <rPh sb="10" eb="11">
      <t>タメシ</t>
    </rPh>
    <rPh sb="11" eb="12">
      <t>ウシ</t>
    </rPh>
    <rPh sb="16" eb="18">
      <t>チクサン</t>
    </rPh>
    <rPh sb="18" eb="20">
      <t>シュッカ</t>
    </rPh>
    <phoneticPr fontId="14"/>
  </si>
  <si>
    <t>出荷体重</t>
    <rPh sb="0" eb="2">
      <t>シュッカ</t>
    </rPh>
    <rPh sb="2" eb="4">
      <t>タイジュウ</t>
    </rPh>
    <phoneticPr fontId="14"/>
  </si>
  <si>
    <t>500kg</t>
    <phoneticPr fontId="14"/>
  </si>
  <si>
    <t>屠畜場使用料</t>
    <rPh sb="0" eb="2">
      <t>トチク</t>
    </rPh>
    <rPh sb="2" eb="3">
      <t>ジョウ</t>
    </rPh>
    <rPh sb="3" eb="6">
      <t>シヨウリョウ</t>
    </rPh>
    <phoneticPr fontId="14"/>
  </si>
  <si>
    <t>3,550円</t>
    <rPh sb="5" eb="6">
      <t>エン</t>
    </rPh>
    <phoneticPr fontId="14"/>
  </si>
  <si>
    <t>部分肉量</t>
    <rPh sb="0" eb="2">
      <t>ブブン</t>
    </rPh>
    <rPh sb="2" eb="3">
      <t>ニク</t>
    </rPh>
    <rPh sb="3" eb="4">
      <t>リョウ</t>
    </rPh>
    <phoneticPr fontId="14"/>
  </si>
  <si>
    <t>200kg</t>
    <phoneticPr fontId="14"/>
  </si>
  <si>
    <t>検査料</t>
    <rPh sb="0" eb="2">
      <t>ケンサ</t>
    </rPh>
    <rPh sb="2" eb="3">
      <t>リョウ</t>
    </rPh>
    <phoneticPr fontId="14"/>
  </si>
  <si>
    <t>800円</t>
    <rPh sb="3" eb="4">
      <t>エン</t>
    </rPh>
    <phoneticPr fontId="14"/>
  </si>
  <si>
    <t>精肉量</t>
    <rPh sb="0" eb="2">
      <t>セイニク</t>
    </rPh>
    <rPh sb="2" eb="3">
      <t>リョウ</t>
    </rPh>
    <phoneticPr fontId="14"/>
  </si>
  <si>
    <t>160kg</t>
    <phoneticPr fontId="14"/>
  </si>
  <si>
    <t>解体料</t>
    <rPh sb="0" eb="2">
      <t>カイタイ</t>
    </rPh>
    <rPh sb="2" eb="3">
      <t>リョウ</t>
    </rPh>
    <phoneticPr fontId="14"/>
  </si>
  <si>
    <t>18,000円</t>
    <rPh sb="6" eb="7">
      <t>エン</t>
    </rPh>
    <phoneticPr fontId="14"/>
  </si>
  <si>
    <t>販売単価（ｋｇ）</t>
    <rPh sb="0" eb="2">
      <t>ハンバイ</t>
    </rPh>
    <rPh sb="2" eb="4">
      <t>タンカ</t>
    </rPh>
    <phoneticPr fontId="14"/>
  </si>
  <si>
    <t>1,600円</t>
    <rPh sb="5" eb="6">
      <t>エン</t>
    </rPh>
    <phoneticPr fontId="14"/>
  </si>
  <si>
    <t>内臓処理量</t>
    <rPh sb="0" eb="2">
      <t>ナイゾウ</t>
    </rPh>
    <rPh sb="2" eb="4">
      <t>ショリ</t>
    </rPh>
    <rPh sb="4" eb="5">
      <t>リョウ</t>
    </rPh>
    <phoneticPr fontId="14"/>
  </si>
  <si>
    <t>5,000円</t>
    <rPh sb="5" eb="6">
      <t>エン</t>
    </rPh>
    <phoneticPr fontId="14"/>
  </si>
  <si>
    <t>販売額</t>
    <rPh sb="0" eb="2">
      <t>ハンバイ</t>
    </rPh>
    <rPh sb="2" eb="3">
      <t>ガク</t>
    </rPh>
    <phoneticPr fontId="14"/>
  </si>
  <si>
    <t>256,000円</t>
    <rPh sb="7" eb="8">
      <t>エン</t>
    </rPh>
    <phoneticPr fontId="14"/>
  </si>
  <si>
    <t>生肉処理量</t>
    <rPh sb="0" eb="2">
      <t>セイニク</t>
    </rPh>
    <rPh sb="2" eb="4">
      <t>ショリ</t>
    </rPh>
    <rPh sb="4" eb="5">
      <t>リョウ</t>
    </rPh>
    <phoneticPr fontId="14"/>
  </si>
  <si>
    <t>19,500円</t>
    <rPh sb="6" eb="7">
      <t>エン</t>
    </rPh>
    <phoneticPr fontId="14"/>
  </si>
  <si>
    <t>160kg換算(＠160円×160kg)</t>
    <rPh sb="5" eb="7">
      <t>カンザン</t>
    </rPh>
    <rPh sb="12" eb="13">
      <t>エン</t>
    </rPh>
    <phoneticPr fontId="14"/>
  </si>
  <si>
    <t>小計</t>
    <rPh sb="0" eb="2">
      <t>ショウケイ</t>
    </rPh>
    <phoneticPr fontId="14"/>
  </si>
  <si>
    <t>46,850円</t>
    <rPh sb="6" eb="7">
      <t>エン</t>
    </rPh>
    <phoneticPr fontId="14"/>
  </si>
  <si>
    <t>精肉処理費用</t>
    <rPh sb="0" eb="2">
      <t>セイニク</t>
    </rPh>
    <rPh sb="2" eb="4">
      <t>ショリ</t>
    </rPh>
    <rPh sb="4" eb="6">
      <t>ヒヨウ</t>
    </rPh>
    <phoneticPr fontId="14"/>
  </si>
  <si>
    <t>処理料</t>
    <rPh sb="0" eb="2">
      <t>ショリ</t>
    </rPh>
    <rPh sb="2" eb="3">
      <t>リョウ</t>
    </rPh>
    <phoneticPr fontId="14"/>
  </si>
  <si>
    <t>16,000円</t>
    <rPh sb="6" eb="7">
      <t>エン</t>
    </rPh>
    <phoneticPr fontId="14"/>
  </si>
  <si>
    <t>160kg換算(＠100円×160kg)</t>
    <rPh sb="5" eb="7">
      <t>カンザン</t>
    </rPh>
    <rPh sb="12" eb="13">
      <t>エン</t>
    </rPh>
    <phoneticPr fontId="14"/>
  </si>
  <si>
    <t>真空ﾌｨﾙﾑ代</t>
    <rPh sb="0" eb="2">
      <t>シンクウ</t>
    </rPh>
    <rPh sb="6" eb="7">
      <t>ダイ</t>
    </rPh>
    <phoneticPr fontId="14"/>
  </si>
  <si>
    <t>160kg換算(＠10円×160kg)</t>
    <rPh sb="5" eb="7">
      <t>カンザン</t>
    </rPh>
    <rPh sb="11" eb="12">
      <t>エン</t>
    </rPh>
    <phoneticPr fontId="14"/>
  </si>
  <si>
    <t>ケース箱代</t>
    <rPh sb="3" eb="4">
      <t>ハコ</t>
    </rPh>
    <rPh sb="4" eb="5">
      <t>ダイ</t>
    </rPh>
    <phoneticPr fontId="14"/>
  </si>
  <si>
    <t>4,500円</t>
    <rPh sb="5" eb="6">
      <t>エン</t>
    </rPh>
    <phoneticPr fontId="14"/>
  </si>
  <si>
    <t>30箱×150円</t>
    <rPh sb="2" eb="3">
      <t>ハコ</t>
    </rPh>
    <rPh sb="7" eb="8">
      <t>エン</t>
    </rPh>
    <phoneticPr fontId="14"/>
  </si>
  <si>
    <t>消費税</t>
    <rPh sb="0" eb="3">
      <t>ショウヒゼイ</t>
    </rPh>
    <phoneticPr fontId="14"/>
  </si>
  <si>
    <t>1,768円</t>
    <rPh sb="5" eb="6">
      <t>エン</t>
    </rPh>
    <phoneticPr fontId="14"/>
  </si>
  <si>
    <t>23.868円</t>
    <rPh sb="6" eb="7">
      <t>エン</t>
    </rPh>
    <phoneticPr fontId="14"/>
  </si>
  <si>
    <t>総計</t>
    <rPh sb="0" eb="2">
      <t>ソウケイ</t>
    </rPh>
    <phoneticPr fontId="14"/>
  </si>
  <si>
    <t>70,718円</t>
    <rPh sb="6" eb="7">
      <t>エン</t>
    </rPh>
    <phoneticPr fontId="14"/>
  </si>
  <si>
    <t>70,718円で屠畜、精肉加工を行い、256,000円/頭（160kg×1,600円）で買い取ってもらうこととする。</t>
    <rPh sb="6" eb="7">
      <t>エン</t>
    </rPh>
    <rPh sb="8" eb="10">
      <t>トチク</t>
    </rPh>
    <rPh sb="11" eb="13">
      <t>セイニク</t>
    </rPh>
    <rPh sb="13" eb="15">
      <t>カコウ</t>
    </rPh>
    <rPh sb="16" eb="17">
      <t>オコナ</t>
    </rPh>
    <rPh sb="26" eb="27">
      <t>エン</t>
    </rPh>
    <rPh sb="28" eb="29">
      <t>トウ</t>
    </rPh>
    <rPh sb="41" eb="42">
      <t>エン</t>
    </rPh>
    <rPh sb="44" eb="45">
      <t>カ</t>
    </rPh>
    <rPh sb="46" eb="47">
      <t>ト</t>
    </rPh>
    <phoneticPr fontId="14"/>
  </si>
  <si>
    <t>農家掛金＝家畜評価額×（40～80％(選択)）×（掛金率（3年毎改定））×（50％農家負担割合）×（1年間に占める加入月の割合(短期加入)）</t>
    <rPh sb="0" eb="2">
      <t>ノウカ</t>
    </rPh>
    <rPh sb="2" eb="4">
      <t>カケキン</t>
    </rPh>
    <rPh sb="5" eb="7">
      <t>カチク</t>
    </rPh>
    <rPh sb="7" eb="10">
      <t>ヒョウカガク</t>
    </rPh>
    <rPh sb="19" eb="21">
      <t>センタク</t>
    </rPh>
    <rPh sb="25" eb="27">
      <t>カケキン</t>
    </rPh>
    <rPh sb="27" eb="28">
      <t>リツ</t>
    </rPh>
    <rPh sb="30" eb="31">
      <t>ネン</t>
    </rPh>
    <rPh sb="31" eb="32">
      <t>ゴト</t>
    </rPh>
    <rPh sb="32" eb="34">
      <t>カイテイ</t>
    </rPh>
    <rPh sb="41" eb="43">
      <t>ノウカ</t>
    </rPh>
    <rPh sb="43" eb="45">
      <t>フタン</t>
    </rPh>
    <rPh sb="45" eb="47">
      <t>ワリアイ</t>
    </rPh>
    <rPh sb="51" eb="53">
      <t>ネンカン</t>
    </rPh>
    <rPh sb="54" eb="55">
      <t>シ</t>
    </rPh>
    <rPh sb="57" eb="59">
      <t>カニュウ</t>
    </rPh>
    <rPh sb="59" eb="60">
      <t>ツキ</t>
    </rPh>
    <rPh sb="61" eb="63">
      <t>ワリアイ</t>
    </rPh>
    <rPh sb="64" eb="66">
      <t>タンキ</t>
    </rPh>
    <rPh sb="66" eb="68">
      <t>カニュウ</t>
    </rPh>
    <phoneticPr fontId="14"/>
  </si>
  <si>
    <t>1頭272,500円の評価で補償50％を選択し、掛金率（死廃・病傷対応で農家付加金も含む）は山口中部・東部の7.28％、8カ月間加入とした場合の農家掛金は</t>
    <rPh sb="1" eb="2">
      <t>トウ</t>
    </rPh>
    <rPh sb="9" eb="10">
      <t>エン</t>
    </rPh>
    <rPh sb="11" eb="13">
      <t>ヒョウカ</t>
    </rPh>
    <rPh sb="14" eb="16">
      <t>ホショウ</t>
    </rPh>
    <rPh sb="20" eb="22">
      <t>センタク</t>
    </rPh>
    <rPh sb="24" eb="26">
      <t>カケキン</t>
    </rPh>
    <rPh sb="26" eb="27">
      <t>リツ</t>
    </rPh>
    <rPh sb="28" eb="29">
      <t>シ</t>
    </rPh>
    <rPh sb="29" eb="30">
      <t>ハイ</t>
    </rPh>
    <rPh sb="31" eb="32">
      <t>ビョウ</t>
    </rPh>
    <rPh sb="32" eb="33">
      <t>キズ</t>
    </rPh>
    <rPh sb="33" eb="35">
      <t>タイオウ</t>
    </rPh>
    <rPh sb="36" eb="38">
      <t>ノウカ</t>
    </rPh>
    <rPh sb="38" eb="40">
      <t>フカ</t>
    </rPh>
    <rPh sb="40" eb="41">
      <t>キン</t>
    </rPh>
    <rPh sb="42" eb="43">
      <t>フク</t>
    </rPh>
    <rPh sb="46" eb="48">
      <t>ヤマグチ</t>
    </rPh>
    <rPh sb="48" eb="50">
      <t>チュウブ</t>
    </rPh>
    <rPh sb="51" eb="53">
      <t>トウブ</t>
    </rPh>
    <rPh sb="62" eb="64">
      <t>ゲツカン</t>
    </rPh>
    <rPh sb="64" eb="66">
      <t>カニュウ</t>
    </rPh>
    <rPh sb="69" eb="71">
      <t>バアイ</t>
    </rPh>
    <rPh sb="72" eb="74">
      <t>ノウカ</t>
    </rPh>
    <rPh sb="74" eb="76">
      <t>カケキン</t>
    </rPh>
    <phoneticPr fontId="14"/>
  </si>
  <si>
    <t>円</t>
    <rPh sb="0" eb="1">
      <t>エン</t>
    </rPh>
    <phoneticPr fontId="14"/>
  </si>
  <si>
    <t>×</t>
    <phoneticPr fontId="14"/>
  </si>
  <si>
    <t>頭</t>
    <rPh sb="0" eb="1">
      <t>トウ</t>
    </rPh>
    <phoneticPr fontId="14"/>
  </si>
  <si>
    <t>/</t>
    <phoneticPr fontId="14"/>
  </si>
  <si>
    <t>=</t>
    <phoneticPr fontId="14"/>
  </si>
  <si>
    <t>（1頭あたり3,306.4円）</t>
    <rPh sb="2" eb="3">
      <t>トウ</t>
    </rPh>
    <rPh sb="13" eb="14">
      <t>エン</t>
    </rPh>
    <phoneticPr fontId="14"/>
  </si>
  <si>
    <t>式</t>
    <rPh sb="0" eb="1">
      <t>シキ</t>
    </rPh>
    <phoneticPr fontId="14"/>
  </si>
  <si>
    <t>合計
(円/10a)</t>
    <rPh sb="0" eb="2">
      <t>ゴウケイ</t>
    </rPh>
    <phoneticPr fontId="14"/>
  </si>
  <si>
    <t>単価(円)</t>
    <rPh sb="0" eb="2">
      <t>タンカ</t>
    </rPh>
    <rPh sb="3" eb="4">
      <t>エン</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</si>
  <si>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</si>
  <si>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</si>
  <si>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</si>
  <si>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混合油</t>
    <rPh sb="0" eb="2">
      <t>コンゴウ</t>
    </rPh>
    <rPh sb="2" eb="3">
      <t>ユ</t>
    </rPh>
    <phoneticPr fontId="14"/>
  </si>
  <si>
    <t>販売量(頭)</t>
    <rPh sb="4" eb="5">
      <t>トウ</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</si>
  <si>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</si>
  <si>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</si>
  <si>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</si>
  <si>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</si>
  <si>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</si>
  <si>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</si>
  <si>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</si>
  <si>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播種量</t>
    <rPh sb="0" eb="2">
      <t>ハシュ</t>
    </rPh>
    <rPh sb="2" eb="3">
      <t>リョウ</t>
    </rPh>
    <phoneticPr fontId="14"/>
  </si>
  <si>
    <t>kg</t>
    <phoneticPr fontId="14"/>
  </si>
  <si>
    <t>飼養頭数</t>
    <rPh sb="0" eb="2">
      <t>シヨウ</t>
    </rPh>
    <rPh sb="2" eb="4">
      <t>トウスウ</t>
    </rPh>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</si>
  <si>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</si>
  <si>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</si>
  <si>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</si>
  <si>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</si>
  <si>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</si>
  <si>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商品化率</t>
    <rPh sb="0" eb="3">
      <t>ショウヒンカ</t>
    </rPh>
    <rPh sb="3" eb="4">
      <t>リツ</t>
    </rPh>
    <phoneticPr fontId="14"/>
  </si>
  <si>
    <t>補助労働(ア)</t>
    <rPh sb="0" eb="2">
      <t>ホジョ</t>
    </rPh>
    <rPh sb="2" eb="4">
      <t>ロウドウ</t>
    </rPh>
    <phoneticPr fontId="14"/>
  </si>
  <si>
    <t>備考</t>
    <rPh sb="0" eb="2">
      <t>ビコウ</t>
    </rPh>
    <phoneticPr fontId="14"/>
  </si>
  <si>
    <t>山口県最低賃金（H28.10.1）</t>
    <phoneticPr fontId="14"/>
  </si>
  <si>
    <t>オイル(自動計算)</t>
    <rPh sb="4" eb="6">
      <t>ジドウ</t>
    </rPh>
    <rPh sb="6" eb="8">
      <t>ケイサン</t>
    </rPh>
    <phoneticPr fontId="14"/>
  </si>
  <si>
    <t>H27年平均価格　石油情報センターより</t>
    <rPh sb="3" eb="4">
      <t>ネン</t>
    </rPh>
    <rPh sb="4" eb="6">
      <t>ヘイキン</t>
    </rPh>
    <rPh sb="6" eb="8">
      <t>カカク</t>
    </rPh>
    <rPh sb="9" eb="11">
      <t>セキユ</t>
    </rPh>
    <rPh sb="11" eb="13">
      <t>ジョウホウ</t>
    </rPh>
    <phoneticPr fontId="14"/>
  </si>
  <si>
    <t>その他燃料</t>
    <phoneticPr fontId="14"/>
  </si>
  <si>
    <t>田</t>
  </si>
  <si>
    <t>該当しない</t>
  </si>
  <si>
    <t>―</t>
    <phoneticPr fontId="14"/>
  </si>
  <si>
    <t>イメージ</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</si>
</sst>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0.00_ "/>
    <numFmt numFmtId="204" formatCode="#,##0.0_ "/>
    <numFmt numFmtId="205" formatCode="_ * #,##0.0_ ;[Red]_ * \-#,##0.0_ ;_ * &quot;&quot;??_ ;_ @_ "/>
    <numFmt numFmtId="206" formatCode="0_);[Red]\(0\)"/>
  </numFmts>
  <fonts count="41">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b/>
      <sz val="14"/>
      <name val="ＭＳ Ｐゴシック"/>
      <family val="3"/>
      <charset val="128"/>
    </font>
    <font>
      <sz val="11"/>
      <color theme="0"/>
      <name val="ＭＳ Ｐゴシック"/>
      <family val="3"/>
      <charset val="128"/>
    </font>
    <font>
      <sz val="10"/>
      <name val="ＭＳ Ｐゴシック"/>
      <family val="3"/>
      <charset val="128"/>
      <scheme val="minor"/>
    </font>
  </fonts>
  <fills count="27">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
      <patternFill patternType="lightGray"/>
    </fill>
  </fills>
  <borders count="2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right style="thin">
        <color auto="1"/>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hair">
        <color indexed="64"/>
      </left>
      <right style="hair">
        <color indexed="64"/>
      </right>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hair">
        <color indexed="8"/>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style="medium">
        <color auto="1"/>
      </right>
      <top style="thin">
        <color auto="1"/>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style="double">
        <color indexed="64"/>
      </bottom>
      <diagonal/>
    </border>
    <border>
      <left style="thin">
        <color auto="1"/>
      </left>
      <right style="thin">
        <color auto="1"/>
      </right>
      <top style="thin">
        <color auto="1"/>
      </top>
      <bottom style="thin">
        <color auto="1"/>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56">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23" fillId="0" borderId="75" xfId="2" applyNumberFormat="1" applyFont="1" applyFill="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41" xfId="2" applyNumberFormat="1" applyFont="1" applyFill="1" applyBorder="1" applyAlignment="1" applyProtection="1">
      <alignment vertical="center"/>
    </xf>
    <xf numFmtId="185" fontId="16" fillId="0" borderId="142" xfId="2" applyNumberFormat="1" applyFont="1" applyFill="1" applyBorder="1" applyAlignment="1" applyProtection="1">
      <alignment vertical="center"/>
    </xf>
    <xf numFmtId="0" fontId="16" fillId="0" borderId="144" xfId="6" applyFont="1" applyBorder="1" applyAlignment="1" applyProtection="1">
      <alignment horizontal="justify" vertical="center" indent="1" shrinkToFit="1"/>
    </xf>
    <xf numFmtId="0" fontId="0" fillId="0" borderId="144" xfId="6" applyFont="1" applyBorder="1" applyAlignment="1" applyProtection="1">
      <alignment horizontal="justify" vertical="center" indent="1" shrinkToFit="1"/>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185" fontId="16" fillId="0" borderId="149" xfId="2" applyNumberFormat="1" applyFont="1" applyFill="1" applyBorder="1" applyAlignment="1" applyProtection="1">
      <alignment vertical="center"/>
    </xf>
    <xf numFmtId="185" fontId="16" fillId="0" borderId="150"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3" xfId="2" applyNumberFormat="1" applyFont="1" applyFill="1" applyBorder="1" applyAlignment="1" applyProtection="1">
      <alignment vertical="center"/>
    </xf>
    <xf numFmtId="0" fontId="16" fillId="0" borderId="139"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9"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8"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9" xfId="6" applyFont="1" applyBorder="1" applyAlignment="1" applyProtection="1">
      <alignment horizontal="center" vertical="center" textRotation="255" wrapText="1"/>
    </xf>
    <xf numFmtId="0" fontId="16" fillId="0" borderId="160" xfId="6" applyFont="1" applyBorder="1" applyAlignment="1" applyProtection="1">
      <alignment horizontal="center" vertical="center" textRotation="255" wrapText="1"/>
    </xf>
    <xf numFmtId="0" fontId="16" fillId="0" borderId="161"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2" xfId="6" applyFont="1" applyBorder="1" applyAlignment="1" applyProtection="1">
      <alignment horizontal="center" vertical="center"/>
    </xf>
    <xf numFmtId="0" fontId="16" fillId="0" borderId="163"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9"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4" xfId="6" applyFont="1" applyBorder="1" applyAlignment="1" applyProtection="1">
      <alignment horizontal="justify" vertical="center" indent="1"/>
    </xf>
    <xf numFmtId="0" fontId="4" fillId="0" borderId="165" xfId="0" applyFont="1" applyBorder="1" applyAlignment="1" applyProtection="1">
      <alignment horizontal="center" vertical="center"/>
    </xf>
    <xf numFmtId="201" fontId="4" fillId="12" borderId="135"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1" xfId="0" applyNumberFormat="1" applyFont="1" applyBorder="1" applyAlignment="1">
      <alignment vertical="center"/>
    </xf>
    <xf numFmtId="197" fontId="0" fillId="0" borderId="172" xfId="0" applyNumberFormat="1" applyFont="1" applyBorder="1" applyAlignment="1">
      <alignment horizontal="center" vertical="center"/>
    </xf>
    <xf numFmtId="197" fontId="0" fillId="0" borderId="171"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0" borderId="174" xfId="0" applyNumberFormat="1" applyFont="1" applyBorder="1" applyAlignment="1">
      <alignment horizontal="center" vertical="center"/>
    </xf>
    <xf numFmtId="197" fontId="0" fillId="18" borderId="170"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1" xfId="3" applyNumberFormat="1" applyFont="1" applyFill="1" applyBorder="1" applyAlignment="1" applyProtection="1">
      <alignment horizontal="left" vertical="center"/>
    </xf>
    <xf numFmtId="181" fontId="23" fillId="18" borderId="192"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5" xfId="2" applyFill="1" applyBorder="1" applyAlignment="1" applyProtection="1">
      <alignment vertical="center"/>
      <protection locked="0"/>
    </xf>
    <xf numFmtId="38" fontId="16" fillId="12" borderId="166" xfId="2" applyFill="1" applyBorder="1" applyAlignment="1" applyProtection="1">
      <alignment vertical="center"/>
      <protection locked="0"/>
    </xf>
    <xf numFmtId="38" fontId="16" fillId="0" borderId="167" xfId="2" applyBorder="1" applyAlignment="1">
      <alignment vertical="center"/>
    </xf>
    <xf numFmtId="38" fontId="16" fillId="12" borderId="137"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2" xfId="2" applyBorder="1" applyAlignment="1">
      <alignment vertical="center"/>
    </xf>
    <xf numFmtId="38" fontId="16" fillId="0" borderId="132" xfId="2" applyBorder="1" applyAlignment="1">
      <alignment horizontal="right" vertical="center"/>
    </xf>
    <xf numFmtId="38" fontId="16" fillId="12" borderId="135" xfId="2" applyFill="1" applyBorder="1" applyAlignment="1" applyProtection="1">
      <alignment vertical="center"/>
      <protection locked="0"/>
    </xf>
    <xf numFmtId="38" fontId="16" fillId="12" borderId="168" xfId="2" applyFill="1" applyBorder="1" applyAlignment="1" applyProtection="1">
      <alignment vertical="center"/>
      <protection locked="0"/>
    </xf>
    <xf numFmtId="38" fontId="16" fillId="0" borderId="136" xfId="2" applyBorder="1" applyAlignment="1">
      <alignment horizontal="right" vertical="center"/>
    </xf>
    <xf numFmtId="38" fontId="16" fillId="12" borderId="184" xfId="2" applyFill="1" applyBorder="1" applyAlignment="1" applyProtection="1">
      <alignment vertical="center"/>
      <protection locked="0"/>
    </xf>
    <xf numFmtId="38" fontId="16" fillId="0" borderId="127" xfId="2" applyBorder="1" applyAlignment="1">
      <alignment horizontal="right" vertical="center"/>
    </xf>
    <xf numFmtId="38" fontId="16" fillId="18" borderId="180" xfId="2" applyFill="1" applyBorder="1" applyAlignment="1">
      <alignment vertical="center"/>
    </xf>
    <xf numFmtId="38" fontId="16" fillId="18" borderId="181" xfId="2" applyFill="1" applyBorder="1" applyAlignment="1">
      <alignment horizontal="right" vertical="center"/>
    </xf>
    <xf numFmtId="38" fontId="16" fillId="18" borderId="182" xfId="2" applyFill="1" applyBorder="1" applyAlignment="1">
      <alignment horizontal="right" vertical="center"/>
    </xf>
    <xf numFmtId="38" fontId="16" fillId="18" borderId="169" xfId="2" applyFill="1" applyBorder="1" applyAlignment="1">
      <alignment horizontal="right" vertical="center"/>
    </xf>
    <xf numFmtId="38" fontId="16" fillId="12" borderId="175"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75" xfId="2" applyBorder="1" applyAlignment="1">
      <alignment vertical="center"/>
    </xf>
    <xf numFmtId="38" fontId="16" fillId="12" borderId="176"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0" borderId="188" xfId="2" applyBorder="1" applyAlignment="1">
      <alignment vertical="center"/>
    </xf>
    <xf numFmtId="38" fontId="16" fillId="12" borderId="177" xfId="2" applyFill="1" applyBorder="1" applyAlignment="1" applyProtection="1">
      <alignment vertical="center"/>
      <protection locked="0"/>
    </xf>
    <xf numFmtId="38" fontId="16" fillId="12" borderId="187" xfId="2" applyFill="1" applyBorder="1" applyAlignment="1" applyProtection="1">
      <alignment vertical="center"/>
      <protection locked="0"/>
    </xf>
    <xf numFmtId="38" fontId="16" fillId="0" borderId="189" xfId="2" applyBorder="1" applyAlignment="1">
      <alignment vertical="center"/>
    </xf>
    <xf numFmtId="38" fontId="16" fillId="12" borderId="178" xfId="2" applyFill="1" applyBorder="1" applyAlignment="1" applyProtection="1">
      <alignment vertical="center"/>
      <protection locked="0"/>
    </xf>
    <xf numFmtId="38" fontId="16" fillId="12" borderId="126" xfId="2" applyFill="1" applyBorder="1" applyAlignment="1" applyProtection="1">
      <alignment vertical="center"/>
      <protection locked="0"/>
    </xf>
    <xf numFmtId="38" fontId="16" fillId="0" borderId="178" xfId="2" applyBorder="1" applyAlignment="1">
      <alignment vertical="center"/>
    </xf>
    <xf numFmtId="9" fontId="9" fillId="2" borderId="24" xfId="1" applyFont="1" applyFill="1" applyBorder="1" applyAlignment="1" applyProtection="1">
      <alignment vertical="center"/>
      <protection locked="0"/>
    </xf>
    <xf numFmtId="9" fontId="9" fillId="2" borderId="23" xfId="1" applyFont="1" applyFill="1" applyBorder="1" applyAlignment="1" applyProtection="1">
      <alignment vertical="center"/>
      <protection locked="0"/>
    </xf>
    <xf numFmtId="179" fontId="16" fillId="12" borderId="183" xfId="2" applyNumberFormat="1" applyFill="1" applyBorder="1" applyAlignment="1" applyProtection="1">
      <alignment vertical="center"/>
      <protection locked="0"/>
    </xf>
    <xf numFmtId="179" fontId="16" fillId="18" borderId="179" xfId="2" applyNumberFormat="1" applyFill="1" applyBorder="1" applyAlignment="1">
      <alignment vertical="center"/>
    </xf>
    <xf numFmtId="198" fontId="9" fillId="0" borderId="23" xfId="7" applyNumberFormat="1" applyFont="1" applyBorder="1" applyAlignment="1" applyProtection="1">
      <alignment vertical="center"/>
    </xf>
    <xf numFmtId="0" fontId="0" fillId="2" borderId="194" xfId="0" applyFill="1" applyBorder="1" applyAlignment="1" applyProtection="1">
      <alignment shrinkToFit="1"/>
      <protection locked="0"/>
    </xf>
    <xf numFmtId="0" fontId="0" fillId="0" borderId="0" xfId="0" applyAlignment="1">
      <alignment vertical="center" wrapText="1"/>
    </xf>
    <xf numFmtId="0" fontId="0" fillId="0" borderId="195" xfId="0" applyBorder="1"/>
    <xf numFmtId="0" fontId="0" fillId="0" borderId="196" xfId="0" applyBorder="1"/>
    <xf numFmtId="0" fontId="0" fillId="0" borderId="197" xfId="0" applyBorder="1"/>
    <xf numFmtId="0" fontId="0" fillId="0" borderId="134" xfId="0" applyBorder="1"/>
    <xf numFmtId="0" fontId="0" fillId="0" borderId="0" xfId="0" applyBorder="1"/>
    <xf numFmtId="0" fontId="0" fillId="0" borderId="129" xfId="0" applyBorder="1"/>
    <xf numFmtId="0" fontId="0" fillId="0" borderId="0" xfId="0" applyFill="1" applyBorder="1"/>
    <xf numFmtId="0" fontId="0" fillId="0" borderId="134" xfId="0" applyFill="1" applyBorder="1"/>
    <xf numFmtId="0" fontId="0" fillId="26" borderId="0" xfId="0" applyFill="1" applyBorder="1"/>
    <xf numFmtId="0" fontId="0" fillId="26" borderId="134" xfId="0" applyFill="1" applyBorder="1"/>
    <xf numFmtId="0" fontId="0" fillId="0" borderId="170" xfId="0" applyBorder="1"/>
    <xf numFmtId="0" fontId="0" fillId="0" borderId="169" xfId="0" applyBorder="1"/>
    <xf numFmtId="0" fontId="0" fillId="26" borderId="169" xfId="0" applyFill="1" applyBorder="1"/>
    <xf numFmtId="0" fontId="0" fillId="0" borderId="198" xfId="0" applyBorder="1"/>
    <xf numFmtId="0" fontId="38" fillId="0" borderId="0" xfId="0" applyFont="1"/>
    <xf numFmtId="0" fontId="0" fillId="0" borderId="0" xfId="0" applyAlignment="1">
      <alignment shrinkToFit="1"/>
    </xf>
    <xf numFmtId="57" fontId="0" fillId="0" borderId="0" xfId="0" applyNumberFormat="1"/>
    <xf numFmtId="3" fontId="0" fillId="0" borderId="0" xfId="0" applyNumberFormat="1"/>
    <xf numFmtId="191" fontId="0" fillId="0" borderId="0" xfId="0" applyNumberFormat="1"/>
    <xf numFmtId="0" fontId="0" fillId="0" borderId="118" xfId="0" applyBorder="1" applyAlignment="1">
      <alignment shrinkToFit="1"/>
    </xf>
    <xf numFmtId="191" fontId="0" fillId="0" borderId="120" xfId="0" applyNumberFormat="1" applyBorder="1"/>
    <xf numFmtId="191" fontId="21" fillId="0" borderId="120" xfId="0" applyNumberFormat="1" applyFont="1" applyBorder="1"/>
    <xf numFmtId="0" fontId="21" fillId="0" borderId="0" xfId="0" applyFont="1"/>
    <xf numFmtId="0" fontId="0" fillId="0" borderId="0" xfId="0" applyAlignment="1">
      <alignment horizontal="right"/>
    </xf>
    <xf numFmtId="0" fontId="0" fillId="0" borderId="0" xfId="0" applyFont="1" applyAlignment="1">
      <alignment horizontal="right"/>
    </xf>
    <xf numFmtId="0" fontId="21" fillId="0" borderId="0" xfId="0" applyFont="1" applyAlignment="1">
      <alignment horizontal="right"/>
    </xf>
    <xf numFmtId="196" fontId="0" fillId="0" borderId="0" xfId="0" applyNumberFormat="1" applyAlignment="1">
      <alignment horizontal="left"/>
    </xf>
    <xf numFmtId="0" fontId="0" fillId="0" borderId="0" xfId="0" quotePrefix="1"/>
    <xf numFmtId="203" fontId="0" fillId="0" borderId="0" xfId="0" applyNumberFormat="1"/>
    <xf numFmtId="0" fontId="7" fillId="0" borderId="199" xfId="4" applyFont="1" applyFill="1" applyBorder="1" applyAlignment="1"/>
    <xf numFmtId="0" fontId="23" fillId="25" borderId="195" xfId="3" applyNumberFormat="1" applyFont="1" applyFill="1" applyBorder="1" applyAlignment="1" applyProtection="1">
      <alignment horizontal="center" vertical="center"/>
    </xf>
    <xf numFmtId="0" fontId="12" fillId="2" borderId="200" xfId="3" applyNumberFormat="1" applyFont="1" applyFill="1" applyBorder="1" applyAlignment="1" applyProtection="1">
      <alignment horizontal="center" vertical="center"/>
    </xf>
    <xf numFmtId="0" fontId="12" fillId="2" borderId="201" xfId="3" applyNumberFormat="1" applyFont="1" applyFill="1" applyBorder="1" applyAlignment="1" applyProtection="1">
      <alignment horizontal="center" vertical="center"/>
    </xf>
    <xf numFmtId="0" fontId="12" fillId="3" borderId="201" xfId="3" applyNumberFormat="1" applyFont="1" applyFill="1" applyBorder="1" applyAlignment="1" applyProtection="1">
      <alignment horizontal="center" vertical="center"/>
    </xf>
    <xf numFmtId="200" fontId="12" fillId="2" borderId="201" xfId="3" applyNumberFormat="1" applyFont="1" applyFill="1" applyBorder="1" applyAlignment="1" applyProtection="1">
      <alignment horizontal="center" vertical="center"/>
    </xf>
    <xf numFmtId="0" fontId="27" fillId="2" borderId="201" xfId="3" applyNumberFormat="1" applyFont="1" applyFill="1" applyBorder="1" applyAlignment="1" applyProtection="1">
      <alignment horizontal="center" vertical="center" shrinkToFit="1"/>
    </xf>
    <xf numFmtId="0" fontId="12" fillId="0" borderId="202" xfId="3" applyNumberFormat="1" applyFont="1" applyFill="1" applyBorder="1" applyAlignment="1" applyProtection="1">
      <alignment horizontal="center" vertical="center"/>
    </xf>
    <xf numFmtId="38" fontId="28" fillId="4" borderId="201" xfId="2" applyFont="1" applyFill="1" applyBorder="1" applyAlignment="1" applyProtection="1">
      <alignment horizontal="center" vertical="center"/>
    </xf>
    <xf numFmtId="38" fontId="28" fillId="3" borderId="201" xfId="2" applyFont="1" applyFill="1" applyBorder="1" applyAlignment="1" applyProtection="1">
      <alignment horizontal="center" vertical="center"/>
    </xf>
    <xf numFmtId="38" fontId="29" fillId="10" borderId="201" xfId="2" applyFont="1" applyFill="1" applyBorder="1" applyAlignment="1" applyProtection="1">
      <alignment horizontal="center" vertical="center"/>
    </xf>
    <xf numFmtId="38" fontId="28" fillId="4" borderId="202" xfId="2" applyFont="1" applyFill="1" applyBorder="1" applyAlignment="1" applyProtection="1">
      <alignment horizontal="center" vertical="center"/>
    </xf>
    <xf numFmtId="9" fontId="28" fillId="4" borderId="203" xfId="1" applyFont="1" applyFill="1" applyBorder="1" applyAlignment="1" applyProtection="1">
      <alignment horizontal="center" vertical="center"/>
    </xf>
    <xf numFmtId="9" fontId="28" fillId="4" borderId="201" xfId="1" applyFont="1" applyFill="1" applyBorder="1" applyAlignment="1" applyProtection="1">
      <alignment horizontal="center" vertical="center"/>
    </xf>
    <xf numFmtId="9" fontId="28" fillId="4" borderId="204" xfId="1" applyFont="1" applyFill="1" applyBorder="1" applyAlignment="1" applyProtection="1">
      <alignment horizontal="center" vertical="center"/>
    </xf>
    <xf numFmtId="0" fontId="28" fillId="10" borderId="205" xfId="3" applyNumberFormat="1" applyFont="1" applyFill="1" applyBorder="1" applyAlignment="1" applyProtection="1">
      <alignment horizontal="center" vertical="center"/>
    </xf>
    <xf numFmtId="0" fontId="28" fillId="10" borderId="202" xfId="3" applyNumberFormat="1" applyFont="1" applyFill="1" applyBorder="1" applyAlignment="1" applyProtection="1">
      <alignment horizontal="center" vertical="center"/>
    </xf>
    <xf numFmtId="0" fontId="12" fillId="2" borderId="206" xfId="3" applyNumberFormat="1" applyFont="1" applyFill="1" applyBorder="1" applyAlignment="1" applyProtection="1">
      <alignment horizontal="center" vertical="center"/>
    </xf>
    <xf numFmtId="197" fontId="0" fillId="0" borderId="215" xfId="0" applyNumberFormat="1" applyBorder="1" applyAlignment="1">
      <alignment horizontal="center" vertical="center"/>
    </xf>
    <xf numFmtId="197" fontId="0" fillId="0" borderId="216" xfId="0" applyNumberFormat="1" applyFont="1" applyBorder="1" applyAlignment="1">
      <alignment horizontal="center" vertical="center" shrinkToFit="1"/>
    </xf>
    <xf numFmtId="197" fontId="0" fillId="0" borderId="218" xfId="0" applyNumberFormat="1" applyBorder="1" applyAlignment="1">
      <alignment horizontal="center" vertical="center"/>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78" fontId="23" fillId="0" borderId="22" xfId="7" applyNumberFormat="1" applyFont="1" applyBorder="1" applyAlignment="1" applyProtection="1">
      <alignment horizontal="center" vertical="center" shrinkToFit="1"/>
    </xf>
    <xf numFmtId="0" fontId="39" fillId="0" borderId="0" xfId="0" applyFont="1" applyProtection="1"/>
    <xf numFmtId="0" fontId="39" fillId="0" borderId="0" xfId="0" applyFont="1" applyAlignment="1" applyProtection="1">
      <alignment horizontal="center" vertical="center" wrapText="1"/>
    </xf>
    <xf numFmtId="0" fontId="7" fillId="5" borderId="220" xfId="5" applyFont="1" applyFill="1" applyBorder="1" applyAlignment="1">
      <alignment horizontal="center"/>
    </xf>
    <xf numFmtId="9" fontId="23" fillId="16" borderId="221" xfId="1" applyFont="1" applyFill="1" applyBorder="1" applyAlignment="1" applyProtection="1">
      <alignment vertical="center"/>
    </xf>
    <xf numFmtId="182" fontId="24" fillId="16" borderId="222" xfId="3" applyNumberFormat="1" applyFont="1" applyFill="1" applyBorder="1" applyAlignment="1" applyProtection="1">
      <alignment vertical="center"/>
    </xf>
    <xf numFmtId="0" fontId="0" fillId="0" borderId="169" xfId="0" applyBorder="1" applyAlignment="1">
      <alignment vertical="center"/>
    </xf>
    <xf numFmtId="0" fontId="0" fillId="0" borderId="169" xfId="0" applyFont="1" applyBorder="1" applyAlignment="1">
      <alignment vertical="center"/>
    </xf>
    <xf numFmtId="0" fontId="0" fillId="12" borderId="223" xfId="0" applyFont="1" applyFill="1" applyBorder="1" applyAlignment="1" applyProtection="1">
      <alignment vertical="center"/>
      <protection locked="0"/>
    </xf>
    <xf numFmtId="204" fontId="0" fillId="12" borderId="224" xfId="0" applyNumberFormat="1" applyFont="1" applyFill="1" applyBorder="1" applyAlignment="1" applyProtection="1">
      <alignment vertical="center"/>
      <protection locked="0"/>
    </xf>
    <xf numFmtId="0" fontId="0" fillId="0" borderId="0" xfId="0" applyAlignment="1">
      <alignment horizontal="center" vertical="center"/>
    </xf>
    <xf numFmtId="9" fontId="16" fillId="12" borderId="223" xfId="1" applyFill="1" applyBorder="1" applyAlignment="1" applyProtection="1">
      <alignment horizontal="center" vertical="center"/>
      <protection locked="0"/>
    </xf>
    <xf numFmtId="205" fontId="40" fillId="0" borderId="225" xfId="0" applyNumberFormat="1" applyFont="1" applyBorder="1" applyAlignment="1" applyProtection="1">
      <alignment vertical="center" shrinkToFit="1"/>
    </xf>
    <xf numFmtId="205" fontId="40" fillId="0" borderId="226" xfId="0" applyNumberFormat="1" applyFont="1" applyBorder="1" applyAlignment="1" applyProtection="1">
      <alignment vertical="center" shrinkToFit="1"/>
    </xf>
    <xf numFmtId="205" fontId="40" fillId="0" borderId="227" xfId="0" applyNumberFormat="1" applyFont="1" applyBorder="1" applyAlignment="1" applyProtection="1">
      <alignment vertical="center" shrinkToFit="1"/>
    </xf>
    <xf numFmtId="205" fontId="40" fillId="0" borderId="228" xfId="0" applyNumberFormat="1" applyFont="1" applyBorder="1" applyAlignment="1" applyProtection="1">
      <alignment vertical="center" shrinkToFit="1"/>
    </xf>
    <xf numFmtId="205" fontId="40" fillId="0" borderId="229" xfId="0" applyNumberFormat="1" applyFont="1" applyBorder="1" applyAlignment="1" applyProtection="1">
      <alignment vertical="center" shrinkToFit="1"/>
    </xf>
    <xf numFmtId="205" fontId="40" fillId="12" borderId="230" xfId="0" applyNumberFormat="1" applyFont="1" applyFill="1" applyBorder="1" applyAlignment="1" applyProtection="1">
      <alignment vertical="center" shrinkToFit="1"/>
      <protection locked="0"/>
    </xf>
    <xf numFmtId="205" fontId="40" fillId="12" borderId="231" xfId="0" applyNumberFormat="1" applyFont="1" applyFill="1" applyBorder="1" applyAlignment="1" applyProtection="1">
      <alignment vertical="center" shrinkToFit="1"/>
      <protection locked="0"/>
    </xf>
    <xf numFmtId="205" fontId="40" fillId="12" borderId="138" xfId="0" applyNumberFormat="1" applyFont="1" applyFill="1" applyBorder="1" applyAlignment="1" applyProtection="1">
      <alignment vertical="center" shrinkToFit="1"/>
      <protection locked="0"/>
    </xf>
    <xf numFmtId="205" fontId="40" fillId="12" borderId="232" xfId="0" applyNumberFormat="1" applyFont="1" applyFill="1" applyBorder="1" applyAlignment="1" applyProtection="1">
      <alignment vertical="center" shrinkToFit="1"/>
      <protection locked="0"/>
    </xf>
    <xf numFmtId="205" fontId="40" fillId="12" borderId="130" xfId="0" applyNumberFormat="1" applyFont="1" applyFill="1" applyBorder="1" applyAlignment="1" applyProtection="1">
      <alignment vertical="center" shrinkToFit="1"/>
      <protection locked="0"/>
    </xf>
    <xf numFmtId="205" fontId="40" fillId="12" borderId="131" xfId="0" applyNumberFormat="1" applyFont="1" applyFill="1" applyBorder="1" applyAlignment="1" applyProtection="1">
      <alignment vertical="center" shrinkToFit="1"/>
      <protection locked="0"/>
    </xf>
    <xf numFmtId="205" fontId="40" fillId="12" borderId="233" xfId="0" applyNumberFormat="1" applyFont="1" applyFill="1" applyBorder="1" applyAlignment="1" applyProtection="1">
      <alignment vertical="center" shrinkToFit="1"/>
      <protection locked="0"/>
    </xf>
    <xf numFmtId="205" fontId="40" fillId="12" borderId="234" xfId="0" applyNumberFormat="1" applyFont="1" applyFill="1" applyBorder="1" applyAlignment="1" applyProtection="1">
      <alignment vertical="center" shrinkToFit="1"/>
      <protection locked="0"/>
    </xf>
    <xf numFmtId="205" fontId="40" fillId="0" borderId="235" xfId="0" applyNumberFormat="1" applyFont="1" applyBorder="1" applyAlignment="1" applyProtection="1">
      <alignment vertical="center" shrinkToFit="1"/>
    </xf>
    <xf numFmtId="205" fontId="40" fillId="0" borderId="216" xfId="0" applyNumberFormat="1" applyFont="1" applyBorder="1" applyAlignment="1" applyProtection="1">
      <alignment vertical="center" shrinkToFit="1"/>
    </xf>
    <xf numFmtId="205" fontId="40" fillId="0" borderId="236" xfId="0" applyNumberFormat="1" applyFont="1" applyBorder="1" applyAlignment="1" applyProtection="1">
      <alignment vertical="center" shrinkToFit="1"/>
    </xf>
    <xf numFmtId="205" fontId="40" fillId="0" borderId="237" xfId="0" applyNumberFormat="1" applyFont="1" applyBorder="1" applyAlignment="1" applyProtection="1">
      <alignment vertical="center" shrinkToFit="1"/>
    </xf>
    <xf numFmtId="205" fontId="40" fillId="0" borderId="238" xfId="0" applyNumberFormat="1" applyFont="1" applyBorder="1" applyAlignment="1" applyProtection="1">
      <alignment vertical="center" shrinkToFit="1"/>
    </xf>
    <xf numFmtId="205" fontId="40" fillId="0" borderId="239" xfId="0" applyNumberFormat="1" applyFont="1" applyBorder="1" applyAlignment="1" applyProtection="1">
      <alignment vertical="center" shrinkToFit="1"/>
    </xf>
    <xf numFmtId="205" fontId="40" fillId="0" borderId="240" xfId="0" applyNumberFormat="1" applyFont="1" applyBorder="1" applyAlignment="1" applyProtection="1">
      <alignment vertical="center" shrinkToFit="1"/>
    </xf>
    <xf numFmtId="205" fontId="40" fillId="0" borderId="241" xfId="0" applyNumberFormat="1" applyFont="1" applyBorder="1" applyAlignment="1" applyProtection="1">
      <alignment vertical="center" shrinkToFit="1"/>
    </xf>
    <xf numFmtId="0" fontId="23" fillId="0" borderId="244" xfId="0" applyFont="1" applyBorder="1" applyAlignment="1" applyProtection="1">
      <alignment horizontal="center" vertical="center" shrinkToFit="1"/>
    </xf>
    <xf numFmtId="0" fontId="23" fillId="0" borderId="223" xfId="0" applyFont="1" applyBorder="1" applyAlignment="1" applyProtection="1">
      <alignment horizontal="center" shrinkToFit="1"/>
    </xf>
    <xf numFmtId="0" fontId="0" fillId="0" borderId="193" xfId="0" applyFont="1" applyBorder="1" applyAlignment="1" applyProtection="1">
      <alignment horizontal="center" vertical="center" shrinkToFit="1"/>
    </xf>
    <xf numFmtId="0" fontId="0" fillId="0" borderId="193" xfId="0" applyFont="1" applyBorder="1" applyAlignment="1" applyProtection="1">
      <alignment horizontal="left" vertical="center" shrinkToFit="1"/>
    </xf>
    <xf numFmtId="0" fontId="0" fillId="12" borderId="213" xfId="0" applyFont="1" applyFill="1" applyBorder="1" applyAlignment="1" applyProtection="1">
      <alignment shrinkToFit="1"/>
      <protection locked="0"/>
    </xf>
    <xf numFmtId="0" fontId="0" fillId="12" borderId="246" xfId="0" applyFont="1" applyFill="1" applyBorder="1" applyAlignment="1" applyProtection="1">
      <alignment shrinkToFit="1"/>
      <protection locked="0"/>
    </xf>
    <xf numFmtId="0" fontId="0" fillId="12" borderId="189" xfId="0" applyFont="1" applyFill="1" applyBorder="1" applyAlignment="1" applyProtection="1">
      <alignment shrinkToFit="1"/>
      <protection locked="0"/>
    </xf>
    <xf numFmtId="0" fontId="0" fillId="12" borderId="178" xfId="0" applyFill="1" applyBorder="1" applyAlignment="1" applyProtection="1">
      <alignment shrinkToFit="1"/>
      <protection locked="0"/>
    </xf>
    <xf numFmtId="0" fontId="0" fillId="18" borderId="182" xfId="0" applyFont="1" applyFill="1" applyBorder="1" applyAlignment="1" applyProtection="1">
      <alignment shrinkToFit="1"/>
      <protection locked="0"/>
    </xf>
    <xf numFmtId="181" fontId="23" fillId="0" borderId="247" xfId="3" applyNumberFormat="1" applyFont="1" applyFill="1" applyBorder="1" applyAlignment="1" applyProtection="1">
      <alignment vertical="center"/>
    </xf>
    <xf numFmtId="182" fontId="9" fillId="0" borderId="247" xfId="3" applyNumberFormat="1" applyFont="1" applyFill="1" applyBorder="1" applyAlignment="1" applyProtection="1">
      <alignment horizontal="center" vertical="center"/>
    </xf>
    <xf numFmtId="200" fontId="23" fillId="0" borderId="247" xfId="3" applyNumberFormat="1" applyFont="1" applyFill="1" applyBorder="1" applyAlignment="1" applyProtection="1">
      <alignment vertical="center"/>
    </xf>
    <xf numFmtId="3" fontId="23" fillId="0" borderId="247" xfId="3" applyNumberFormat="1" applyFont="1" applyFill="1" applyBorder="1" applyAlignment="1" applyProtection="1">
      <alignment horizontal="center" vertical="center"/>
    </xf>
    <xf numFmtId="9" fontId="23" fillId="0" borderId="247" xfId="1" applyNumberFormat="1" applyFont="1" applyFill="1" applyBorder="1" applyAlignment="1" applyProtection="1">
      <alignment horizontal="center" vertical="center"/>
    </xf>
    <xf numFmtId="4" fontId="23" fillId="0" borderId="247" xfId="3" applyNumberFormat="1" applyFont="1" applyFill="1" applyBorder="1" applyAlignment="1" applyProtection="1">
      <alignment vertical="center"/>
    </xf>
    <xf numFmtId="182" fontId="9" fillId="12" borderId="248" xfId="3" applyNumberFormat="1" applyFont="1" applyFill="1" applyBorder="1" applyAlignment="1" applyProtection="1">
      <alignment vertical="center"/>
      <protection locked="0"/>
    </xf>
    <xf numFmtId="181" fontId="23" fillId="12" borderId="248" xfId="3" applyNumberFormat="1" applyFont="1" applyFill="1" applyBorder="1" applyAlignment="1" applyProtection="1">
      <alignment vertical="center"/>
      <protection locked="0"/>
    </xf>
    <xf numFmtId="182" fontId="9" fillId="12" borderId="248" xfId="3" applyNumberFormat="1" applyFont="1" applyFill="1" applyBorder="1" applyAlignment="1" applyProtection="1">
      <alignment horizontal="center" vertical="center"/>
      <protection locked="0"/>
    </xf>
    <xf numFmtId="200" fontId="23" fillId="2" borderId="248" xfId="3" applyNumberFormat="1" applyFont="1" applyFill="1" applyBorder="1" applyAlignment="1" applyProtection="1">
      <alignment vertical="center"/>
      <protection locked="0"/>
    </xf>
    <xf numFmtId="3" fontId="23" fillId="2" borderId="248" xfId="3" applyNumberFormat="1" applyFont="1" applyFill="1" applyBorder="1" applyAlignment="1" applyProtection="1">
      <alignment horizontal="center" vertical="center"/>
      <protection locked="0"/>
    </xf>
    <xf numFmtId="9" fontId="23" fillId="2" borderId="248" xfId="1" applyNumberFormat="1" applyFont="1" applyFill="1" applyBorder="1" applyAlignment="1" applyProtection="1">
      <alignment horizontal="center" vertical="center"/>
      <protection locked="0"/>
    </xf>
    <xf numFmtId="182" fontId="9" fillId="12" borderId="47" xfId="3" applyNumberFormat="1" applyFont="1" applyFill="1" applyBorder="1" applyAlignment="1" applyProtection="1">
      <alignment vertical="center"/>
      <protection locked="0"/>
    </xf>
    <xf numFmtId="181" fontId="23" fillId="12" borderId="47" xfId="3" applyNumberFormat="1" applyFont="1" applyFill="1" applyBorder="1" applyAlignment="1" applyProtection="1">
      <alignment vertical="center"/>
      <protection locked="0"/>
    </xf>
    <xf numFmtId="182" fontId="9" fillId="12" borderId="47" xfId="3" applyNumberFormat="1" applyFont="1" applyFill="1" applyBorder="1" applyAlignment="1" applyProtection="1">
      <alignment horizontal="center" vertical="center"/>
      <protection locked="0"/>
    </xf>
    <xf numFmtId="4" fontId="23" fillId="2" borderId="47" xfId="3" applyNumberFormat="1" applyFont="1" applyFill="1" applyBorder="1" applyAlignment="1" applyProtection="1">
      <alignment vertical="center"/>
      <protection locked="0"/>
    </xf>
    <xf numFmtId="206" fontId="16" fillId="2" borderId="47" xfId="1" applyNumberFormat="1" applyFill="1" applyBorder="1" applyAlignment="1" applyProtection="1">
      <alignment vertical="center"/>
      <protection locked="0"/>
    </xf>
    <xf numFmtId="191" fontId="16" fillId="20" borderId="249" xfId="12" applyNumberFormat="1" applyFont="1" applyFill="1" applyBorder="1" applyProtection="1">
      <protection locked="0"/>
    </xf>
    <xf numFmtId="0" fontId="11" fillId="0" borderId="193" xfId="0" applyFont="1" applyBorder="1" applyAlignment="1" applyProtection="1">
      <alignment horizontal="left" shrinkToFit="1"/>
    </xf>
    <xf numFmtId="0" fontId="23" fillId="0" borderId="144"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5"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4"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9" xfId="6" applyFont="1" applyBorder="1" applyAlignment="1" applyProtection="1">
      <alignment horizontal="center" vertical="center" textRotation="255" wrapText="1"/>
    </xf>
    <xf numFmtId="0" fontId="16" fillId="0" borderId="139" xfId="6" applyFont="1" applyBorder="1" applyAlignment="1" applyProtection="1">
      <alignment horizontal="center" vertical="center" textRotation="255" wrapText="1"/>
    </xf>
    <xf numFmtId="0" fontId="16" fillId="0" borderId="140" xfId="6" applyFont="1" applyBorder="1" applyAlignment="1" applyProtection="1">
      <alignment horizontal="center" vertical="center" textRotation="255" wrapText="1"/>
    </xf>
    <xf numFmtId="0" fontId="0" fillId="0" borderId="138"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7"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0"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4"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202" fontId="4" fillId="0" borderId="151" xfId="0" applyNumberFormat="1" applyFont="1" applyFill="1" applyBorder="1" applyAlignment="1" applyProtection="1">
      <alignment vertical="center"/>
    </xf>
    <xf numFmtId="202" fontId="4" fillId="0" borderId="153" xfId="0" applyNumberFormat="1" applyFont="1" applyFill="1" applyBorder="1" applyAlignment="1" applyProtection="1">
      <alignment vertical="center"/>
    </xf>
    <xf numFmtId="183" fontId="4" fillId="0" borderId="52" xfId="0" applyNumberFormat="1" applyFont="1" applyBorder="1" applyAlignment="1" applyProtection="1">
      <alignment horizontal="center" vertical="center"/>
    </xf>
    <xf numFmtId="0" fontId="0" fillId="0" borderId="156"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4" xfId="0" applyBorder="1" applyAlignment="1" applyProtection="1">
      <alignment horizontal="center"/>
    </xf>
    <xf numFmtId="0" fontId="0" fillId="0" borderId="155" xfId="0" applyBorder="1" applyProtection="1"/>
    <xf numFmtId="0" fontId="0" fillId="0" borderId="20" xfId="0" applyBorder="1" applyProtection="1"/>
    <xf numFmtId="0" fontId="4" fillId="0" borderId="2" xfId="0"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4" fillId="0" borderId="166" xfId="0" applyFont="1" applyBorder="1" applyAlignment="1" applyProtection="1">
      <alignment horizontal="center" vertical="center"/>
    </xf>
    <xf numFmtId="0" fontId="4" fillId="0" borderId="167" xfId="0" applyFont="1" applyBorder="1" applyAlignment="1" applyProtection="1">
      <alignment horizontal="center" vertical="center"/>
    </xf>
    <xf numFmtId="201" fontId="4" fillId="0" borderId="168" xfId="0" applyNumberFormat="1" applyFont="1" applyBorder="1" applyAlignment="1" applyProtection="1">
      <alignment horizontal="center"/>
    </xf>
    <xf numFmtId="201" fontId="4" fillId="0" borderId="136" xfId="0" applyNumberFormat="1" applyFont="1" applyBorder="1" applyAlignment="1" applyProtection="1">
      <alignment horizontal="center"/>
    </xf>
    <xf numFmtId="0" fontId="23" fillId="0" borderId="242" xfId="0" applyFont="1" applyBorder="1" applyAlignment="1" applyProtection="1">
      <alignment horizontal="center" vertical="center" wrapText="1" shrinkToFit="1"/>
    </xf>
    <xf numFmtId="0" fontId="23" fillId="0" borderId="243" xfId="0" applyFont="1" applyBorder="1" applyAlignment="1" applyProtection="1">
      <alignment horizontal="center" vertical="center" shrinkToFit="1"/>
    </xf>
    <xf numFmtId="0" fontId="4" fillId="0" borderId="77" xfId="0" applyFont="1" applyBorder="1" applyAlignment="1" applyProtection="1">
      <alignment horizontal="center" vertical="center"/>
    </xf>
    <xf numFmtId="0" fontId="23" fillId="0" borderId="128" xfId="0" applyFont="1" applyBorder="1" applyAlignment="1" applyProtection="1">
      <alignment horizontal="center" vertical="center" textRotation="255" shrinkToFit="1"/>
    </xf>
    <xf numFmtId="0" fontId="23" fillId="0" borderId="133" xfId="0" applyFont="1" applyBorder="1" applyAlignment="1" applyProtection="1">
      <alignment horizontal="center" vertical="center" textRotation="255" shrinkToFit="1"/>
    </xf>
    <xf numFmtId="0" fontId="23" fillId="0" borderId="170" xfId="0" applyFont="1" applyBorder="1" applyAlignment="1" applyProtection="1">
      <alignment horizontal="center" vertical="center" textRotation="255" shrinkToFit="1"/>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21" xfId="12" applyFont="1" applyFill="1" applyBorder="1" applyAlignment="1" applyProtection="1">
      <alignment vertical="top" wrapText="1"/>
      <protection locked="0"/>
    </xf>
    <xf numFmtId="0" fontId="16" fillId="20" borderId="121" xfId="12" applyFont="1" applyFill="1" applyBorder="1" applyAlignment="1" applyProtection="1">
      <alignment vertical="top" wrapText="1"/>
      <protection locked="0"/>
    </xf>
    <xf numFmtId="0" fontId="31" fillId="0" borderId="121"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0" borderId="0" xfId="0" applyFont="1" applyBorder="1" applyAlignment="1" applyProtection="1">
      <alignment vertical="center"/>
    </xf>
    <xf numFmtId="0" fontId="23" fillId="0" borderId="18" xfId="0" applyFont="1" applyBorder="1" applyAlignment="1" applyProtection="1">
      <alignment vertical="center"/>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0" borderId="13" xfId="0" applyFont="1" applyBorder="1" applyAlignment="1" applyProtection="1">
      <alignment horizontal="center" vertical="center" textRotation="255"/>
    </xf>
    <xf numFmtId="0" fontId="23" fillId="0" borderId="14" xfId="0" applyFont="1" applyBorder="1" applyAlignment="1" applyProtection="1">
      <alignment horizontal="center" vertical="center" textRotation="255"/>
    </xf>
    <xf numFmtId="0" fontId="23" fillId="2" borderId="151" xfId="7" applyFont="1" applyFill="1" applyBorder="1" applyAlignment="1" applyProtection="1">
      <alignment vertical="center"/>
      <protection locked="0"/>
    </xf>
    <xf numFmtId="0" fontId="23" fillId="2" borderId="152" xfId="7" applyFont="1" applyFill="1" applyBorder="1" applyAlignment="1" applyProtection="1">
      <alignment vertical="center"/>
      <protection locked="0"/>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7"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2" xfId="7" applyFont="1" applyFill="1" applyBorder="1" applyAlignment="1" applyProtection="1">
      <alignment horizontal="center" vertical="top" textRotation="255" wrapText="1"/>
    </xf>
    <xf numFmtId="0" fontId="23" fillId="9" borderId="8" xfId="7" applyFont="1" applyFill="1" applyBorder="1" applyAlignment="1" applyProtection="1">
      <alignment horizontal="center"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19"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197" fontId="0" fillId="0" borderId="213" xfId="0" applyNumberFormat="1" applyBorder="1" applyAlignment="1">
      <alignment horizontal="center" vertical="center" wrapText="1"/>
    </xf>
    <xf numFmtId="197" fontId="0" fillId="0" borderId="217" xfId="0" applyNumberFormat="1" applyFont="1" applyBorder="1" applyAlignment="1">
      <alignment horizontal="center" vertical="center"/>
    </xf>
    <xf numFmtId="197" fontId="22" fillId="0" borderId="210" xfId="0" applyNumberFormat="1" applyFont="1" applyBorder="1" applyAlignment="1">
      <alignment horizontal="center" vertical="center"/>
    </xf>
    <xf numFmtId="197" fontId="22" fillId="0" borderId="211" xfId="0" applyNumberFormat="1" applyFont="1" applyBorder="1" applyAlignment="1">
      <alignment horizontal="center" vertical="center"/>
    </xf>
    <xf numFmtId="197" fontId="22" fillId="0" borderId="212" xfId="0" applyNumberFormat="1" applyFont="1" applyBorder="1" applyAlignment="1">
      <alignment horizontal="center" vertical="center"/>
    </xf>
    <xf numFmtId="197" fontId="0" fillId="0" borderId="214" xfId="0" applyNumberFormat="1" applyBorder="1" applyAlignment="1">
      <alignment horizontal="center" vertical="center" wrapText="1"/>
    </xf>
    <xf numFmtId="197" fontId="0" fillId="0" borderId="131" xfId="0" applyNumberFormat="1" applyFont="1" applyBorder="1" applyAlignment="1">
      <alignment horizontal="center" vertical="center"/>
    </xf>
    <xf numFmtId="197" fontId="0" fillId="0" borderId="213" xfId="0" applyNumberFormat="1" applyBorder="1" applyAlignment="1">
      <alignment horizontal="center" vertical="center"/>
    </xf>
    <xf numFmtId="197" fontId="0" fillId="0" borderId="245" xfId="0" applyNumberFormat="1" applyFont="1" applyBorder="1" applyAlignment="1">
      <alignment horizontal="center" vertical="center"/>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79"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23" fillId="25" borderId="208" xfId="3" applyFont="1" applyFill="1" applyBorder="1" applyAlignment="1" applyProtection="1">
      <alignment horizontal="center" vertical="center" textRotation="255"/>
    </xf>
    <xf numFmtId="0" fontId="23" fillId="25" borderId="133" xfId="3" applyFont="1" applyFill="1" applyBorder="1" applyAlignment="1" applyProtection="1">
      <alignment horizontal="center" vertical="center" textRotation="255"/>
    </xf>
    <xf numFmtId="0" fontId="23" fillId="25" borderId="209"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xf numFmtId="0" fontId="9" fillId="25" borderId="207" xfId="3" applyFont="1" applyFill="1" applyBorder="1" applyAlignment="1" applyProtection="1">
      <alignment horizontal="center" vertical="center" textRotation="255" wrapText="1"/>
    </xf>
    <xf numFmtId="0" fontId="26" fillId="0" borderId="0" xfId="3" applyNumberFormat="1" applyFont="1" applyBorder="1" applyAlignment="1" applyProtection="1">
      <alignment horizontal="center"/>
    </xf>
    <xf numFmtId="0" fontId="23" fillId="25" borderId="207" xfId="3" applyFont="1" applyFill="1" applyBorder="1" applyAlignment="1" applyProtection="1">
      <alignment horizontal="center" vertical="center" textRotation="255"/>
    </xf>
    <xf numFmtId="0" fontId="0" fillId="0" borderId="0" xfId="0" applyAlignment="1">
      <alignment horizontal="left"/>
    </xf>
    <xf numFmtId="0" fontId="0" fillId="0" borderId="0" xfId="0" applyAlignment="1">
      <alignment horizontal="left" vertical="center" wrapText="1"/>
    </xf>
    <xf numFmtId="0" fontId="21" fillId="0" borderId="0" xfId="0" applyFont="1" applyAlignment="1">
      <alignment horizontal="left"/>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28575</xdr:colOff>
      <xdr:row>38</xdr:row>
      <xdr:rowOff>38099</xdr:rowOff>
    </xdr:from>
    <xdr:to>
      <xdr:col>36</xdr:col>
      <xdr:colOff>457200</xdr:colOff>
      <xdr:row>50</xdr:row>
      <xdr:rowOff>76200</xdr:rowOff>
    </xdr:to>
    <xdr:sp macro="" textlink="">
      <xdr:nvSpPr>
        <xdr:cNvPr id="4" name="テキスト ボックス 3"/>
        <xdr:cNvSpPr txBox="1"/>
      </xdr:nvSpPr>
      <xdr:spPr>
        <a:xfrm>
          <a:off x="15897225" y="7667624"/>
          <a:ext cx="2333625"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○経産牛導入</a:t>
          </a:r>
          <a:endParaRPr kumimoji="1" lang="en-US" altLang="ja-JP" sz="1100"/>
        </a:p>
        <a:p>
          <a:r>
            <a:rPr kumimoji="1" lang="en-US" altLang="ja-JP" sz="1100"/>
            <a:t>…</a:t>
          </a:r>
          <a:r>
            <a:rPr kumimoji="1" lang="ja-JP" altLang="en-US" sz="1100"/>
            <a:t>放牧馴致期間</a:t>
          </a:r>
          <a:endParaRPr kumimoji="1" lang="en-US" altLang="ja-JP" sz="1100"/>
        </a:p>
        <a:p>
          <a:r>
            <a:rPr kumimoji="1" lang="en-US" altLang="ja-JP" sz="1100"/>
            <a:t>―</a:t>
          </a:r>
          <a:r>
            <a:rPr kumimoji="1" lang="ja-JP" altLang="en-US" sz="1100"/>
            <a:t>放牧期間</a:t>
          </a:r>
        </a:p>
        <a:p>
          <a:r>
            <a:rPr kumimoji="1" lang="ja-JP" altLang="en-US" sz="1100"/>
            <a:t>◎入牧</a:t>
          </a:r>
        </a:p>
        <a:p>
          <a:r>
            <a:rPr kumimoji="1" lang="ja-JP" altLang="en-US" sz="1100"/>
            <a:t>◇転牧</a:t>
          </a:r>
        </a:p>
        <a:p>
          <a:r>
            <a:rPr kumimoji="1" lang="ja-JP" altLang="en-US" sz="1100"/>
            <a:t>◆退牧・出荷</a:t>
          </a:r>
        </a:p>
        <a:p>
          <a:endParaRPr kumimoji="1" lang="ja-JP" altLang="en-US" sz="1100"/>
        </a:p>
        <a:p>
          <a:r>
            <a:rPr kumimoji="1" lang="ja-JP" altLang="en-US" sz="1100"/>
            <a:t>∩下草刈り</a:t>
          </a:r>
        </a:p>
        <a:p>
          <a:r>
            <a:rPr kumimoji="1" lang="ja-JP" altLang="en-US" sz="1100"/>
            <a:t>≠施設設置</a:t>
          </a:r>
        </a:p>
        <a:p>
          <a:r>
            <a:rPr kumimoji="1" lang="ja-JP" altLang="en-US" sz="1100"/>
            <a:t>☆放牧管理</a:t>
          </a:r>
        </a:p>
        <a:p>
          <a:r>
            <a:rPr kumimoji="1" lang="ja-JP" altLang="en-US" sz="1100"/>
            <a:t>△化粧刈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361949</xdr:colOff>
      <xdr:row>21</xdr:row>
      <xdr:rowOff>104775</xdr:rowOff>
    </xdr:from>
    <xdr:to>
      <xdr:col>3</xdr:col>
      <xdr:colOff>676275</xdr:colOff>
      <xdr:row>22</xdr:row>
      <xdr:rowOff>158165</xdr:rowOff>
    </xdr:to>
    <xdr:sp macro="" textlink="">
      <xdr:nvSpPr>
        <xdr:cNvPr id="2" name="フリーフォーム 1"/>
        <xdr:cNvSpPr/>
      </xdr:nvSpPr>
      <xdr:spPr bwMode="auto">
        <a:xfrm flipH="1">
          <a:off x="1990724" y="3200400"/>
          <a:ext cx="314326" cy="224840"/>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4</xdr:col>
      <xdr:colOff>82113</xdr:colOff>
      <xdr:row>19</xdr:row>
      <xdr:rowOff>142547</xdr:rowOff>
    </xdr:from>
    <xdr:to>
      <xdr:col>4</xdr:col>
      <xdr:colOff>412321</xdr:colOff>
      <xdr:row>21</xdr:row>
      <xdr:rowOff>41439</xdr:rowOff>
    </xdr:to>
    <xdr:sp macro="" textlink="">
      <xdr:nvSpPr>
        <xdr:cNvPr id="3" name="フリーフォーム 2"/>
        <xdr:cNvSpPr/>
      </xdr:nvSpPr>
      <xdr:spPr bwMode="auto">
        <a:xfrm rot="200979" flipH="1">
          <a:off x="2396688" y="2895272"/>
          <a:ext cx="330208" cy="241792"/>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5</xdr:col>
      <xdr:colOff>66675</xdr:colOff>
      <xdr:row>21</xdr:row>
      <xdr:rowOff>38100</xdr:rowOff>
    </xdr:from>
    <xdr:to>
      <xdr:col>6</xdr:col>
      <xdr:colOff>571500</xdr:colOff>
      <xdr:row>23</xdr:row>
      <xdr:rowOff>76200</xdr:rowOff>
    </xdr:to>
    <xdr:sp macro="" textlink="">
      <xdr:nvSpPr>
        <xdr:cNvPr id="4" name="右矢印 3"/>
        <xdr:cNvSpPr/>
      </xdr:nvSpPr>
      <xdr:spPr bwMode="auto">
        <a:xfrm>
          <a:off x="3067050" y="3133725"/>
          <a:ext cx="1190625" cy="38100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619125</xdr:colOff>
      <xdr:row>34</xdr:row>
      <xdr:rowOff>19050</xdr:rowOff>
    </xdr:from>
    <xdr:to>
      <xdr:col>6</xdr:col>
      <xdr:colOff>438150</xdr:colOff>
      <xdr:row>36</xdr:row>
      <xdr:rowOff>57150</xdr:rowOff>
    </xdr:to>
    <xdr:sp macro="" textlink="">
      <xdr:nvSpPr>
        <xdr:cNvPr id="5" name="右矢印 4"/>
        <xdr:cNvSpPr/>
      </xdr:nvSpPr>
      <xdr:spPr bwMode="auto">
        <a:xfrm rot="10800000">
          <a:off x="2933700" y="5353050"/>
          <a:ext cx="1190625" cy="38100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290514</xdr:colOff>
      <xdr:row>24</xdr:row>
      <xdr:rowOff>109538</xdr:rowOff>
    </xdr:from>
    <xdr:to>
      <xdr:col>3</xdr:col>
      <xdr:colOff>671514</xdr:colOff>
      <xdr:row>31</xdr:row>
      <xdr:rowOff>90488</xdr:rowOff>
    </xdr:to>
    <xdr:sp macro="" textlink="">
      <xdr:nvSpPr>
        <xdr:cNvPr id="6" name="右矢印 5"/>
        <xdr:cNvSpPr/>
      </xdr:nvSpPr>
      <xdr:spPr bwMode="auto">
        <a:xfrm rot="16200000">
          <a:off x="1514476" y="4124326"/>
          <a:ext cx="1190625" cy="38100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552449</xdr:colOff>
      <xdr:row>16</xdr:row>
      <xdr:rowOff>47625</xdr:rowOff>
    </xdr:from>
    <xdr:to>
      <xdr:col>6</xdr:col>
      <xdr:colOff>142874</xdr:colOff>
      <xdr:row>17</xdr:row>
      <xdr:rowOff>19050</xdr:rowOff>
    </xdr:to>
    <xdr:sp macro="" textlink="">
      <xdr:nvSpPr>
        <xdr:cNvPr id="7" name="角丸四角形 6"/>
        <xdr:cNvSpPr/>
      </xdr:nvSpPr>
      <xdr:spPr bwMode="auto">
        <a:xfrm>
          <a:off x="3552824" y="2286000"/>
          <a:ext cx="276225" cy="142875"/>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57150</xdr:colOff>
      <xdr:row>16</xdr:row>
      <xdr:rowOff>95250</xdr:rowOff>
    </xdr:from>
    <xdr:to>
      <xdr:col>6</xdr:col>
      <xdr:colOff>590550</xdr:colOff>
      <xdr:row>17</xdr:row>
      <xdr:rowOff>114299</xdr:rowOff>
    </xdr:to>
    <xdr:sp macro="" textlink="">
      <xdr:nvSpPr>
        <xdr:cNvPr id="8" name="テキスト ボックス 7"/>
        <xdr:cNvSpPr txBox="1"/>
      </xdr:nvSpPr>
      <xdr:spPr>
        <a:xfrm>
          <a:off x="3743325" y="2333625"/>
          <a:ext cx="533400"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水飲場</a:t>
          </a:r>
          <a:endParaRPr kumimoji="1" lang="en-US" altLang="ja-JP" sz="800"/>
        </a:p>
        <a:p>
          <a:pPr algn="ctr"/>
          <a:endParaRPr kumimoji="1" lang="ja-JP" altLang="en-US" sz="800"/>
        </a:p>
      </xdr:txBody>
    </xdr:sp>
    <xdr:clientData/>
  </xdr:twoCellAnchor>
  <xdr:twoCellAnchor>
    <xdr:from>
      <xdr:col>2</xdr:col>
      <xdr:colOff>66675</xdr:colOff>
      <xdr:row>27</xdr:row>
      <xdr:rowOff>28575</xdr:rowOff>
    </xdr:from>
    <xdr:to>
      <xdr:col>2</xdr:col>
      <xdr:colOff>209550</xdr:colOff>
      <xdr:row>28</xdr:row>
      <xdr:rowOff>123825</xdr:rowOff>
    </xdr:to>
    <xdr:sp macro="" textlink="">
      <xdr:nvSpPr>
        <xdr:cNvPr id="9" name="角丸四角形 8"/>
        <xdr:cNvSpPr/>
      </xdr:nvSpPr>
      <xdr:spPr bwMode="auto">
        <a:xfrm rot="5400000">
          <a:off x="942975" y="4219575"/>
          <a:ext cx="276225" cy="142875"/>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114300</xdr:colOff>
      <xdr:row>28</xdr:row>
      <xdr:rowOff>28575</xdr:rowOff>
    </xdr:from>
    <xdr:to>
      <xdr:col>2</xdr:col>
      <xdr:colOff>647700</xdr:colOff>
      <xdr:row>29</xdr:row>
      <xdr:rowOff>47624</xdr:rowOff>
    </xdr:to>
    <xdr:sp macro="" textlink="">
      <xdr:nvSpPr>
        <xdr:cNvPr id="10" name="テキスト ボックス 9"/>
        <xdr:cNvSpPr txBox="1"/>
      </xdr:nvSpPr>
      <xdr:spPr>
        <a:xfrm>
          <a:off x="1057275" y="4333875"/>
          <a:ext cx="533400"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水飲場</a:t>
          </a:r>
          <a:endParaRPr kumimoji="1" lang="en-US" altLang="ja-JP" sz="800"/>
        </a:p>
        <a:p>
          <a:pPr algn="ctr"/>
          <a:endParaRPr kumimoji="1" lang="ja-JP" altLang="en-US" sz="800"/>
        </a:p>
      </xdr:txBody>
    </xdr:sp>
    <xdr:clientData/>
  </xdr:twoCellAnchor>
  <xdr:twoCellAnchor>
    <xdr:from>
      <xdr:col>6</xdr:col>
      <xdr:colOff>76200</xdr:colOff>
      <xdr:row>27</xdr:row>
      <xdr:rowOff>66675</xdr:rowOff>
    </xdr:from>
    <xdr:to>
      <xdr:col>6</xdr:col>
      <xdr:colOff>609600</xdr:colOff>
      <xdr:row>28</xdr:row>
      <xdr:rowOff>76199</xdr:rowOff>
    </xdr:to>
    <xdr:sp macro="" textlink="">
      <xdr:nvSpPr>
        <xdr:cNvPr id="11" name="テキスト ボックス 10"/>
        <xdr:cNvSpPr txBox="1"/>
      </xdr:nvSpPr>
      <xdr:spPr>
        <a:xfrm>
          <a:off x="3762375" y="4191000"/>
          <a:ext cx="533400"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寒冷紗</a:t>
          </a:r>
          <a:endParaRPr kumimoji="1" lang="en-US" altLang="ja-JP" sz="800"/>
        </a:p>
        <a:p>
          <a:pPr algn="ct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zoomScale="110" zoomScaleNormal="110" workbookViewId="0">
      <pane xSplit="4" ySplit="2" topLeftCell="E14" activePane="bottomRight" state="frozen"/>
      <selection pane="topRight" activeCell="E1" sqref="E1"/>
      <selection pane="bottomLeft" activeCell="A3" sqref="A3"/>
      <selection pane="bottomRight" activeCell="F22" sqref="F22"/>
    </sheetView>
  </sheetViews>
  <sheetFormatPr defaultRowHeight="12" zeroHeight="1"/>
  <cols>
    <col min="1" max="3" width="3.625" style="503" customWidth="1"/>
    <col min="4" max="4" width="21.625" style="505" customWidth="1"/>
    <col min="5" max="5" width="12.125" style="503" customWidth="1"/>
    <col min="6" max="6" width="14.25" style="503" customWidth="1"/>
    <col min="7" max="7" width="27.75" style="503" bestFit="1" customWidth="1"/>
    <col min="8" max="8" width="14.125" style="503" customWidth="1"/>
    <col min="9" max="9" width="12" style="503" customWidth="1"/>
    <col min="10" max="10" width="5.375" style="503" customWidth="1"/>
    <col min="11" max="16384" width="9" style="503"/>
  </cols>
  <sheetData>
    <row r="1" spans="1:9" ht="21" customHeight="1">
      <c r="A1" s="48" t="s">
        <v>256</v>
      </c>
      <c r="B1" s="48"/>
      <c r="C1" s="48"/>
      <c r="D1" s="48"/>
      <c r="E1" s="500"/>
      <c r="F1" s="500"/>
      <c r="G1" s="501"/>
      <c r="H1" s="500" t="str">
        <f>①技術体系!A2</f>
        <v>放牧牛肉</v>
      </c>
      <c r="I1" s="502"/>
    </row>
    <row r="2" spans="1:9" ht="21" customHeight="1">
      <c r="A2" s="703" t="s">
        <v>140</v>
      </c>
      <c r="B2" s="703"/>
      <c r="C2" s="703"/>
      <c r="D2" s="703"/>
      <c r="E2" s="49" t="s">
        <v>141</v>
      </c>
      <c r="F2" s="50">
        <f>想定面積</f>
        <v>100</v>
      </c>
      <c r="G2" s="719" t="s">
        <v>142</v>
      </c>
      <c r="H2" s="719"/>
      <c r="I2" s="719"/>
    </row>
    <row r="3" spans="1:9" ht="21" customHeight="1">
      <c r="A3" s="720" t="s">
        <v>112</v>
      </c>
      <c r="B3" s="722" t="s">
        <v>143</v>
      </c>
      <c r="C3" s="722"/>
      <c r="D3" s="722"/>
      <c r="E3" s="51">
        <f>④収入!D21</f>
        <v>51200</v>
      </c>
      <c r="F3" s="51">
        <f>E3*$F$2/10</f>
        <v>512000</v>
      </c>
      <c r="G3" s="723" t="s">
        <v>410</v>
      </c>
      <c r="H3" s="723"/>
      <c r="I3" s="723"/>
    </row>
    <row r="4" spans="1:9" ht="21" customHeight="1">
      <c r="A4" s="720"/>
      <c r="B4" s="728" t="s">
        <v>144</v>
      </c>
      <c r="C4" s="728"/>
      <c r="D4" s="728"/>
      <c r="E4" s="52">
        <f>④収入!E21</f>
        <v>0</v>
      </c>
      <c r="F4" s="52">
        <f>E4*$F$2/10</f>
        <v>0</v>
      </c>
      <c r="G4" s="729" t="s">
        <v>411</v>
      </c>
      <c r="H4" s="729"/>
      <c r="I4" s="729"/>
    </row>
    <row r="5" spans="1:9" ht="21" customHeight="1">
      <c r="A5" s="721"/>
      <c r="B5" s="733" t="s">
        <v>409</v>
      </c>
      <c r="C5" s="728"/>
      <c r="D5" s="728"/>
      <c r="E5" s="52">
        <f>④収入!F21</f>
        <v>0</v>
      </c>
      <c r="F5" s="52">
        <f>E5*$F$2/10</f>
        <v>0</v>
      </c>
      <c r="G5" s="729" t="s">
        <v>412</v>
      </c>
      <c r="H5" s="729"/>
      <c r="I5" s="729"/>
    </row>
    <row r="6" spans="1:9" ht="21" customHeight="1">
      <c r="A6" s="720"/>
      <c r="B6" s="730" t="s">
        <v>145</v>
      </c>
      <c r="C6" s="731"/>
      <c r="D6" s="731"/>
      <c r="E6" s="51">
        <f>SUM(E3:E5)</f>
        <v>51200</v>
      </c>
      <c r="F6" s="51">
        <f>SUM(F3:F5)</f>
        <v>512000</v>
      </c>
      <c r="G6" s="732"/>
      <c r="H6" s="732"/>
      <c r="I6" s="732"/>
    </row>
    <row r="7" spans="1:9" ht="21" customHeight="1">
      <c r="A7" s="704" t="s">
        <v>257</v>
      </c>
      <c r="B7" s="708" t="s">
        <v>146</v>
      </c>
      <c r="C7" s="480"/>
      <c r="D7" s="477" t="s">
        <v>98</v>
      </c>
      <c r="E7" s="314">
        <f>⑤支出!J8</f>
        <v>0</v>
      </c>
      <c r="F7" s="315">
        <f>E7*$F$2/10</f>
        <v>0</v>
      </c>
      <c r="G7" s="312" t="s">
        <v>413</v>
      </c>
      <c r="H7" s="54"/>
      <c r="I7" s="55"/>
    </row>
    <row r="8" spans="1:9" ht="21" customHeight="1">
      <c r="A8" s="705"/>
      <c r="B8" s="706"/>
      <c r="C8" s="481"/>
      <c r="D8" s="478" t="s">
        <v>95</v>
      </c>
      <c r="E8" s="419">
        <f>⑤支出!J20</f>
        <v>0</v>
      </c>
      <c r="F8" s="420">
        <f>E8*$F$2/10</f>
        <v>0</v>
      </c>
      <c r="G8" s="56" t="s">
        <v>414</v>
      </c>
      <c r="H8" s="56"/>
      <c r="I8" s="57"/>
    </row>
    <row r="9" spans="1:9" ht="21" customHeight="1">
      <c r="A9" s="705"/>
      <c r="B9" s="706"/>
      <c r="C9" s="481"/>
      <c r="D9" s="478" t="s">
        <v>147</v>
      </c>
      <c r="E9" s="419">
        <f>⑤支出!J61</f>
        <v>0</v>
      </c>
      <c r="F9" s="420">
        <f>E9*$F$2/10</f>
        <v>0</v>
      </c>
      <c r="G9" s="56" t="s">
        <v>415</v>
      </c>
      <c r="H9" s="56"/>
      <c r="I9" s="57"/>
    </row>
    <row r="10" spans="1:9" ht="21" customHeight="1">
      <c r="A10" s="705"/>
      <c r="B10" s="706"/>
      <c r="C10" s="481"/>
      <c r="D10" s="478" t="s">
        <v>148</v>
      </c>
      <c r="E10" s="419">
        <f>⑤支出!J72</f>
        <v>144</v>
      </c>
      <c r="F10" s="420">
        <f>E10*$F$2/10</f>
        <v>1440</v>
      </c>
      <c r="G10" s="56" t="s">
        <v>416</v>
      </c>
      <c r="H10" s="56"/>
      <c r="I10" s="57"/>
    </row>
    <row r="11" spans="1:9" ht="21" customHeight="1">
      <c r="A11" s="705"/>
      <c r="B11" s="706"/>
      <c r="C11" s="481"/>
      <c r="D11" s="478" t="s">
        <v>115</v>
      </c>
      <c r="E11" s="419">
        <f>⑤支出!J110</f>
        <v>59279</v>
      </c>
      <c r="F11" s="420">
        <f>E11*$F$2/10</f>
        <v>592790</v>
      </c>
      <c r="G11" s="56" t="s">
        <v>417</v>
      </c>
      <c r="H11" s="56"/>
      <c r="I11" s="57"/>
    </row>
    <row r="12" spans="1:9" ht="21" customHeight="1">
      <c r="A12" s="705"/>
      <c r="B12" s="706"/>
      <c r="C12" s="481"/>
      <c r="D12" s="478" t="s">
        <v>149</v>
      </c>
      <c r="E12" s="52">
        <f>⑤支出!J117</f>
        <v>0</v>
      </c>
      <c r="F12" s="420">
        <f t="shared" ref="F12:F21" si="0">E12*$F$2/10</f>
        <v>0</v>
      </c>
      <c r="G12" s="56" t="s">
        <v>418</v>
      </c>
      <c r="H12" s="59"/>
      <c r="I12" s="60"/>
    </row>
    <row r="13" spans="1:9" ht="21" customHeight="1">
      <c r="A13" s="705"/>
      <c r="B13" s="706"/>
      <c r="C13" s="481"/>
      <c r="D13" s="479" t="s">
        <v>420</v>
      </c>
      <c r="E13" s="52">
        <f>⑤支出!J122</f>
        <v>0</v>
      </c>
      <c r="F13" s="420">
        <f t="shared" si="0"/>
        <v>0</v>
      </c>
      <c r="G13" s="56" t="s">
        <v>421</v>
      </c>
      <c r="H13" s="59"/>
      <c r="I13" s="60"/>
    </row>
    <row r="14" spans="1:9" ht="21" customHeight="1">
      <c r="A14" s="705"/>
      <c r="B14" s="706"/>
      <c r="C14" s="482"/>
      <c r="D14" s="479" t="s">
        <v>399</v>
      </c>
      <c r="E14" s="52">
        <f>⑤支出!J128</f>
        <v>3000</v>
      </c>
      <c r="F14" s="420">
        <f t="shared" si="0"/>
        <v>30000</v>
      </c>
      <c r="G14" s="56" t="s">
        <v>419</v>
      </c>
      <c r="H14" s="62"/>
      <c r="I14" s="61"/>
    </row>
    <row r="15" spans="1:9" ht="21" customHeight="1">
      <c r="A15" s="705"/>
      <c r="B15" s="705"/>
      <c r="C15" s="711" t="s">
        <v>388</v>
      </c>
      <c r="D15" s="421" t="s">
        <v>401</v>
      </c>
      <c r="E15" s="51">
        <f>②償却資産!S8</f>
        <v>0</v>
      </c>
      <c r="F15" s="420">
        <f t="shared" si="0"/>
        <v>0</v>
      </c>
      <c r="G15" s="63" t="s">
        <v>384</v>
      </c>
      <c r="H15" s="63"/>
      <c r="I15" s="313"/>
    </row>
    <row r="16" spans="1:9" ht="21" customHeight="1">
      <c r="A16" s="705"/>
      <c r="B16" s="705"/>
      <c r="C16" s="712"/>
      <c r="D16" s="317" t="s">
        <v>385</v>
      </c>
      <c r="E16" s="52">
        <f>②償却資産!S19</f>
        <v>0</v>
      </c>
      <c r="F16" s="420">
        <f t="shared" ref="F16" si="1">E16*$F$2/10</f>
        <v>0</v>
      </c>
      <c r="G16" s="63" t="s">
        <v>386</v>
      </c>
      <c r="H16" s="63"/>
      <c r="I16" s="313"/>
    </row>
    <row r="17" spans="1:9" ht="21" customHeight="1">
      <c r="A17" s="705"/>
      <c r="B17" s="705"/>
      <c r="C17" s="713"/>
      <c r="D17" s="316" t="s">
        <v>150</v>
      </c>
      <c r="E17" s="52">
        <f>②償却資産!S34</f>
        <v>140</v>
      </c>
      <c r="F17" s="420">
        <f t="shared" si="0"/>
        <v>1400</v>
      </c>
      <c r="G17" s="63" t="s">
        <v>387</v>
      </c>
      <c r="H17" s="63"/>
      <c r="I17" s="313"/>
    </row>
    <row r="18" spans="1:9" ht="21" customHeight="1">
      <c r="A18" s="705"/>
      <c r="B18" s="705"/>
      <c r="C18" s="714" t="s">
        <v>389</v>
      </c>
      <c r="D18" s="421" t="s">
        <v>402</v>
      </c>
      <c r="E18" s="52">
        <f>②償却資産!R8</f>
        <v>0</v>
      </c>
      <c r="F18" s="420">
        <f t="shared" si="0"/>
        <v>0</v>
      </c>
      <c r="G18" s="63" t="s">
        <v>393</v>
      </c>
      <c r="H18" s="63"/>
      <c r="I18" s="313"/>
    </row>
    <row r="19" spans="1:9" ht="21" customHeight="1">
      <c r="A19" s="705"/>
      <c r="B19" s="705"/>
      <c r="C19" s="712"/>
      <c r="D19" s="317" t="s">
        <v>390</v>
      </c>
      <c r="E19" s="51">
        <f>②償却資産!R19</f>
        <v>0</v>
      </c>
      <c r="F19" s="420">
        <f t="shared" si="0"/>
        <v>0</v>
      </c>
      <c r="G19" s="63" t="s">
        <v>641</v>
      </c>
      <c r="H19" s="63"/>
      <c r="I19" s="313"/>
    </row>
    <row r="20" spans="1:9" ht="21" customHeight="1">
      <c r="A20" s="705"/>
      <c r="B20" s="705"/>
      <c r="C20" s="712"/>
      <c r="D20" s="317" t="s">
        <v>391</v>
      </c>
      <c r="E20" s="52">
        <f>②償却資産!R34</f>
        <v>350</v>
      </c>
      <c r="F20" s="420">
        <f t="shared" si="0"/>
        <v>3500</v>
      </c>
      <c r="G20" s="63" t="s">
        <v>642</v>
      </c>
      <c r="H20" s="63"/>
      <c r="I20" s="313"/>
    </row>
    <row r="21" spans="1:9" ht="21" customHeight="1">
      <c r="A21" s="705"/>
      <c r="B21" s="705"/>
      <c r="C21" s="713"/>
      <c r="D21" s="317" t="s">
        <v>392</v>
      </c>
      <c r="E21" s="52">
        <f>②償却資産!R37</f>
        <v>0</v>
      </c>
      <c r="F21" s="420">
        <f t="shared" si="0"/>
        <v>0</v>
      </c>
      <c r="G21" s="63" t="s">
        <v>643</v>
      </c>
      <c r="H21" s="63"/>
      <c r="I21" s="64"/>
    </row>
    <row r="22" spans="1:9" ht="21" customHeight="1">
      <c r="A22" s="705"/>
      <c r="B22" s="709"/>
      <c r="C22" s="488"/>
      <c r="D22" s="483" t="s">
        <v>252</v>
      </c>
      <c r="E22" s="65">
        <f>⑤支出!J134</f>
        <v>8956</v>
      </c>
      <c r="F22" s="318">
        <f>(作業体系表!AN34-作業体系表!AN36)*⑤支出!F129+作業体系表!AN36*⑤支出!F130</f>
        <v>112554.10774572392</v>
      </c>
      <c r="G22" s="734" t="str">
        <f>"⑤支出　労働費　※基幹労働(時給"&amp;⑤支出!F129&amp;"円、自家労賃含む)、補助労働(時給"&amp;⑤支出!F130&amp;"円)"</f>
        <v>⑤支出　労働費　※基幹労働(時給962円、自家労賃含む)、補助労働(時給753円)</v>
      </c>
      <c r="H22" s="735"/>
      <c r="I22" s="736"/>
    </row>
    <row r="23" spans="1:9" ht="21" customHeight="1">
      <c r="A23" s="705"/>
      <c r="B23" s="710"/>
      <c r="C23" s="495"/>
      <c r="D23" s="496" t="s">
        <v>151</v>
      </c>
      <c r="E23" s="66">
        <f>SUM(E7:E22)</f>
        <v>71869</v>
      </c>
      <c r="F23" s="319">
        <f>SUM(F7:F22)</f>
        <v>741684.10774572392</v>
      </c>
      <c r="G23" s="67"/>
      <c r="H23" s="67"/>
      <c r="I23" s="68"/>
    </row>
    <row r="24" spans="1:9" ht="21" customHeight="1">
      <c r="A24" s="705"/>
      <c r="B24" s="717" t="s">
        <v>125</v>
      </c>
      <c r="C24" s="488"/>
      <c r="D24" s="497" t="s">
        <v>152</v>
      </c>
      <c r="E24" s="69">
        <f>⑤支出!J138+⑤支出!J139+⑤支出!J140</f>
        <v>14144</v>
      </c>
      <c r="F24" s="320">
        <f>E24*$F$2/10</f>
        <v>141440</v>
      </c>
      <c r="G24" s="726" t="str">
        <f>"⑤支出　"&amp;⑤支出!B135&amp;"　"&amp;⑤支出!C138&amp;"、"&amp;⑤支出!C139&amp;"、"&amp;⑤支出!C140</f>
        <v>⑤支出　販売費用　ＪＡ手数料、全農手数料、市場手数料</v>
      </c>
      <c r="H24" s="727"/>
      <c r="I24" s="727"/>
    </row>
    <row r="25" spans="1:9" ht="21" customHeight="1">
      <c r="A25" s="705"/>
      <c r="B25" s="709"/>
      <c r="C25" s="489"/>
      <c r="D25" s="484" t="s">
        <v>126</v>
      </c>
      <c r="E25" s="52">
        <f>⑤支出!J136</f>
        <v>0</v>
      </c>
      <c r="F25" s="420">
        <f>E25*$F$2/10</f>
        <v>0</v>
      </c>
      <c r="G25" s="70" t="str">
        <f>"⑤支出　"&amp;⑤支出!B135&amp;"　"&amp;⑤支出!C136</f>
        <v>⑤支出　販売費用　出荷運賃</v>
      </c>
      <c r="H25" s="70"/>
      <c r="I25" s="71"/>
    </row>
    <row r="26" spans="1:9" ht="21" customHeight="1">
      <c r="A26" s="705"/>
      <c r="B26" s="709"/>
      <c r="C26" s="489"/>
      <c r="D26" s="492" t="s">
        <v>153</v>
      </c>
      <c r="E26" s="51">
        <f>⑤支出!J135</f>
        <v>0</v>
      </c>
      <c r="F26" s="321">
        <f>E26*$F$2/10</f>
        <v>0</v>
      </c>
      <c r="G26" s="70" t="str">
        <f>"⑤支出　"&amp;⑤支出!B135&amp;"　"&amp;⑤支出!C135</f>
        <v>⑤支出　販売費用　出荷袋</v>
      </c>
      <c r="H26" s="58"/>
      <c r="I26" s="72"/>
    </row>
    <row r="27" spans="1:9" ht="21" customHeight="1">
      <c r="A27" s="705"/>
      <c r="B27" s="709"/>
      <c r="C27" s="489"/>
      <c r="D27" s="484" t="s">
        <v>154</v>
      </c>
      <c r="E27" s="52">
        <f>⑤支出!J137</f>
        <v>0</v>
      </c>
      <c r="F27" s="420">
        <f>E27*$F$2/10</f>
        <v>0</v>
      </c>
      <c r="G27" s="70" t="str">
        <f>"⑤支出　"&amp;⑤支出!B135&amp;"　"&amp;⑤支出!C137</f>
        <v>⑤支出　販売費用　選果料</v>
      </c>
      <c r="H27" s="63"/>
      <c r="I27" s="313"/>
    </row>
    <row r="28" spans="1:9" ht="21" customHeight="1">
      <c r="A28" s="705"/>
      <c r="B28" s="709"/>
      <c r="C28" s="489"/>
      <c r="D28" s="493" t="s">
        <v>155</v>
      </c>
      <c r="E28" s="65">
        <f>⑤支出!J145-⑤支出!J135-⑤支出!J136-⑤支出!J137-⑤支出!J138-⑤支出!J139-⑤支出!J140</f>
        <v>0</v>
      </c>
      <c r="F28" s="318">
        <f>E28*$F$2/10</f>
        <v>0</v>
      </c>
      <c r="G28" s="70" t="str">
        <f>"⑤支出　"&amp;⑤支出!B135</f>
        <v>⑤支出　販売費用</v>
      </c>
      <c r="H28" s="325"/>
      <c r="I28" s="326"/>
    </row>
    <row r="29" spans="1:9" ht="21" customHeight="1">
      <c r="A29" s="705"/>
      <c r="B29" s="710"/>
      <c r="C29" s="494"/>
      <c r="D29" s="487" t="s">
        <v>151</v>
      </c>
      <c r="E29" s="66">
        <f>SUM(E24:E28)</f>
        <v>14144</v>
      </c>
      <c r="F29" s="319">
        <f>SUM(F24:F28)</f>
        <v>141440</v>
      </c>
      <c r="G29" s="67"/>
      <c r="H29" s="67"/>
      <c r="I29" s="68"/>
    </row>
    <row r="30" spans="1:9" ht="21" customHeight="1">
      <c r="A30" s="705"/>
      <c r="B30" s="717" t="s">
        <v>108</v>
      </c>
      <c r="C30" s="491"/>
      <c r="D30" s="485" t="s">
        <v>273</v>
      </c>
      <c r="E30" s="51">
        <f>②償却資産!L47</f>
        <v>17</v>
      </c>
      <c r="F30" s="321">
        <f t="shared" ref="F30:F34" si="2">E30*$F$2/10</f>
        <v>170</v>
      </c>
      <c r="G30" s="724" t="str">
        <f>CONCATENATE("償却資産取得額の",FIXED(②償却資産!$L$43*100,0),"%を利率",FIXED(②償却資産!$L$46*100,0),"%で借入")</f>
        <v>償却資産取得額の50%を利率2%で借入</v>
      </c>
      <c r="H30" s="725"/>
      <c r="I30" s="725"/>
    </row>
    <row r="31" spans="1:9" ht="21" customHeight="1">
      <c r="A31" s="705"/>
      <c r="B31" s="709"/>
      <c r="C31" s="489"/>
      <c r="D31" s="513" t="s">
        <v>253</v>
      </c>
      <c r="E31" s="52">
        <f>⑤支出!J150</f>
        <v>0</v>
      </c>
      <c r="F31" s="420">
        <f t="shared" si="2"/>
        <v>0</v>
      </c>
      <c r="G31" s="697" t="s">
        <v>432</v>
      </c>
      <c r="H31" s="698"/>
      <c r="I31" s="699"/>
    </row>
    <row r="32" spans="1:9" ht="21" customHeight="1">
      <c r="A32" s="705"/>
      <c r="B32" s="709"/>
      <c r="C32" s="489"/>
      <c r="D32" s="486" t="s">
        <v>425</v>
      </c>
      <c r="E32" s="65">
        <f>⑤支出!J155</f>
        <v>661</v>
      </c>
      <c r="F32" s="318">
        <f t="shared" si="2"/>
        <v>6610</v>
      </c>
      <c r="G32" s="697" t="s">
        <v>433</v>
      </c>
      <c r="H32" s="698"/>
      <c r="I32" s="699"/>
    </row>
    <row r="33" spans="1:10" ht="21" customHeight="1">
      <c r="A33" s="705"/>
      <c r="B33" s="709"/>
      <c r="C33" s="489"/>
      <c r="D33" s="486" t="s">
        <v>427</v>
      </c>
      <c r="E33" s="65">
        <f>⑤支出!J160</f>
        <v>0</v>
      </c>
      <c r="F33" s="318">
        <f t="shared" si="2"/>
        <v>0</v>
      </c>
      <c r="G33" s="697" t="s">
        <v>434</v>
      </c>
      <c r="H33" s="698"/>
      <c r="I33" s="699"/>
    </row>
    <row r="34" spans="1:10" ht="21" customHeight="1">
      <c r="A34" s="706"/>
      <c r="B34" s="718"/>
      <c r="C34" s="489"/>
      <c r="D34" s="486" t="s">
        <v>429</v>
      </c>
      <c r="E34" s="65">
        <f>⑤支出!J165</f>
        <v>0</v>
      </c>
      <c r="F34" s="318">
        <f t="shared" si="2"/>
        <v>0</v>
      </c>
      <c r="G34" s="697" t="s">
        <v>435</v>
      </c>
      <c r="H34" s="698"/>
      <c r="I34" s="699"/>
    </row>
    <row r="35" spans="1:10" ht="21" customHeight="1">
      <c r="A35" s="705"/>
      <c r="B35" s="709"/>
      <c r="C35" s="489"/>
      <c r="D35" s="486" t="s">
        <v>436</v>
      </c>
      <c r="E35" s="65">
        <f>⑤支出!J177</f>
        <v>0</v>
      </c>
      <c r="F35" s="318">
        <f>E35*$F$2/10</f>
        <v>0</v>
      </c>
      <c r="G35" s="697" t="s">
        <v>437</v>
      </c>
      <c r="H35" s="698"/>
      <c r="I35" s="699"/>
    </row>
    <row r="36" spans="1:10" ht="21" customHeight="1">
      <c r="A36" s="705"/>
      <c r="B36" s="710"/>
      <c r="C36" s="490"/>
      <c r="D36" s="487" t="s">
        <v>151</v>
      </c>
      <c r="E36" s="322">
        <f>SUM(E30:E35)</f>
        <v>678</v>
      </c>
      <c r="F36" s="323">
        <f>SUM(F30:F35)</f>
        <v>6780</v>
      </c>
      <c r="G36" s="67"/>
      <c r="H36" s="67"/>
      <c r="I36" s="68"/>
    </row>
    <row r="37" spans="1:10" ht="21" customHeight="1">
      <c r="A37" s="707"/>
      <c r="B37" s="715" t="s">
        <v>157</v>
      </c>
      <c r="C37" s="715"/>
      <c r="D37" s="716"/>
      <c r="E37" s="53">
        <f>E23+E29+E36</f>
        <v>86691</v>
      </c>
      <c r="F37" s="53">
        <f>F23+F29+F36</f>
        <v>889904.10774572392</v>
      </c>
      <c r="G37" s="73"/>
      <c r="H37" s="74"/>
      <c r="I37" s="72"/>
    </row>
    <row r="38" spans="1:10" ht="21" customHeight="1">
      <c r="A38" s="75"/>
      <c r="B38" s="76" t="s">
        <v>254</v>
      </c>
      <c r="C38" s="76"/>
      <c r="D38" s="76"/>
      <c r="E38" s="77">
        <f>E6-E37</f>
        <v>-35491</v>
      </c>
      <c r="F38" s="77">
        <f>F6-F37</f>
        <v>-377904.10774572392</v>
      </c>
      <c r="G38" s="78" t="str">
        <f>IF(E6=0,"",CONCATENATE("所得率",FIXED($E$38/$E$6*100,0),"%"))</f>
        <v>所得率-69%</v>
      </c>
      <c r="H38" s="79"/>
      <c r="I38" s="80"/>
    </row>
    <row r="39" spans="1:10" ht="21" customHeight="1">
      <c r="A39" s="700" t="s">
        <v>255</v>
      </c>
      <c r="B39" s="701"/>
      <c r="C39" s="701"/>
      <c r="D39" s="702"/>
      <c r="E39" s="81">
        <f>E22+E31+E38</f>
        <v>-26535</v>
      </c>
      <c r="F39" s="82">
        <f>F22+F31+F38</f>
        <v>-265350</v>
      </c>
      <c r="G39" s="83"/>
      <c r="H39" s="83"/>
      <c r="I39" s="84"/>
    </row>
    <row r="40" spans="1:10" ht="21" customHeight="1">
      <c r="A40" s="100"/>
      <c r="B40" s="100"/>
      <c r="C40" s="100"/>
      <c r="D40" s="504"/>
      <c r="E40" s="100"/>
      <c r="F40" s="100"/>
      <c r="G40" s="100"/>
      <c r="H40" s="100"/>
      <c r="I40" s="100"/>
      <c r="J40" s="100"/>
    </row>
    <row r="41" spans="1:10" ht="21" customHeight="1">
      <c r="A41" s="100"/>
      <c r="B41" s="100"/>
      <c r="C41" s="100"/>
      <c r="D41" s="504"/>
      <c r="E41" s="100"/>
      <c r="F41" s="100"/>
      <c r="G41" s="100"/>
      <c r="H41" s="100"/>
      <c r="I41" s="100"/>
      <c r="J41" s="100"/>
    </row>
    <row r="42" spans="1:10" ht="21" customHeight="1">
      <c r="A42" s="100"/>
      <c r="B42" s="100"/>
      <c r="C42" s="100"/>
      <c r="D42" s="504"/>
      <c r="E42" s="100"/>
      <c r="F42" s="100"/>
      <c r="G42" s="100"/>
      <c r="H42" s="100"/>
      <c r="I42" s="100"/>
      <c r="J42" s="100"/>
    </row>
    <row r="43" spans="1:10" ht="21" customHeight="1">
      <c r="A43" s="100"/>
      <c r="B43" s="100"/>
      <c r="C43" s="100"/>
      <c r="D43" s="504"/>
      <c r="E43" s="100"/>
      <c r="F43" s="100"/>
      <c r="G43" s="100"/>
      <c r="H43" s="100"/>
      <c r="I43" s="100"/>
      <c r="J43" s="100"/>
    </row>
    <row r="44" spans="1:10" ht="21" customHeight="1">
      <c r="A44" s="100"/>
      <c r="B44" s="100"/>
      <c r="C44" s="100"/>
      <c r="D44" s="504"/>
      <c r="E44" s="100"/>
      <c r="F44" s="100"/>
      <c r="G44" s="100"/>
      <c r="H44" s="100"/>
      <c r="I44" s="100"/>
      <c r="J44" s="100"/>
    </row>
    <row r="45" spans="1:10" ht="21" customHeight="1">
      <c r="A45" s="100"/>
      <c r="B45" s="100"/>
      <c r="C45" s="100"/>
      <c r="D45" s="504"/>
      <c r="E45" s="100"/>
      <c r="F45" s="100"/>
      <c r="G45" s="100"/>
      <c r="H45" s="100"/>
      <c r="I45" s="100"/>
      <c r="J45" s="100"/>
    </row>
    <row r="46" spans="1:10" ht="16.899999999999999" customHeight="1">
      <c r="A46" s="100"/>
      <c r="B46" s="100"/>
      <c r="C46" s="100"/>
      <c r="D46" s="504"/>
      <c r="E46" s="100"/>
      <c r="F46" s="100"/>
      <c r="G46" s="100"/>
      <c r="H46" s="100"/>
      <c r="I46" s="100"/>
      <c r="J46" s="100"/>
    </row>
    <row r="47" spans="1:10" ht="16.899999999999999" customHeight="1">
      <c r="A47" s="100"/>
      <c r="B47" s="100"/>
      <c r="C47" s="100"/>
      <c r="D47" s="504"/>
      <c r="E47" s="100"/>
      <c r="F47" s="100"/>
      <c r="G47" s="100"/>
      <c r="H47" s="100"/>
      <c r="I47" s="100"/>
      <c r="J47" s="100"/>
    </row>
    <row r="48" spans="1:10" ht="16.899999999999999" customHeight="1">
      <c r="A48" s="100"/>
      <c r="B48" s="100"/>
      <c r="C48" s="100"/>
      <c r="D48" s="504"/>
      <c r="E48" s="100"/>
      <c r="F48" s="100"/>
      <c r="G48" s="100"/>
      <c r="H48" s="100"/>
      <c r="I48" s="100"/>
      <c r="J48" s="100"/>
    </row>
    <row r="49" spans="1:10" ht="16.899999999999999" customHeight="1">
      <c r="A49" s="100"/>
      <c r="B49" s="100"/>
      <c r="C49" s="100"/>
      <c r="D49" s="504"/>
      <c r="E49" s="100"/>
      <c r="F49" s="100"/>
      <c r="G49" s="100"/>
      <c r="H49" s="100"/>
      <c r="I49" s="100"/>
      <c r="J49" s="100"/>
    </row>
    <row r="50" spans="1:10" ht="16.899999999999999" customHeight="1">
      <c r="A50" s="100"/>
      <c r="B50" s="100"/>
      <c r="C50" s="100"/>
      <c r="D50" s="504"/>
      <c r="E50" s="100"/>
      <c r="F50" s="100"/>
      <c r="G50" s="100"/>
      <c r="H50" s="100"/>
      <c r="I50" s="100"/>
      <c r="J50" s="100"/>
    </row>
    <row r="51" spans="1:10" ht="16.899999999999999" customHeight="1">
      <c r="A51" s="100"/>
      <c r="B51" s="100"/>
      <c r="C51" s="100"/>
      <c r="D51" s="504"/>
      <c r="E51" s="100"/>
      <c r="F51" s="100"/>
      <c r="G51" s="100"/>
      <c r="H51" s="100"/>
      <c r="I51" s="100"/>
      <c r="J51" s="100"/>
    </row>
    <row r="52" spans="1:10" ht="16.899999999999999" customHeight="1">
      <c r="A52" s="100"/>
      <c r="B52" s="100"/>
      <c r="C52" s="100"/>
      <c r="D52" s="504"/>
      <c r="E52" s="100"/>
      <c r="F52" s="100"/>
      <c r="G52" s="100"/>
      <c r="H52" s="100"/>
      <c r="I52" s="100"/>
      <c r="J52" s="100"/>
    </row>
    <row r="53" spans="1:10" ht="16.899999999999999" customHeight="1">
      <c r="A53" s="100"/>
      <c r="B53" s="100"/>
      <c r="C53" s="100"/>
      <c r="D53" s="504"/>
      <c r="E53" s="100"/>
      <c r="F53" s="100"/>
      <c r="G53" s="100"/>
      <c r="H53" s="100"/>
      <c r="I53" s="100"/>
      <c r="J53" s="100"/>
    </row>
    <row r="54" spans="1:10" ht="16.899999999999999" customHeight="1">
      <c r="A54" s="100"/>
      <c r="B54" s="100"/>
      <c r="C54" s="100"/>
      <c r="D54" s="504"/>
      <c r="E54" s="100"/>
      <c r="F54" s="100"/>
      <c r="G54" s="100"/>
      <c r="H54" s="100"/>
      <c r="I54" s="100"/>
      <c r="J54" s="100"/>
    </row>
    <row r="55" spans="1:10" ht="16.899999999999999" customHeight="1">
      <c r="A55" s="100"/>
      <c r="B55" s="100"/>
      <c r="C55" s="100"/>
      <c r="D55" s="504"/>
      <c r="E55" s="100"/>
      <c r="F55" s="100"/>
      <c r="G55" s="100"/>
      <c r="H55" s="100"/>
      <c r="I55" s="100"/>
      <c r="J55" s="100"/>
    </row>
    <row r="56" spans="1:10" ht="16.899999999999999" customHeight="1">
      <c r="A56" s="100"/>
      <c r="B56" s="100"/>
      <c r="C56" s="100"/>
      <c r="D56" s="504"/>
      <c r="E56" s="100"/>
      <c r="F56" s="100"/>
      <c r="G56" s="100"/>
      <c r="H56" s="100"/>
      <c r="I56" s="100"/>
      <c r="J56" s="100"/>
    </row>
    <row r="57" spans="1:10" ht="16.899999999999999" customHeight="1">
      <c r="A57" s="100"/>
      <c r="B57" s="100"/>
      <c r="C57" s="100"/>
      <c r="D57" s="504"/>
      <c r="E57" s="100"/>
      <c r="F57" s="100"/>
      <c r="G57" s="100"/>
      <c r="H57" s="100"/>
      <c r="I57" s="100"/>
      <c r="J57" s="100"/>
    </row>
    <row r="58" spans="1:10" ht="16.899999999999999" customHeight="1">
      <c r="A58" s="100"/>
      <c r="B58" s="100"/>
      <c r="C58" s="100"/>
      <c r="D58" s="504"/>
      <c r="E58" s="100"/>
      <c r="F58" s="100"/>
      <c r="G58" s="100"/>
      <c r="H58" s="100"/>
      <c r="I58" s="100"/>
      <c r="J58" s="100"/>
    </row>
    <row r="59" spans="1:10" ht="16.899999999999999" customHeight="1">
      <c r="A59" s="100"/>
      <c r="B59" s="100"/>
      <c r="C59" s="100"/>
      <c r="D59" s="504"/>
      <c r="E59" s="100"/>
      <c r="F59" s="100"/>
      <c r="G59" s="100"/>
      <c r="H59" s="100"/>
      <c r="I59" s="100"/>
      <c r="J59" s="100"/>
    </row>
    <row r="60" spans="1:10" ht="16.899999999999999" customHeight="1">
      <c r="A60" s="100"/>
      <c r="B60" s="100"/>
      <c r="C60" s="100"/>
      <c r="D60" s="504"/>
      <c r="E60" s="100"/>
      <c r="F60" s="100"/>
      <c r="G60" s="100"/>
      <c r="H60" s="100"/>
      <c r="I60" s="100"/>
      <c r="J60" s="100"/>
    </row>
    <row r="61" spans="1:10" ht="16.899999999999999" customHeight="1">
      <c r="A61" s="100"/>
      <c r="B61" s="100"/>
      <c r="C61" s="100"/>
      <c r="D61" s="504"/>
      <c r="E61" s="100"/>
      <c r="F61" s="100"/>
      <c r="G61" s="100"/>
      <c r="H61" s="100"/>
      <c r="I61" s="100"/>
      <c r="J61" s="100"/>
    </row>
    <row r="62" spans="1:10" ht="16.899999999999999" customHeight="1">
      <c r="A62" s="100"/>
      <c r="B62" s="100"/>
      <c r="C62" s="100"/>
      <c r="D62" s="504"/>
      <c r="E62" s="100"/>
      <c r="F62" s="100"/>
      <c r="G62" s="100"/>
      <c r="H62" s="100"/>
      <c r="I62" s="100"/>
      <c r="J62" s="100"/>
    </row>
    <row r="63" spans="1:10" ht="16.899999999999999" customHeight="1">
      <c r="A63" s="100"/>
      <c r="B63" s="100"/>
      <c r="C63" s="100"/>
      <c r="D63" s="504"/>
      <c r="E63" s="100"/>
      <c r="F63" s="100"/>
      <c r="G63" s="100"/>
      <c r="H63" s="100"/>
      <c r="I63" s="100"/>
      <c r="J63" s="100"/>
    </row>
    <row r="64" spans="1:10" ht="16.899999999999999" customHeight="1">
      <c r="A64" s="100"/>
      <c r="B64" s="100"/>
      <c r="C64" s="100"/>
      <c r="D64" s="504"/>
      <c r="E64" s="100"/>
      <c r="F64" s="100"/>
      <c r="G64" s="100"/>
      <c r="H64" s="100"/>
      <c r="I64" s="100"/>
      <c r="J64" s="100"/>
    </row>
    <row r="65" spans="1:10" ht="16.899999999999999" customHeight="1">
      <c r="A65" s="100"/>
      <c r="B65" s="100"/>
      <c r="C65" s="100"/>
      <c r="D65" s="504"/>
      <c r="E65" s="100"/>
      <c r="F65" s="100"/>
      <c r="G65" s="100"/>
      <c r="H65" s="100"/>
      <c r="I65" s="100"/>
      <c r="J65" s="100"/>
    </row>
    <row r="66" spans="1:10" ht="16.899999999999999" customHeight="1">
      <c r="A66" s="100"/>
      <c r="B66" s="100"/>
      <c r="C66" s="100"/>
      <c r="D66" s="504"/>
      <c r="E66" s="100"/>
      <c r="F66" s="100"/>
      <c r="G66" s="100"/>
      <c r="H66" s="100"/>
      <c r="I66" s="100"/>
      <c r="J66" s="100"/>
    </row>
    <row r="67" spans="1:10" ht="16.899999999999999" customHeight="1">
      <c r="A67" s="100"/>
      <c r="B67" s="100"/>
      <c r="C67" s="100"/>
      <c r="D67" s="504"/>
      <c r="E67" s="100"/>
      <c r="F67" s="100"/>
      <c r="G67" s="100"/>
      <c r="H67" s="100"/>
      <c r="I67" s="100"/>
      <c r="J67" s="100"/>
    </row>
    <row r="68" spans="1:10" ht="16.899999999999999" customHeight="1">
      <c r="A68" s="100"/>
      <c r="B68" s="100"/>
      <c r="C68" s="100"/>
      <c r="D68" s="504"/>
      <c r="E68" s="100"/>
      <c r="F68" s="100"/>
      <c r="G68" s="100"/>
      <c r="H68" s="100"/>
      <c r="I68" s="100"/>
      <c r="J68" s="100"/>
    </row>
    <row r="69" spans="1:10" ht="16.899999999999999" customHeight="1">
      <c r="A69" s="100"/>
      <c r="B69" s="100"/>
      <c r="C69" s="100"/>
      <c r="D69" s="504"/>
      <c r="E69" s="100"/>
      <c r="F69" s="100"/>
      <c r="G69" s="100"/>
      <c r="H69" s="100"/>
      <c r="I69" s="100"/>
      <c r="J69" s="100"/>
    </row>
    <row r="70" spans="1:10" ht="16.899999999999999" customHeight="1">
      <c r="A70" s="100"/>
      <c r="B70" s="100"/>
      <c r="C70" s="100"/>
      <c r="D70" s="504"/>
      <c r="E70" s="100"/>
      <c r="F70" s="100"/>
      <c r="G70" s="100"/>
      <c r="H70" s="100"/>
      <c r="I70" s="100"/>
      <c r="J70" s="100"/>
    </row>
    <row r="71" spans="1:10" ht="16.899999999999999" customHeight="1">
      <c r="A71" s="100"/>
      <c r="B71" s="100"/>
      <c r="C71" s="100"/>
      <c r="D71" s="504"/>
      <c r="E71" s="100"/>
      <c r="F71" s="100"/>
      <c r="G71" s="100"/>
      <c r="H71" s="100"/>
      <c r="I71" s="100"/>
      <c r="J71" s="100"/>
    </row>
    <row r="72" spans="1:10" ht="16.899999999999999" customHeight="1">
      <c r="A72" s="100"/>
      <c r="B72" s="100"/>
      <c r="C72" s="100"/>
      <c r="D72" s="504"/>
      <c r="E72" s="100"/>
      <c r="F72" s="100"/>
      <c r="G72" s="100"/>
      <c r="H72" s="100"/>
      <c r="I72" s="100"/>
      <c r="J72" s="100"/>
    </row>
    <row r="73" spans="1:10" ht="16.899999999999999" customHeight="1">
      <c r="A73" s="100"/>
      <c r="B73" s="100"/>
      <c r="C73" s="100"/>
      <c r="D73" s="504"/>
      <c r="E73" s="100"/>
      <c r="F73" s="100"/>
      <c r="G73" s="100"/>
      <c r="H73" s="100"/>
      <c r="I73" s="100"/>
      <c r="J73" s="100"/>
    </row>
    <row r="74" spans="1:10" ht="16.899999999999999" customHeight="1">
      <c r="A74" s="100"/>
      <c r="B74" s="100"/>
      <c r="C74" s="100"/>
      <c r="D74" s="504"/>
      <c r="E74" s="100"/>
      <c r="F74" s="100"/>
      <c r="G74" s="100"/>
      <c r="H74" s="100"/>
      <c r="I74" s="100"/>
      <c r="J74" s="100"/>
    </row>
    <row r="75" spans="1:10" ht="16.899999999999999" customHeight="1">
      <c r="A75" s="100"/>
      <c r="B75" s="100"/>
      <c r="C75" s="100"/>
      <c r="D75" s="504"/>
      <c r="E75" s="100"/>
      <c r="F75" s="100"/>
      <c r="G75" s="100"/>
      <c r="H75" s="100"/>
      <c r="I75" s="100"/>
      <c r="J75" s="100"/>
    </row>
    <row r="76" spans="1:10" ht="12.75" hidden="1" customHeight="1">
      <c r="A76" s="100"/>
      <c r="B76" s="100"/>
      <c r="C76" s="100"/>
      <c r="D76" s="504"/>
      <c r="E76" s="100"/>
      <c r="F76" s="100"/>
      <c r="G76" s="100"/>
      <c r="H76" s="100"/>
      <c r="I76" s="100"/>
      <c r="J76" s="100"/>
    </row>
    <row r="77" spans="1:10" ht="12.75" hidden="1" customHeight="1">
      <c r="A77" s="100"/>
      <c r="B77" s="100"/>
      <c r="C77" s="100"/>
      <c r="D77" s="504"/>
      <c r="E77" s="100"/>
      <c r="F77" s="100"/>
      <c r="G77" s="100"/>
      <c r="H77" s="100"/>
      <c r="I77" s="100"/>
      <c r="J77" s="100"/>
    </row>
    <row r="78" spans="1:10" ht="12.75" hidden="1" customHeight="1">
      <c r="A78" s="100"/>
      <c r="B78" s="100"/>
      <c r="C78" s="100"/>
      <c r="D78" s="504"/>
      <c r="E78" s="100"/>
      <c r="F78" s="100"/>
      <c r="G78" s="100"/>
      <c r="H78" s="100"/>
      <c r="I78" s="100"/>
      <c r="J78" s="100"/>
    </row>
    <row r="79" spans="1:10" ht="13.5" hidden="1">
      <c r="A79" s="100"/>
      <c r="B79" s="100"/>
      <c r="C79" s="100"/>
      <c r="D79" s="504"/>
      <c r="E79" s="100"/>
      <c r="F79" s="100"/>
      <c r="G79" s="100"/>
      <c r="H79" s="100"/>
      <c r="I79" s="100"/>
      <c r="J79" s="100"/>
    </row>
    <row r="80" spans="1:10" ht="13.5" hidden="1">
      <c r="A80" s="100"/>
      <c r="B80" s="100"/>
      <c r="C80" s="100"/>
      <c r="D80" s="504"/>
      <c r="E80" s="100"/>
      <c r="F80" s="100"/>
      <c r="G80" s="100"/>
      <c r="H80" s="100"/>
      <c r="I80" s="100"/>
      <c r="J80" s="100"/>
    </row>
    <row r="81" spans="1:10" ht="13.5" hidden="1">
      <c r="A81" s="100"/>
      <c r="B81" s="100"/>
      <c r="C81" s="100"/>
      <c r="D81" s="504"/>
      <c r="E81" s="100"/>
      <c r="F81" s="100"/>
      <c r="G81" s="100"/>
      <c r="H81" s="100"/>
      <c r="I81" s="100"/>
      <c r="J81" s="100"/>
    </row>
    <row r="82" spans="1:10" ht="13.5" hidden="1">
      <c r="A82" s="100"/>
      <c r="B82" s="100"/>
      <c r="C82" s="100"/>
      <c r="D82" s="504"/>
      <c r="E82" s="100"/>
      <c r="F82" s="100"/>
      <c r="G82" s="100"/>
      <c r="H82" s="100"/>
      <c r="I82" s="100"/>
      <c r="J82" s="100"/>
    </row>
    <row r="83" spans="1:10" ht="13.5">
      <c r="A83" s="100"/>
      <c r="B83" s="100"/>
      <c r="C83" s="100"/>
      <c r="D83" s="504"/>
      <c r="E83" s="100"/>
      <c r="F83" s="100"/>
      <c r="G83" s="100"/>
      <c r="H83" s="100"/>
      <c r="I83" s="100"/>
      <c r="J83" s="100"/>
    </row>
    <row r="84" spans="1:10" ht="13.5">
      <c r="A84" s="100"/>
      <c r="B84" s="100"/>
      <c r="C84" s="100"/>
      <c r="D84" s="504"/>
      <c r="E84" s="100"/>
      <c r="F84" s="100"/>
      <c r="G84" s="100"/>
      <c r="H84" s="100"/>
      <c r="I84" s="100"/>
      <c r="J84" s="100"/>
    </row>
    <row r="85" spans="1:10" ht="13.5">
      <c r="A85" s="100"/>
      <c r="B85" s="100"/>
      <c r="C85" s="100"/>
      <c r="D85" s="504"/>
      <c r="E85" s="100"/>
      <c r="F85" s="100"/>
      <c r="G85" s="100"/>
      <c r="H85" s="100"/>
      <c r="I85" s="100"/>
      <c r="J85" s="100"/>
    </row>
    <row r="86" spans="1:10" ht="13.5">
      <c r="A86" s="100"/>
      <c r="B86" s="100"/>
      <c r="C86" s="100"/>
      <c r="D86" s="504"/>
      <c r="E86" s="100"/>
      <c r="F86" s="100"/>
      <c r="G86" s="100"/>
      <c r="H86" s="100"/>
      <c r="I86" s="100"/>
      <c r="J86" s="100"/>
    </row>
    <row r="87" spans="1:10" ht="13.5">
      <c r="A87" s="100"/>
      <c r="B87" s="100"/>
      <c r="C87" s="100"/>
      <c r="D87" s="504"/>
      <c r="E87" s="100"/>
      <c r="F87" s="100"/>
      <c r="G87" s="100"/>
      <c r="H87" s="100"/>
      <c r="I87" s="100"/>
      <c r="J87" s="100"/>
    </row>
    <row r="88" spans="1:10" ht="13.5">
      <c r="A88" s="100"/>
      <c r="B88" s="100"/>
      <c r="C88" s="100"/>
      <c r="D88" s="504"/>
      <c r="E88" s="100"/>
      <c r="F88" s="100"/>
      <c r="G88" s="100"/>
      <c r="H88" s="100"/>
      <c r="I88" s="100"/>
      <c r="J88" s="100"/>
    </row>
    <row r="89" spans="1:10" ht="13.5">
      <c r="A89" s="100"/>
      <c r="B89" s="100"/>
      <c r="C89" s="100"/>
      <c r="D89" s="504"/>
      <c r="E89" s="100"/>
      <c r="F89" s="100"/>
      <c r="G89" s="100"/>
      <c r="H89" s="100"/>
      <c r="I89" s="100"/>
      <c r="J89" s="100"/>
    </row>
    <row r="90" spans="1:10" ht="13.5">
      <c r="A90" s="100"/>
      <c r="B90" s="100"/>
      <c r="C90" s="100"/>
      <c r="D90" s="504"/>
      <c r="E90" s="100"/>
      <c r="F90" s="100"/>
      <c r="G90" s="100"/>
      <c r="H90" s="100"/>
      <c r="I90" s="100"/>
      <c r="J90" s="100"/>
    </row>
    <row r="91" spans="1:10" ht="13.5">
      <c r="A91" s="100"/>
      <c r="B91" s="100"/>
      <c r="C91" s="100"/>
      <c r="D91" s="504"/>
      <c r="E91" s="100"/>
      <c r="F91" s="100"/>
      <c r="G91" s="100"/>
      <c r="H91" s="100"/>
      <c r="I91" s="100"/>
      <c r="J91" s="100"/>
    </row>
    <row r="92" spans="1:10" ht="13.5">
      <c r="A92" s="100"/>
      <c r="B92" s="100"/>
      <c r="C92" s="100"/>
      <c r="D92" s="504"/>
      <c r="E92" s="100"/>
      <c r="F92" s="100"/>
      <c r="G92" s="100"/>
      <c r="H92" s="100"/>
      <c r="I92" s="100"/>
      <c r="J92" s="100"/>
    </row>
    <row r="93" spans="1:10" ht="13.5" hidden="1">
      <c r="A93" s="100"/>
      <c r="B93" s="100"/>
      <c r="C93" s="100"/>
      <c r="D93" s="504"/>
      <c r="E93" s="100"/>
      <c r="F93" s="100"/>
      <c r="G93" s="100"/>
      <c r="H93" s="100"/>
      <c r="I93" s="100"/>
    </row>
    <row r="94" spans="1:10" ht="13.5">
      <c r="D94" s="504"/>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2:I32"/>
    <mergeCell ref="G30:I30"/>
    <mergeCell ref="G24:I24"/>
    <mergeCell ref="B4:D4"/>
    <mergeCell ref="G4:I4"/>
    <mergeCell ref="B6:D6"/>
    <mergeCell ref="G6:I6"/>
    <mergeCell ref="G31:I31"/>
    <mergeCell ref="B5:D5"/>
    <mergeCell ref="G5:I5"/>
    <mergeCell ref="G22:I22"/>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&amp;L肉用牛（肥育）春から秋の耕作放棄地経産牛放牧（全域）</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view="pageBreakPreview" zoomScaleSheetLayoutView="100" workbookViewId="0">
      <pane xSplit="3" ySplit="8" topLeftCell="D26" activePane="bottomRight" state="frozen"/>
      <selection pane="topRight" activeCell="D1" sqref="D1"/>
      <selection pane="bottomLeft" activeCell="A9" sqref="A9"/>
      <selection pane="bottomRight" activeCell="D35" sqref="D35"/>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3" t="s">
        <v>129</v>
      </c>
      <c r="C1" s="444"/>
      <c r="N1" s="36"/>
      <c r="O1" s="36"/>
      <c r="Z1" s="36"/>
      <c r="AA1" s="36"/>
      <c r="AL1" s="36"/>
      <c r="AM1" s="36" t="s">
        <v>130</v>
      </c>
    </row>
    <row r="2" spans="2:44">
      <c r="B2" s="745" t="s">
        <v>131</v>
      </c>
      <c r="C2" s="745"/>
      <c r="D2" s="746">
        <v>1</v>
      </c>
      <c r="E2" s="746"/>
      <c r="F2" s="746"/>
      <c r="G2" s="741">
        <v>2</v>
      </c>
      <c r="H2" s="741"/>
      <c r="I2" s="741"/>
      <c r="J2" s="741">
        <v>3</v>
      </c>
      <c r="K2" s="741"/>
      <c r="L2" s="741"/>
      <c r="M2" s="741">
        <v>4</v>
      </c>
      <c r="N2" s="741"/>
      <c r="O2" s="741"/>
      <c r="P2" s="741">
        <v>5</v>
      </c>
      <c r="Q2" s="741"/>
      <c r="R2" s="741"/>
      <c r="S2" s="741">
        <v>6</v>
      </c>
      <c r="T2" s="741"/>
      <c r="U2" s="741"/>
      <c r="V2" s="741">
        <v>7</v>
      </c>
      <c r="W2" s="741"/>
      <c r="X2" s="741"/>
      <c r="Y2" s="741">
        <v>8</v>
      </c>
      <c r="Z2" s="741"/>
      <c r="AA2" s="741"/>
      <c r="AB2" s="741">
        <v>9</v>
      </c>
      <c r="AC2" s="741"/>
      <c r="AD2" s="741"/>
      <c r="AE2" s="741">
        <v>10</v>
      </c>
      <c r="AF2" s="741"/>
      <c r="AG2" s="741"/>
      <c r="AH2" s="741">
        <v>11</v>
      </c>
      <c r="AI2" s="741"/>
      <c r="AJ2" s="741"/>
      <c r="AK2" s="751">
        <v>12</v>
      </c>
      <c r="AL2" s="751"/>
      <c r="AM2" s="751"/>
      <c r="AN2" s="750" t="s">
        <v>132</v>
      </c>
    </row>
    <row r="3" spans="2:44">
      <c r="B3" s="745"/>
      <c r="C3" s="745"/>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750"/>
    </row>
    <row r="4" spans="2:44" ht="13.5">
      <c r="B4" s="747" t="s">
        <v>275</v>
      </c>
      <c r="C4" s="742" t="s">
        <v>276</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48"/>
      <c r="C5" s="743"/>
      <c r="D5" s="40" t="s">
        <v>136</v>
      </c>
      <c r="E5" s="41"/>
      <c r="F5" s="41"/>
      <c r="G5" s="41"/>
      <c r="H5" s="41"/>
      <c r="I5" s="41"/>
      <c r="J5" s="41"/>
      <c r="K5" s="41"/>
      <c r="L5" s="42"/>
      <c r="M5" s="41"/>
      <c r="N5" s="671" t="s">
        <v>533</v>
      </c>
      <c r="O5" s="671" t="s">
        <v>534</v>
      </c>
      <c r="P5" s="671" t="s">
        <v>534</v>
      </c>
      <c r="Q5" s="672" t="s">
        <v>534</v>
      </c>
      <c r="R5" s="672" t="s">
        <v>535</v>
      </c>
      <c r="S5" s="41"/>
      <c r="T5" s="41"/>
      <c r="U5" s="42" t="s">
        <v>536</v>
      </c>
      <c r="V5" s="41"/>
      <c r="W5" s="41"/>
      <c r="X5" s="42" t="s">
        <v>536</v>
      </c>
      <c r="Y5" s="41"/>
      <c r="Z5" s="41"/>
      <c r="AA5" s="42" t="s">
        <v>536</v>
      </c>
      <c r="AB5" s="41"/>
      <c r="AC5" s="41"/>
      <c r="AD5" s="42" t="s">
        <v>536</v>
      </c>
      <c r="AE5" s="41"/>
      <c r="AF5" s="41"/>
      <c r="AG5" s="42" t="s">
        <v>536</v>
      </c>
      <c r="AH5" s="41"/>
      <c r="AI5" s="41"/>
      <c r="AJ5" s="671" t="s">
        <v>537</v>
      </c>
      <c r="AK5" s="41"/>
      <c r="AL5" s="41"/>
      <c r="AM5" s="41"/>
      <c r="AN5" s="43"/>
      <c r="AP5" s="10"/>
      <c r="AQ5" s="10"/>
      <c r="AR5" s="10"/>
    </row>
    <row r="6" spans="2:44" ht="12" customHeight="1">
      <c r="B6" s="748"/>
      <c r="C6" s="743"/>
      <c r="D6" s="40"/>
      <c r="E6" s="41"/>
      <c r="F6" s="41"/>
      <c r="G6" s="41"/>
      <c r="H6" s="42"/>
      <c r="I6" s="42"/>
      <c r="J6" s="42"/>
      <c r="K6" s="42"/>
      <c r="L6" s="41"/>
      <c r="M6" s="41"/>
      <c r="N6" s="671"/>
      <c r="O6" s="671"/>
      <c r="P6" s="671"/>
      <c r="Q6" s="671" t="s">
        <v>538</v>
      </c>
      <c r="R6" s="671"/>
      <c r="S6" s="41"/>
      <c r="T6" s="41"/>
      <c r="U6" s="42" t="s">
        <v>539</v>
      </c>
      <c r="V6" s="42"/>
      <c r="W6" s="42"/>
      <c r="X6" s="42" t="s">
        <v>539</v>
      </c>
      <c r="Y6" s="41"/>
      <c r="Z6" s="41"/>
      <c r="AA6" s="42" t="s">
        <v>539</v>
      </c>
      <c r="AB6" s="41"/>
      <c r="AC6" s="41"/>
      <c r="AD6" s="41"/>
      <c r="AE6" s="41"/>
      <c r="AF6" s="671"/>
      <c r="AG6" s="671"/>
      <c r="AH6" s="671"/>
      <c r="AI6" s="671"/>
      <c r="AJ6" s="671"/>
      <c r="AK6" s="41"/>
      <c r="AL6" s="41"/>
      <c r="AM6" s="41"/>
      <c r="AN6" s="43"/>
      <c r="AP6" s="10"/>
      <c r="AQ6" s="10"/>
      <c r="AR6" s="10"/>
    </row>
    <row r="7" spans="2:44" ht="12" customHeight="1">
      <c r="B7" s="748"/>
      <c r="C7" s="743"/>
      <c r="D7" s="40"/>
      <c r="E7" s="41"/>
      <c r="F7" s="41"/>
      <c r="G7" s="41"/>
      <c r="H7" s="41"/>
      <c r="I7" s="41"/>
      <c r="J7" s="41"/>
      <c r="K7" s="41"/>
      <c r="L7" s="41"/>
      <c r="M7" s="41"/>
      <c r="N7" s="671"/>
      <c r="O7" s="671"/>
      <c r="P7" s="671"/>
      <c r="Q7" s="671"/>
      <c r="R7" s="41" t="s">
        <v>540</v>
      </c>
      <c r="S7" s="41" t="s">
        <v>541</v>
      </c>
      <c r="T7" s="41" t="s">
        <v>541</v>
      </c>
      <c r="U7" s="41" t="s">
        <v>541</v>
      </c>
      <c r="V7" s="41" t="s">
        <v>541</v>
      </c>
      <c r="W7" s="41" t="s">
        <v>541</v>
      </c>
      <c r="X7" s="41" t="s">
        <v>541</v>
      </c>
      <c r="Y7" s="41" t="s">
        <v>541</v>
      </c>
      <c r="Z7" s="41" t="s">
        <v>541</v>
      </c>
      <c r="AA7" s="41" t="s">
        <v>541</v>
      </c>
      <c r="AB7" s="41" t="s">
        <v>541</v>
      </c>
      <c r="AC7" s="41" t="s">
        <v>541</v>
      </c>
      <c r="AD7" s="41" t="s">
        <v>541</v>
      </c>
      <c r="AE7" s="41" t="s">
        <v>541</v>
      </c>
      <c r="AF7" s="41" t="s">
        <v>541</v>
      </c>
      <c r="AG7" s="41" t="s">
        <v>541</v>
      </c>
      <c r="AH7" s="41" t="s">
        <v>541</v>
      </c>
      <c r="AI7" s="41" t="s">
        <v>541</v>
      </c>
      <c r="AJ7" s="696" t="s">
        <v>670</v>
      </c>
      <c r="AK7" s="41"/>
      <c r="AL7" s="41"/>
      <c r="AM7" s="41"/>
      <c r="AN7" s="43"/>
      <c r="AP7" s="10"/>
      <c r="AQ7" s="10"/>
      <c r="AR7" s="10"/>
    </row>
    <row r="8" spans="2:44" ht="12" customHeight="1">
      <c r="B8" s="749"/>
      <c r="C8" s="744"/>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39" t="str">
        <f>①技術体系!A6</f>
        <v>経産牛導入</v>
      </c>
      <c r="C9" s="740"/>
      <c r="D9" s="379">
        <f>SUMPRODUCT((③労働時間!$A$5:$A$353=作業体系表!$B9)*(③労働時間!$B$5:$B$353="1月上旬")*(③労働時間!$J$5:$J$353))</f>
        <v>0</v>
      </c>
      <c r="E9" s="379">
        <f>SUMPRODUCT((③労働時間!$A$5:$A$353=作業体系表!$B9)*(③労働時間!$B$5:$B$353="1月中旬")*(③労働時間!$J$5:$J$353))</f>
        <v>0</v>
      </c>
      <c r="F9" s="379">
        <f>SUMPRODUCT((③労働時間!$A$5:$A$353=作業体系表!$B9)*(③労働時間!$B$5:$B$353="1月下旬")*(③労働時間!$J$5:$J$353))</f>
        <v>0</v>
      </c>
      <c r="G9" s="379">
        <f>SUMPRODUCT((③労働時間!$A$5:$A$353=作業体系表!$B9)*(③労働時間!$B$5:$B$353="2月上旬")*(③労働時間!$J$5:$J$353))</f>
        <v>0</v>
      </c>
      <c r="H9" s="379">
        <f>SUMPRODUCT((③労働時間!$A$5:$A$353=作業体系表!$B9)*(③労働時間!$B$5:$B$353="2月中旬")*(③労働時間!$J$5:$J$353))</f>
        <v>0</v>
      </c>
      <c r="I9" s="379">
        <f>SUMPRODUCT((③労働時間!$A$5:$A$353=作業体系表!$B9)*(③労働時間!$B$5:$B$353="2月下旬")*(③労働時間!$J$5:$J$353))</f>
        <v>0</v>
      </c>
      <c r="J9" s="379">
        <f>SUMPRODUCT((③労働時間!$A$5:$A$353=作業体系表!$B9)*(③労働時間!$B$5:$B$353="3月上旬")*(③労働時間!$J$5:$J$353))</f>
        <v>0</v>
      </c>
      <c r="K9" s="379">
        <f>SUMPRODUCT((③労働時間!$A$5:$A$353=作業体系表!$B9)*(③労働時間!$B$5:$B$353="3月中旬")*(③労働時間!$J$5:$J$353))</f>
        <v>0</v>
      </c>
      <c r="L9" s="379">
        <f>SUMPRODUCT((③労働時間!$A$5:$A$353=作業体系表!$B9)*(③労働時間!$B$5:$B$353="3月下旬")*(③労働時間!$J$5:$J$353))</f>
        <v>0</v>
      </c>
      <c r="M9" s="379">
        <f>SUMPRODUCT((③労働時間!$A$5:$A$353=作業体系表!$B9)*(③労働時間!$B$5:$B$353="4月上旬")*(③労働時間!$J$5:$J$353))</f>
        <v>0</v>
      </c>
      <c r="N9" s="379">
        <f>SUMPRODUCT((③労働時間!$A$5:$A$353=作業体系表!$B9)*(③労働時間!$B$5:$B$353="4月中旬")*(③労働時間!$J$5:$J$353))</f>
        <v>0.2</v>
      </c>
      <c r="O9" s="379">
        <f>SUMPRODUCT((③労働時間!$A$5:$A$353=作業体系表!$B9)*(③労働時間!$B$5:$B$353="4月下旬")*(③労働時間!$J$5:$J$353))</f>
        <v>0</v>
      </c>
      <c r="P9" s="380">
        <f>SUMPRODUCT((③労働時間!$A$5:$A$353=作業体系表!$B9)*(③労働時間!$B$5:$B$353="5月上旬")*(③労働時間!$J$5:$J$353))</f>
        <v>0</v>
      </c>
      <c r="Q9" s="379">
        <f>SUMPRODUCT((③労働時間!$A$5:$A$353=作業体系表!$B9)*(③労働時間!$B$5:$B$353="5月中旬")*(③労働時間!$J$5:$J$353))</f>
        <v>0</v>
      </c>
      <c r="R9" s="379">
        <f>SUMPRODUCT((③労働時間!$A$5:$A$353=作業体系表!$B9)*(③労働時間!$B$5:$B$353="5月下旬")*(③労働時間!$J$5:$J$353))</f>
        <v>0</v>
      </c>
      <c r="S9" s="379">
        <f>SUMPRODUCT((③労働時間!$A$5:$A$353=作業体系表!$B9)*(③労働時間!$B$5:$B$353="6月上旬")*(③労働時間!$J$5:$J$353))</f>
        <v>0</v>
      </c>
      <c r="T9" s="379">
        <f>SUMPRODUCT((③労働時間!$A$5:$A$353=作業体系表!$B9)*(③労働時間!$B$5:$B$353="6月中旬")*(③労働時間!$J$5:$J$353))</f>
        <v>0</v>
      </c>
      <c r="U9" s="379">
        <f>SUMPRODUCT((③労働時間!$A$5:$A$353=作業体系表!$B9)*(③労働時間!$B$5:$B$353="6月下旬")*(③労働時間!$J$5:$J$353))</f>
        <v>0</v>
      </c>
      <c r="V9" s="379">
        <f>SUMPRODUCT((③労働時間!$A$5:$A$353=作業体系表!$B9)*(③労働時間!$B$5:$B$353="7月上旬")*(③労働時間!$J$5:$J$353))</f>
        <v>0</v>
      </c>
      <c r="W9" s="379">
        <f>SUMPRODUCT((③労働時間!$A$5:$A$353=作業体系表!$B9)*(③労働時間!$B$5:$B$353="7月中旬")*(③労働時間!$J$5:$J$353))</f>
        <v>0</v>
      </c>
      <c r="X9" s="379">
        <f>SUMPRODUCT((③労働時間!$A$5:$A$353=作業体系表!$B9)*(③労働時間!$B$5:$B$353="7月下旬")*(③労働時間!$J$5:$J$353))</f>
        <v>0</v>
      </c>
      <c r="Y9" s="379">
        <f>SUMPRODUCT((③労働時間!$A$5:$A$353=作業体系表!$B9)*(③労働時間!$B$5:$B$353="8月上旬")*(③労働時間!$J$5:$J$353))</f>
        <v>0</v>
      </c>
      <c r="Z9" s="379">
        <f>SUMPRODUCT((③労働時間!$A$5:$A$353=作業体系表!$B9)*(③労働時間!$B$5:$B$353="8月中旬")*(③労働時間!$J$5:$J$353))</f>
        <v>0</v>
      </c>
      <c r="AA9" s="379">
        <f>SUMPRODUCT((③労働時間!$A$5:$A$353=作業体系表!$B9)*(③労働時間!$B$5:$B$353="8月下旬")*(③労働時間!$J$5:$J$353))</f>
        <v>0</v>
      </c>
      <c r="AB9" s="380">
        <f>SUMPRODUCT((③労働時間!$A$5:$A$353=作業体系表!$B9)*(③労働時間!$B$5:$B$353="9月上旬")*(③労働時間!$J$5:$J$353))</f>
        <v>0</v>
      </c>
      <c r="AC9" s="379">
        <f>SUMPRODUCT((③労働時間!$A$5:$A$353=作業体系表!$B9)*(③労働時間!$B$5:$B$353="9月中旬")*(③労働時間!$J$5:$J$353))</f>
        <v>0</v>
      </c>
      <c r="AD9" s="379">
        <f>SUMPRODUCT((③労働時間!$A$5:$A$353=作業体系表!$B9)*(③労働時間!$B$5:$B$353="9月下旬")*(③労働時間!$J$5:$J$353))</f>
        <v>0</v>
      </c>
      <c r="AE9" s="379">
        <f>SUMPRODUCT((③労働時間!$A$5:$A$353=作業体系表!$B9)*(③労働時間!$B$5:$B$353="10月上旬")*(③労働時間!$J$5:$J$353))</f>
        <v>0</v>
      </c>
      <c r="AF9" s="379">
        <f>SUMPRODUCT((③労働時間!$A$5:$A$353=作業体系表!$B9)*(③労働時間!$B$5:$B$353="10月中旬")*(③労働時間!$J$5:$J$353))</f>
        <v>0</v>
      </c>
      <c r="AG9" s="379">
        <f>SUMPRODUCT((③労働時間!$A$5:$A$353=作業体系表!$B9)*(③労働時間!$B$5:$B$353="10月下旬")*(③労働時間!$J$5:$J$353))</f>
        <v>0</v>
      </c>
      <c r="AH9" s="379">
        <f>SUMPRODUCT((③労働時間!$A$5:$A$353=作業体系表!$B9)*(③労働時間!$B$5:$B$353="11月上旬")*(③労働時間!$J$5:$J$353))</f>
        <v>0</v>
      </c>
      <c r="AI9" s="379">
        <f>SUMPRODUCT((③労働時間!$A$5:$A$353=作業体系表!$B9)*(③労働時間!$B$5:$B$353="11月中旬")*(③労働時間!$J$5:$J$353))</f>
        <v>0</v>
      </c>
      <c r="AJ9" s="379">
        <f>SUMPRODUCT((③労働時間!$A$5:$A$353=作業体系表!$B9)*(③労働時間!$B$5:$B$353="11月下旬")*(③労働時間!$J$5:$J$353))</f>
        <v>0</v>
      </c>
      <c r="AK9" s="379">
        <f>SUMPRODUCT((③労働時間!$A$5:$A$353=作業体系表!$B9)*(③労働時間!$B$5:$B$353="12月上旬")*(③労働時間!$J$5:$J$353))</f>
        <v>0</v>
      </c>
      <c r="AL9" s="379">
        <f>SUMPRODUCT((③労働時間!$A$5:$A$353=作業体系表!$B9)*(③労働時間!$B$5:$B$353="12月中旬")*(③労働時間!$J$5:$J$353))</f>
        <v>0</v>
      </c>
      <c r="AM9" s="381">
        <f>SUMPRODUCT((③労働時間!$A$5:$A$353=作業体系表!$B9)*(③労働時間!$B$5:$B$353="12月下旬")*(③労働時間!$J$5:$J$353))</f>
        <v>0</v>
      </c>
      <c r="AN9" s="382">
        <f>SUM(D9:AM9)</f>
        <v>0.2</v>
      </c>
      <c r="AP9" s="10"/>
      <c r="AQ9" s="10"/>
      <c r="AR9" s="10"/>
    </row>
    <row r="10" spans="2:44" ht="15" customHeight="1">
      <c r="B10" s="737" t="str">
        <f>①技術体系!A7</f>
        <v>放牧馴致</v>
      </c>
      <c r="C10" s="738"/>
      <c r="D10" s="383">
        <f>SUMPRODUCT((③労働時間!$A$5:$A$353=作業体系表!$B10)*(③労働時間!$B$5:$B$353="1月上旬")*(③労働時間!$J$5:$J$353))</f>
        <v>0</v>
      </c>
      <c r="E10" s="383">
        <f>SUMPRODUCT((③労働時間!$A$5:$A$353=作業体系表!$B10)*(③労働時間!$B$5:$B$353="1月中旬")*(③労働時間!$J$5:$J$353))</f>
        <v>0</v>
      </c>
      <c r="F10" s="383">
        <f>SUMPRODUCT((③労働時間!$A$5:$A$353=作業体系表!$B10)*(③労働時間!$B$5:$B$353="1月下旬")*(③労働時間!$J$5:$J$353))</f>
        <v>0</v>
      </c>
      <c r="G10" s="383">
        <f>SUMPRODUCT((③労働時間!$A$5:$A$353=作業体系表!$B10)*(③労働時間!$B$5:$B$353="2月上旬")*(③労働時間!$J$5:$J$353))</f>
        <v>0</v>
      </c>
      <c r="H10" s="383">
        <f>SUMPRODUCT((③労働時間!$A$5:$A$353=作業体系表!$B10)*(③労働時間!$B$5:$B$353="2月中旬")*(③労働時間!$J$5:$J$353))</f>
        <v>0</v>
      </c>
      <c r="I10" s="383">
        <f>SUMPRODUCT((③労働時間!$A$5:$A$353=作業体系表!$B10)*(③労働時間!$B$5:$B$353="2月下旬")*(③労働時間!$J$5:$J$353))</f>
        <v>0</v>
      </c>
      <c r="J10" s="383">
        <f>SUMPRODUCT((③労働時間!$A$5:$A$353=作業体系表!$B10)*(③労働時間!$B$5:$B$353="3月上旬")*(③労働時間!$J$5:$J$353))</f>
        <v>0</v>
      </c>
      <c r="K10" s="383">
        <f>SUMPRODUCT((③労働時間!$A$5:$A$353=作業体系表!$B10)*(③労働時間!$B$5:$B$353="3月中旬")*(③労働時間!$J$5:$J$353))</f>
        <v>0</v>
      </c>
      <c r="L10" s="383">
        <f>SUMPRODUCT((③労働時間!$A$5:$A$353=作業体系表!$B10)*(③労働時間!$B$5:$B$353="3月下旬")*(③労働時間!$J$5:$J$353))</f>
        <v>0</v>
      </c>
      <c r="M10" s="383">
        <f>SUMPRODUCT((③労働時間!$A$5:$A$353=作業体系表!$B10)*(③労働時間!$B$5:$B$353="4月上旬")*(③労働時間!$J$5:$J$353))</f>
        <v>0</v>
      </c>
      <c r="N10" s="383">
        <f>SUMPRODUCT((③労働時間!$A$5:$A$353=作業体系表!$B10)*(③労働時間!$B$5:$B$353="4月中旬")*(③労働時間!$J$5:$J$353))</f>
        <v>0</v>
      </c>
      <c r="O10" s="383">
        <f>SUMPRODUCT((③労働時間!$A$5:$A$353=作業体系表!$B10)*(③労働時間!$B$5:$B$353="4月下旬")*(③労働時間!$J$5:$J$353))</f>
        <v>0</v>
      </c>
      <c r="P10" s="384">
        <f>SUMPRODUCT((③労働時間!$A$5:$A$353=作業体系表!$B10)*(③労働時間!$B$5:$B$353="5月上旬")*(③労働時間!$J$5:$J$353))</f>
        <v>0</v>
      </c>
      <c r="Q10" s="383">
        <f>SUMPRODUCT((③労働時間!$A$5:$A$353=作業体系表!$B10)*(③労働時間!$B$5:$B$353="5月中旬")*(③労働時間!$J$5:$J$353))</f>
        <v>0</v>
      </c>
      <c r="R10" s="383">
        <f>SUMPRODUCT((③労働時間!$A$5:$A$353=作業体系表!$B10)*(③労働時間!$B$5:$B$353="5月下旬")*(③労働時間!$J$5:$J$353))</f>
        <v>0</v>
      </c>
      <c r="S10" s="383">
        <f>SUMPRODUCT((③労働時間!$A$5:$A$353=作業体系表!$B10)*(③労働時間!$B$5:$B$353="6月上旬")*(③労働時間!$J$5:$J$353))</f>
        <v>0</v>
      </c>
      <c r="T10" s="383">
        <f>SUMPRODUCT((③労働時間!$A$5:$A$353=作業体系表!$B10)*(③労働時間!$B$5:$B$353="6月中旬")*(③労働時間!$J$5:$J$353))</f>
        <v>0</v>
      </c>
      <c r="U10" s="383">
        <f>SUMPRODUCT((③労働時間!$A$5:$A$353=作業体系表!$B10)*(③労働時間!$B$5:$B$353="6月下旬")*(③労働時間!$J$5:$J$353))</f>
        <v>0</v>
      </c>
      <c r="V10" s="383">
        <f>SUMPRODUCT((③労働時間!$A$5:$A$353=作業体系表!$B10)*(③労働時間!$B$5:$B$353="7月上旬")*(③労働時間!$J$5:$J$353))</f>
        <v>0</v>
      </c>
      <c r="W10" s="383">
        <f>SUMPRODUCT((③労働時間!$A$5:$A$353=作業体系表!$B10)*(③労働時間!$B$5:$B$353="7月中旬")*(③労働時間!$J$5:$J$353))</f>
        <v>0</v>
      </c>
      <c r="X10" s="383">
        <f>SUMPRODUCT((③労働時間!$A$5:$A$353=作業体系表!$B10)*(③労働時間!$B$5:$B$353="7月下旬")*(③労働時間!$J$5:$J$353))</f>
        <v>0</v>
      </c>
      <c r="Y10" s="383">
        <f>SUMPRODUCT((③労働時間!$A$5:$A$353=作業体系表!$B10)*(③労働時間!$B$5:$B$353="8月上旬")*(③労働時間!$J$5:$J$353))</f>
        <v>0</v>
      </c>
      <c r="Z10" s="383">
        <f>SUMPRODUCT((③労働時間!$A$5:$A$353=作業体系表!$B10)*(③労働時間!$B$5:$B$353="8月中旬")*(③労働時間!$J$5:$J$353))</f>
        <v>0</v>
      </c>
      <c r="AA10" s="383">
        <f>SUMPRODUCT((③労働時間!$A$5:$A$353=作業体系表!$B10)*(③労働時間!$B$5:$B$353="8月下旬")*(③労働時間!$J$5:$J$353))</f>
        <v>0</v>
      </c>
      <c r="AB10" s="384">
        <f>SUMPRODUCT((③労働時間!$A$5:$A$353=作業体系表!$B10)*(③労働時間!$B$5:$B$353="9月上旬")*(③労働時間!$J$5:$J$353))</f>
        <v>0</v>
      </c>
      <c r="AC10" s="383">
        <f>SUMPRODUCT((③労働時間!$A$5:$A$353=作業体系表!$B10)*(③労働時間!$B$5:$B$353="9月中旬")*(③労働時間!$J$5:$J$353))</f>
        <v>0</v>
      </c>
      <c r="AD10" s="383">
        <f>SUMPRODUCT((③労働時間!$A$5:$A$353=作業体系表!$B10)*(③労働時間!$B$5:$B$353="9月下旬")*(③労働時間!$J$5:$J$353))</f>
        <v>0</v>
      </c>
      <c r="AE10" s="383">
        <f>SUMPRODUCT((③労働時間!$A$5:$A$353=作業体系表!$B10)*(③労働時間!$B$5:$B$353="10月上旬")*(③労働時間!$J$5:$J$353))</f>
        <v>0</v>
      </c>
      <c r="AF10" s="383">
        <f>SUMPRODUCT((③労働時間!$A$5:$A$353=作業体系表!$B10)*(③労働時間!$B$5:$B$353="10月中旬")*(③労働時間!$J$5:$J$353))</f>
        <v>0</v>
      </c>
      <c r="AG10" s="383">
        <f>SUMPRODUCT((③労働時間!$A$5:$A$353=作業体系表!$B10)*(③労働時間!$B$5:$B$353="10月下旬")*(③労働時間!$J$5:$J$353))</f>
        <v>0</v>
      </c>
      <c r="AH10" s="383">
        <f>SUMPRODUCT((③労働時間!$A$5:$A$353=作業体系表!$B10)*(③労働時間!$B$5:$B$353="11月上旬")*(③労働時間!$J$5:$J$353))</f>
        <v>0</v>
      </c>
      <c r="AI10" s="383">
        <f>SUMPRODUCT((③労働時間!$A$5:$A$353=作業体系表!$B10)*(③労働時間!$B$5:$B$353="11月中旬")*(③労働時間!$J$5:$J$353))</f>
        <v>0</v>
      </c>
      <c r="AJ10" s="383">
        <f>SUMPRODUCT((③労働時間!$A$5:$A$353=作業体系表!$B10)*(③労働時間!$B$5:$B$353="11月下旬")*(③労働時間!$J$5:$J$353))</f>
        <v>0</v>
      </c>
      <c r="AK10" s="383">
        <f>SUMPRODUCT((③労働時間!$A$5:$A$353=作業体系表!$B10)*(③労働時間!$B$5:$B$353="12月上旬")*(③労働時間!$J$5:$J$353))</f>
        <v>0</v>
      </c>
      <c r="AL10" s="383">
        <f>SUMPRODUCT((③労働時間!$A$5:$A$353=作業体系表!$B10)*(③労働時間!$B$5:$B$353="12月中旬")*(③労働時間!$J$5:$J$353))</f>
        <v>0</v>
      </c>
      <c r="AM10" s="385">
        <f>SUMPRODUCT((③労働時間!$A$5:$A$353=作業体系表!$B10)*(③労働時間!$B$5:$B$353="12月下旬")*(③労働時間!$J$5:$J$353))</f>
        <v>0</v>
      </c>
      <c r="AN10" s="386">
        <f t="shared" ref="AN10:AN28" si="0">SUM(D10:AM10)</f>
        <v>0</v>
      </c>
      <c r="AP10" s="10"/>
      <c r="AQ10" s="10"/>
      <c r="AR10" s="10"/>
    </row>
    <row r="11" spans="2:44" ht="15" customHeight="1">
      <c r="B11" s="737" t="str">
        <f>①技術体系!A8</f>
        <v>下草刈り</v>
      </c>
      <c r="C11" s="738"/>
      <c r="D11" s="383">
        <f>SUMPRODUCT((③労働時間!$A$5:$A$353=作業体系表!$B11)*(③労働時間!$B$5:$B$353="1月上旬")*(③労働時間!$J$5:$J$353))</f>
        <v>0</v>
      </c>
      <c r="E11" s="383">
        <f>SUMPRODUCT((③労働時間!$A$5:$A$353=作業体系表!$B11)*(③労働時間!$B$5:$B$353="1月中旬")*(③労働時間!$J$5:$J$353))</f>
        <v>0</v>
      </c>
      <c r="F11" s="383">
        <f>SUMPRODUCT((③労働時間!$A$5:$A$353=作業体系表!$B11)*(③労働時間!$B$5:$B$353="1月下旬")*(③労働時間!$J$5:$J$353))</f>
        <v>0</v>
      </c>
      <c r="G11" s="383">
        <f>SUMPRODUCT((③労働時間!$A$5:$A$353=作業体系表!$B11)*(③労働時間!$B$5:$B$353="2月上旬")*(③労働時間!$J$5:$J$353))</f>
        <v>0</v>
      </c>
      <c r="H11" s="383">
        <f>SUMPRODUCT((③労働時間!$A$5:$A$353=作業体系表!$B11)*(③労働時間!$B$5:$B$353="2月中旬")*(③労働時間!$J$5:$J$353))</f>
        <v>0</v>
      </c>
      <c r="I11" s="383">
        <f>SUMPRODUCT((③労働時間!$A$5:$A$353=作業体系表!$B11)*(③労働時間!$B$5:$B$353="2月下旬")*(③労働時間!$J$5:$J$353))</f>
        <v>0</v>
      </c>
      <c r="J11" s="383">
        <f>SUMPRODUCT((③労働時間!$A$5:$A$353=作業体系表!$B11)*(③労働時間!$B$5:$B$353="3月上旬")*(③労働時間!$J$5:$J$353))</f>
        <v>0</v>
      </c>
      <c r="K11" s="383">
        <f>SUMPRODUCT((③労働時間!$A$5:$A$353=作業体系表!$B11)*(③労働時間!$B$5:$B$353="3月中旬")*(③労働時間!$J$5:$J$353))</f>
        <v>0</v>
      </c>
      <c r="L11" s="383">
        <f>SUMPRODUCT((③労働時間!$A$5:$A$353=作業体系表!$B11)*(③労働時間!$B$5:$B$353="3月下旬")*(③労働時間!$J$5:$J$353))</f>
        <v>0</v>
      </c>
      <c r="M11" s="383">
        <f>SUMPRODUCT((③労働時間!$A$5:$A$353=作業体系表!$B11)*(③労働時間!$B$5:$B$353="4月上旬")*(③労働時間!$J$5:$J$353))</f>
        <v>0</v>
      </c>
      <c r="N11" s="383">
        <f>SUMPRODUCT((③労働時間!$A$5:$A$353=作業体系表!$B11)*(③労働時間!$B$5:$B$353="4月中旬")*(③労働時間!$J$5:$J$353))</f>
        <v>0</v>
      </c>
      <c r="O11" s="383">
        <f>SUMPRODUCT((③労働時間!$A$5:$A$353=作業体系表!$B11)*(③労働時間!$B$5:$B$353="4月下旬")*(③労働時間!$J$5:$J$353))</f>
        <v>0</v>
      </c>
      <c r="P11" s="384">
        <f>SUMPRODUCT((③労働時間!$A$5:$A$353=作業体系表!$B11)*(③労働時間!$B$5:$B$353="5月上旬")*(③労働時間!$J$5:$J$353))</f>
        <v>0</v>
      </c>
      <c r="Q11" s="383">
        <f>SUMPRODUCT((③労働時間!$A$5:$A$353=作業体系表!$B11)*(③労働時間!$B$5:$B$353="5月中旬")*(③労働時間!$J$5:$J$353))</f>
        <v>0.40000640010240168</v>
      </c>
      <c r="R11" s="383">
        <f>SUMPRODUCT((③労働時間!$A$5:$A$353=作業体系表!$B11)*(③労働時間!$B$5:$B$353="5月下旬")*(③労働時間!$J$5:$J$353))</f>
        <v>0</v>
      </c>
      <c r="S11" s="383">
        <f>SUMPRODUCT((③労働時間!$A$5:$A$353=作業体系表!$B11)*(③労働時間!$B$5:$B$353="6月上旬")*(③労働時間!$J$5:$J$353))</f>
        <v>0</v>
      </c>
      <c r="T11" s="383">
        <f>SUMPRODUCT((③労働時間!$A$5:$A$353=作業体系表!$B11)*(③労働時間!$B$5:$B$353="6月中旬")*(③労働時間!$J$5:$J$353))</f>
        <v>0</v>
      </c>
      <c r="U11" s="383">
        <f>SUMPRODUCT((③労働時間!$A$5:$A$353=作業体系表!$B11)*(③労働時間!$B$5:$B$353="6月下旬")*(③労働時間!$J$5:$J$353))</f>
        <v>0</v>
      </c>
      <c r="V11" s="383">
        <f>SUMPRODUCT((③労働時間!$A$5:$A$353=作業体系表!$B11)*(③労働時間!$B$5:$B$353="7月上旬")*(③労働時間!$J$5:$J$353))</f>
        <v>0</v>
      </c>
      <c r="W11" s="383">
        <f>SUMPRODUCT((③労働時間!$A$5:$A$353=作業体系表!$B11)*(③労働時間!$B$5:$B$353="7月中旬")*(③労働時間!$J$5:$J$353))</f>
        <v>0</v>
      </c>
      <c r="X11" s="383">
        <f>SUMPRODUCT((③労働時間!$A$5:$A$353=作業体系表!$B11)*(③労働時間!$B$5:$B$353="7月下旬")*(③労働時間!$J$5:$J$353))</f>
        <v>0</v>
      </c>
      <c r="Y11" s="383">
        <f>SUMPRODUCT((③労働時間!$A$5:$A$353=作業体系表!$B11)*(③労働時間!$B$5:$B$353="8月上旬")*(③労働時間!$J$5:$J$353))</f>
        <v>0</v>
      </c>
      <c r="Z11" s="383">
        <f>SUMPRODUCT((③労働時間!$A$5:$A$353=作業体系表!$B11)*(③労働時間!$B$5:$B$353="8月中旬")*(③労働時間!$J$5:$J$353))</f>
        <v>0</v>
      </c>
      <c r="AA11" s="383">
        <f>SUMPRODUCT((③労働時間!$A$5:$A$353=作業体系表!$B11)*(③労働時間!$B$5:$B$353="8月下旬")*(③労働時間!$J$5:$J$353))</f>
        <v>0</v>
      </c>
      <c r="AB11" s="384">
        <f>SUMPRODUCT((③労働時間!$A$5:$A$353=作業体系表!$B11)*(③労働時間!$B$5:$B$353="9月上旬")*(③労働時間!$J$5:$J$353))</f>
        <v>0</v>
      </c>
      <c r="AC11" s="383">
        <f>SUMPRODUCT((③労働時間!$A$5:$A$353=作業体系表!$B11)*(③労働時間!$B$5:$B$353="9月中旬")*(③労働時間!$J$5:$J$353))</f>
        <v>0</v>
      </c>
      <c r="AD11" s="383">
        <f>SUMPRODUCT((③労働時間!$A$5:$A$353=作業体系表!$B11)*(③労働時間!$B$5:$B$353="9月下旬")*(③労働時間!$J$5:$J$353))</f>
        <v>0</v>
      </c>
      <c r="AE11" s="383">
        <f>SUMPRODUCT((③労働時間!$A$5:$A$353=作業体系表!$B11)*(③労働時間!$B$5:$B$353="10月上旬")*(③労働時間!$J$5:$J$353))</f>
        <v>0</v>
      </c>
      <c r="AF11" s="383">
        <f>SUMPRODUCT((③労働時間!$A$5:$A$353=作業体系表!$B11)*(③労働時間!$B$5:$B$353="10月中旬")*(③労働時間!$J$5:$J$353))</f>
        <v>0</v>
      </c>
      <c r="AG11" s="383">
        <f>SUMPRODUCT((③労働時間!$A$5:$A$353=作業体系表!$B11)*(③労働時間!$B$5:$B$353="10月下旬")*(③労働時間!$J$5:$J$353))</f>
        <v>0</v>
      </c>
      <c r="AH11" s="383">
        <f>SUMPRODUCT((③労働時間!$A$5:$A$353=作業体系表!$B11)*(③労働時間!$B$5:$B$353="11月上旬")*(③労働時間!$J$5:$J$353))</f>
        <v>0</v>
      </c>
      <c r="AI11" s="383">
        <f>SUMPRODUCT((③労働時間!$A$5:$A$353=作業体系表!$B11)*(③労働時間!$B$5:$B$353="11月中旬")*(③労働時間!$J$5:$J$353))</f>
        <v>0</v>
      </c>
      <c r="AJ11" s="383">
        <f>SUMPRODUCT((③労働時間!$A$5:$A$353=作業体系表!$B11)*(③労働時間!$B$5:$B$353="11月下旬")*(③労働時間!$J$5:$J$353))</f>
        <v>0</v>
      </c>
      <c r="AK11" s="383">
        <f>SUMPRODUCT((③労働時間!$A$5:$A$353=作業体系表!$B11)*(③労働時間!$B$5:$B$353="12月上旬")*(③労働時間!$J$5:$J$353))</f>
        <v>0</v>
      </c>
      <c r="AL11" s="383">
        <f>SUMPRODUCT((③労働時間!$A$5:$A$353=作業体系表!$B11)*(③労働時間!$B$5:$B$353="12月中旬")*(③労働時間!$J$5:$J$353))</f>
        <v>0</v>
      </c>
      <c r="AM11" s="385">
        <f>SUMPRODUCT((③労働時間!$A$5:$A$353=作業体系表!$B11)*(③労働時間!$B$5:$B$353="12月下旬")*(③労働時間!$J$5:$J$353))</f>
        <v>0</v>
      </c>
      <c r="AN11" s="386">
        <f t="shared" si="0"/>
        <v>0.40000640010240168</v>
      </c>
      <c r="AP11" s="10"/>
      <c r="AQ11" s="10"/>
      <c r="AR11" s="10"/>
    </row>
    <row r="12" spans="2:44" ht="15" customHeight="1">
      <c r="B12" s="737" t="str">
        <f>①技術体系!A9</f>
        <v>放牧施設設置</v>
      </c>
      <c r="C12" s="738"/>
      <c r="D12" s="383">
        <f>SUMPRODUCT((③労働時間!$A$5:$A$353=作業体系表!$B12)*(③労働時間!$B$5:$B$353="1月上旬")*(③労働時間!$J$5:$J$353))</f>
        <v>0</v>
      </c>
      <c r="E12" s="383">
        <f>SUMPRODUCT((③労働時間!$A$5:$A$353=作業体系表!$B12)*(③労働時間!$B$5:$B$353="1月中旬")*(③労働時間!$J$5:$J$353))</f>
        <v>0</v>
      </c>
      <c r="F12" s="383">
        <f>SUMPRODUCT((③労働時間!$A$5:$A$353=作業体系表!$B12)*(③労働時間!$B$5:$B$353="1月下旬")*(③労働時間!$J$5:$J$353))</f>
        <v>0</v>
      </c>
      <c r="G12" s="383">
        <f>SUMPRODUCT((③労働時間!$A$5:$A$353=作業体系表!$B12)*(③労働時間!$B$5:$B$353="2月上旬")*(③労働時間!$J$5:$J$353))</f>
        <v>0</v>
      </c>
      <c r="H12" s="383">
        <f>SUMPRODUCT((③労働時間!$A$5:$A$353=作業体系表!$B12)*(③労働時間!$B$5:$B$353="2月中旬")*(③労働時間!$J$5:$J$353))</f>
        <v>0</v>
      </c>
      <c r="I12" s="383">
        <f>SUMPRODUCT((③労働時間!$A$5:$A$353=作業体系表!$B12)*(③労働時間!$B$5:$B$353="2月下旬")*(③労働時間!$J$5:$J$353))</f>
        <v>0</v>
      </c>
      <c r="J12" s="383">
        <f>SUMPRODUCT((③労働時間!$A$5:$A$353=作業体系表!$B12)*(③労働時間!$B$5:$B$353="3月上旬")*(③労働時間!$J$5:$J$353))</f>
        <v>0</v>
      </c>
      <c r="K12" s="383">
        <f>SUMPRODUCT((③労働時間!$A$5:$A$353=作業体系表!$B12)*(③労働時間!$B$5:$B$353="3月中旬")*(③労働時間!$J$5:$J$353))</f>
        <v>0</v>
      </c>
      <c r="L12" s="383">
        <f>SUMPRODUCT((③労働時間!$A$5:$A$353=作業体系表!$B12)*(③労働時間!$B$5:$B$353="3月下旬")*(③労働時間!$J$5:$J$353))</f>
        <v>0</v>
      </c>
      <c r="M12" s="383">
        <f>SUMPRODUCT((③労働時間!$A$5:$A$353=作業体系表!$B12)*(③労働時間!$B$5:$B$353="4月上旬")*(③労働時間!$J$5:$J$353))</f>
        <v>0</v>
      </c>
      <c r="N12" s="383">
        <f>SUMPRODUCT((③労働時間!$A$5:$A$353=作業体系表!$B12)*(③労働時間!$B$5:$B$353="4月中旬")*(③労働時間!$J$5:$J$353))</f>
        <v>0</v>
      </c>
      <c r="O12" s="383">
        <f>SUMPRODUCT((③労働時間!$A$5:$A$353=作業体系表!$B12)*(③労働時間!$B$5:$B$353="4月下旬")*(③労働時間!$J$5:$J$353))</f>
        <v>0</v>
      </c>
      <c r="P12" s="384">
        <f>SUMPRODUCT((③労働時間!$A$5:$A$353=作業体系表!$B12)*(③労働時間!$B$5:$B$353="5月上旬")*(③労働時間!$J$5:$J$353))</f>
        <v>0</v>
      </c>
      <c r="Q12" s="383">
        <f>SUMPRODUCT((③労働時間!$A$5:$A$353=作業体系表!$B12)*(③労働時間!$B$5:$B$353="5月中旬")*(③労働時間!$J$5:$J$353))</f>
        <v>1</v>
      </c>
      <c r="R12" s="383">
        <f>SUMPRODUCT((③労働時間!$A$5:$A$353=作業体系表!$B12)*(③労働時間!$B$5:$B$353="5月下旬")*(③労働時間!$J$5:$J$353))</f>
        <v>0</v>
      </c>
      <c r="S12" s="383">
        <f>SUMPRODUCT((③労働時間!$A$5:$A$353=作業体系表!$B12)*(③労働時間!$B$5:$B$353="6月上旬")*(③労働時間!$J$5:$J$353))</f>
        <v>0</v>
      </c>
      <c r="T12" s="383">
        <f>SUMPRODUCT((③労働時間!$A$5:$A$353=作業体系表!$B12)*(③労働時間!$B$5:$B$353="6月中旬")*(③労働時間!$J$5:$J$353))</f>
        <v>0</v>
      </c>
      <c r="U12" s="383">
        <f>SUMPRODUCT((③労働時間!$A$5:$A$353=作業体系表!$B12)*(③労働時間!$B$5:$B$353="6月下旬")*(③労働時間!$J$5:$J$353))</f>
        <v>0</v>
      </c>
      <c r="V12" s="383">
        <f>SUMPRODUCT((③労働時間!$A$5:$A$353=作業体系表!$B12)*(③労働時間!$B$5:$B$353="7月上旬")*(③労働時間!$J$5:$J$353))</f>
        <v>0</v>
      </c>
      <c r="W12" s="383">
        <f>SUMPRODUCT((③労働時間!$A$5:$A$353=作業体系表!$B12)*(③労働時間!$B$5:$B$353="7月中旬")*(③労働時間!$J$5:$J$353))</f>
        <v>0</v>
      </c>
      <c r="X12" s="383">
        <f>SUMPRODUCT((③労働時間!$A$5:$A$353=作業体系表!$B12)*(③労働時間!$B$5:$B$353="7月下旬")*(③労働時間!$J$5:$J$353))</f>
        <v>0</v>
      </c>
      <c r="Y12" s="383">
        <f>SUMPRODUCT((③労働時間!$A$5:$A$353=作業体系表!$B12)*(③労働時間!$B$5:$B$353="8月上旬")*(③労働時間!$J$5:$J$353))</f>
        <v>0</v>
      </c>
      <c r="Z12" s="383">
        <f>SUMPRODUCT((③労働時間!$A$5:$A$353=作業体系表!$B12)*(③労働時間!$B$5:$B$353="8月中旬")*(③労働時間!$J$5:$J$353))</f>
        <v>0</v>
      </c>
      <c r="AA12" s="383">
        <f>SUMPRODUCT((③労働時間!$A$5:$A$353=作業体系表!$B12)*(③労働時間!$B$5:$B$353="8月下旬")*(③労働時間!$J$5:$J$353))</f>
        <v>0</v>
      </c>
      <c r="AB12" s="384">
        <f>SUMPRODUCT((③労働時間!$A$5:$A$353=作業体系表!$B12)*(③労働時間!$B$5:$B$353="9月上旬")*(③労働時間!$J$5:$J$353))</f>
        <v>0</v>
      </c>
      <c r="AC12" s="383">
        <f>SUMPRODUCT((③労働時間!$A$5:$A$353=作業体系表!$B12)*(③労働時間!$B$5:$B$353="9月中旬")*(③労働時間!$J$5:$J$353))</f>
        <v>0</v>
      </c>
      <c r="AD12" s="383">
        <f>SUMPRODUCT((③労働時間!$A$5:$A$353=作業体系表!$B12)*(③労働時間!$B$5:$B$353="9月下旬")*(③労働時間!$J$5:$J$353))</f>
        <v>0</v>
      </c>
      <c r="AE12" s="383">
        <f>SUMPRODUCT((③労働時間!$A$5:$A$353=作業体系表!$B12)*(③労働時間!$B$5:$B$353="10月上旬")*(③労働時間!$J$5:$J$353))</f>
        <v>0</v>
      </c>
      <c r="AF12" s="383">
        <f>SUMPRODUCT((③労働時間!$A$5:$A$353=作業体系表!$B12)*(③労働時間!$B$5:$B$353="10月中旬")*(③労働時間!$J$5:$J$353))</f>
        <v>0</v>
      </c>
      <c r="AG12" s="383">
        <f>SUMPRODUCT((③労働時間!$A$5:$A$353=作業体系表!$B12)*(③労働時間!$B$5:$B$353="10月下旬")*(③労働時間!$J$5:$J$353))</f>
        <v>0</v>
      </c>
      <c r="AH12" s="383">
        <f>SUMPRODUCT((③労働時間!$A$5:$A$353=作業体系表!$B12)*(③労働時間!$B$5:$B$353="11月上旬")*(③労働時間!$J$5:$J$353))</f>
        <v>0</v>
      </c>
      <c r="AI12" s="383">
        <f>SUMPRODUCT((③労働時間!$A$5:$A$353=作業体系表!$B12)*(③労働時間!$B$5:$B$353="11月中旬")*(③労働時間!$J$5:$J$353))</f>
        <v>0</v>
      </c>
      <c r="AJ12" s="383">
        <f>SUMPRODUCT((③労働時間!$A$5:$A$353=作業体系表!$B12)*(③労働時間!$B$5:$B$353="11月下旬")*(③労働時間!$J$5:$J$353))</f>
        <v>0</v>
      </c>
      <c r="AK12" s="383">
        <f>SUMPRODUCT((③労働時間!$A$5:$A$353=作業体系表!$B12)*(③労働時間!$B$5:$B$353="12月上旬")*(③労働時間!$J$5:$J$353))</f>
        <v>0</v>
      </c>
      <c r="AL12" s="383">
        <f>SUMPRODUCT((③労働時間!$A$5:$A$353=作業体系表!$B12)*(③労働時間!$B$5:$B$353="12月中旬")*(③労働時間!$J$5:$J$353))</f>
        <v>0</v>
      </c>
      <c r="AM12" s="385">
        <f>SUMPRODUCT((③労働時間!$A$5:$A$353=作業体系表!$B12)*(③労働時間!$B$5:$B$353="12月下旬")*(③労働時間!$J$5:$J$353))</f>
        <v>0</v>
      </c>
      <c r="AN12" s="386">
        <f t="shared" si="0"/>
        <v>1</v>
      </c>
    </row>
    <row r="13" spans="2:44" ht="15" customHeight="1">
      <c r="B13" s="737" t="str">
        <f>①技術体系!A10</f>
        <v>入牧(牧区１)</v>
      </c>
      <c r="C13" s="738"/>
      <c r="D13" s="383">
        <f>SUMPRODUCT((③労働時間!$A$5:$A$353=作業体系表!$B13)*(③労働時間!$B$5:$B$353="1月上旬")*(③労働時間!$J$5:$J$353))</f>
        <v>0</v>
      </c>
      <c r="E13" s="383">
        <f>SUMPRODUCT((③労働時間!$A$5:$A$353=作業体系表!$B13)*(③労働時間!$B$5:$B$353="1月中旬")*(③労働時間!$J$5:$J$353))</f>
        <v>0</v>
      </c>
      <c r="F13" s="383">
        <f>SUMPRODUCT((③労働時間!$A$5:$A$353=作業体系表!$B13)*(③労働時間!$B$5:$B$353="1月下旬")*(③労働時間!$J$5:$J$353))</f>
        <v>0</v>
      </c>
      <c r="G13" s="383">
        <f>SUMPRODUCT((③労働時間!$A$5:$A$353=作業体系表!$B13)*(③労働時間!$B$5:$B$353="2月上旬")*(③労働時間!$J$5:$J$353))</f>
        <v>0</v>
      </c>
      <c r="H13" s="383">
        <f>SUMPRODUCT((③労働時間!$A$5:$A$353=作業体系表!$B13)*(③労働時間!$B$5:$B$353="2月中旬")*(③労働時間!$J$5:$J$353))</f>
        <v>0</v>
      </c>
      <c r="I13" s="383">
        <f>SUMPRODUCT((③労働時間!$A$5:$A$353=作業体系表!$B13)*(③労働時間!$B$5:$B$353="2月下旬")*(③労働時間!$J$5:$J$353))</f>
        <v>0</v>
      </c>
      <c r="J13" s="383">
        <f>SUMPRODUCT((③労働時間!$A$5:$A$353=作業体系表!$B13)*(③労働時間!$B$5:$B$353="3月上旬")*(③労働時間!$J$5:$J$353))</f>
        <v>0</v>
      </c>
      <c r="K13" s="383">
        <f>SUMPRODUCT((③労働時間!$A$5:$A$353=作業体系表!$B13)*(③労働時間!$B$5:$B$353="3月中旬")*(③労働時間!$J$5:$J$353))</f>
        <v>0</v>
      </c>
      <c r="L13" s="383">
        <f>SUMPRODUCT((③労働時間!$A$5:$A$353=作業体系表!$B13)*(③労働時間!$B$5:$B$353="3月下旬")*(③労働時間!$J$5:$J$353))</f>
        <v>0</v>
      </c>
      <c r="M13" s="383">
        <f>SUMPRODUCT((③労働時間!$A$5:$A$353=作業体系表!$B13)*(③労働時間!$B$5:$B$353="4月上旬")*(③労働時間!$J$5:$J$353))</f>
        <v>0</v>
      </c>
      <c r="N13" s="383">
        <f>SUMPRODUCT((③労働時間!$A$5:$A$353=作業体系表!$B13)*(③労働時間!$B$5:$B$353="4月中旬")*(③労働時間!$J$5:$J$353))</f>
        <v>0</v>
      </c>
      <c r="O13" s="383">
        <f>SUMPRODUCT((③労働時間!$A$5:$A$353=作業体系表!$B13)*(③労働時間!$B$5:$B$353="4月下旬")*(③労働時間!$J$5:$J$353))</f>
        <v>0</v>
      </c>
      <c r="P13" s="384">
        <f>SUMPRODUCT((③労働時間!$A$5:$A$353=作業体系表!$B13)*(③労働時間!$B$5:$B$353="5月上旬")*(③労働時間!$J$5:$J$353))</f>
        <v>0</v>
      </c>
      <c r="Q13" s="383">
        <f>SUMPRODUCT((③労働時間!$A$5:$A$353=作業体系表!$B13)*(③労働時間!$B$5:$B$353="5月中旬")*(③労働時間!$J$5:$J$353))</f>
        <v>0</v>
      </c>
      <c r="R13" s="383">
        <f>SUMPRODUCT((③労働時間!$A$5:$A$353=作業体系表!$B13)*(③労働時間!$B$5:$B$353="5月下旬")*(③労働時間!$J$5:$J$353))</f>
        <v>0.1</v>
      </c>
      <c r="S13" s="383">
        <f>SUMPRODUCT((③労働時間!$A$5:$A$353=作業体系表!$B13)*(③労働時間!$B$5:$B$353="6月上旬")*(③労働時間!$J$5:$J$353))</f>
        <v>0</v>
      </c>
      <c r="T13" s="383">
        <f>SUMPRODUCT((③労働時間!$A$5:$A$353=作業体系表!$B13)*(③労働時間!$B$5:$B$353="6月中旬")*(③労働時間!$J$5:$J$353))</f>
        <v>0</v>
      </c>
      <c r="U13" s="383">
        <f>SUMPRODUCT((③労働時間!$A$5:$A$353=作業体系表!$B13)*(③労働時間!$B$5:$B$353="6月下旬")*(③労働時間!$J$5:$J$353))</f>
        <v>0</v>
      </c>
      <c r="V13" s="383">
        <f>SUMPRODUCT((③労働時間!$A$5:$A$353=作業体系表!$B13)*(③労働時間!$B$5:$B$353="7月上旬")*(③労働時間!$J$5:$J$353))</f>
        <v>0</v>
      </c>
      <c r="W13" s="383">
        <f>SUMPRODUCT((③労働時間!$A$5:$A$353=作業体系表!$B13)*(③労働時間!$B$5:$B$353="7月中旬")*(③労働時間!$J$5:$J$353))</f>
        <v>0</v>
      </c>
      <c r="X13" s="383">
        <f>SUMPRODUCT((③労働時間!$A$5:$A$353=作業体系表!$B13)*(③労働時間!$B$5:$B$353="7月下旬")*(③労働時間!$J$5:$J$353))</f>
        <v>0</v>
      </c>
      <c r="Y13" s="383">
        <f>SUMPRODUCT((③労働時間!$A$5:$A$353=作業体系表!$B13)*(③労働時間!$B$5:$B$353="8月上旬")*(③労働時間!$J$5:$J$353))</f>
        <v>0</v>
      </c>
      <c r="Z13" s="383">
        <f>SUMPRODUCT((③労働時間!$A$5:$A$353=作業体系表!$B13)*(③労働時間!$B$5:$B$353="8月中旬")*(③労働時間!$J$5:$J$353))</f>
        <v>0</v>
      </c>
      <c r="AA13" s="383">
        <f>SUMPRODUCT((③労働時間!$A$5:$A$353=作業体系表!$B13)*(③労働時間!$B$5:$B$353="8月下旬")*(③労働時間!$J$5:$J$353))</f>
        <v>0</v>
      </c>
      <c r="AB13" s="384">
        <f>SUMPRODUCT((③労働時間!$A$5:$A$353=作業体系表!$B13)*(③労働時間!$B$5:$B$353="9月上旬")*(③労働時間!$J$5:$J$353))</f>
        <v>0</v>
      </c>
      <c r="AC13" s="383">
        <f>SUMPRODUCT((③労働時間!$A$5:$A$353=作業体系表!$B13)*(③労働時間!$B$5:$B$353="9月中旬")*(③労働時間!$J$5:$J$353))</f>
        <v>0</v>
      </c>
      <c r="AD13" s="383">
        <f>SUMPRODUCT((③労働時間!$A$5:$A$353=作業体系表!$B13)*(③労働時間!$B$5:$B$353="9月下旬")*(③労働時間!$J$5:$J$353))</f>
        <v>0</v>
      </c>
      <c r="AE13" s="383">
        <f>SUMPRODUCT((③労働時間!$A$5:$A$353=作業体系表!$B13)*(③労働時間!$B$5:$B$353="10月上旬")*(③労働時間!$J$5:$J$353))</f>
        <v>0</v>
      </c>
      <c r="AF13" s="383">
        <f>SUMPRODUCT((③労働時間!$A$5:$A$353=作業体系表!$B13)*(③労働時間!$B$5:$B$353="10月中旬")*(③労働時間!$J$5:$J$353))</f>
        <v>0</v>
      </c>
      <c r="AG13" s="383">
        <f>SUMPRODUCT((③労働時間!$A$5:$A$353=作業体系表!$B13)*(③労働時間!$B$5:$B$353="10月下旬")*(③労働時間!$J$5:$J$353))</f>
        <v>0</v>
      </c>
      <c r="AH13" s="383">
        <f>SUMPRODUCT((③労働時間!$A$5:$A$353=作業体系表!$B13)*(③労働時間!$B$5:$B$353="11月上旬")*(③労働時間!$J$5:$J$353))</f>
        <v>0</v>
      </c>
      <c r="AI13" s="383">
        <f>SUMPRODUCT((③労働時間!$A$5:$A$353=作業体系表!$B13)*(③労働時間!$B$5:$B$353="11月中旬")*(③労働時間!$J$5:$J$353))</f>
        <v>0</v>
      </c>
      <c r="AJ13" s="383">
        <f>SUMPRODUCT((③労働時間!$A$5:$A$353=作業体系表!$B13)*(③労働時間!$B$5:$B$353="11月下旬")*(③労働時間!$J$5:$J$353))</f>
        <v>0</v>
      </c>
      <c r="AK13" s="383">
        <f>SUMPRODUCT((③労働時間!$A$5:$A$353=作業体系表!$B13)*(③労働時間!$B$5:$B$353="12月上旬")*(③労働時間!$J$5:$J$353))</f>
        <v>0</v>
      </c>
      <c r="AL13" s="383">
        <f>SUMPRODUCT((③労働時間!$A$5:$A$353=作業体系表!$B13)*(③労働時間!$B$5:$B$353="12月中旬")*(③労働時間!$J$5:$J$353))</f>
        <v>0</v>
      </c>
      <c r="AM13" s="385">
        <f>SUMPRODUCT((③労働時間!$A$5:$A$353=作業体系表!$B13)*(③労働時間!$B$5:$B$353="12月下旬")*(③労働時間!$J$5:$J$353))</f>
        <v>0</v>
      </c>
      <c r="AN13" s="386">
        <f t="shared" si="0"/>
        <v>0.1</v>
      </c>
    </row>
    <row r="14" spans="2:44" ht="15" customHeight="1">
      <c r="B14" s="737" t="str">
        <f>①技術体系!A11</f>
        <v>放牧管理(牧区1)</v>
      </c>
      <c r="C14" s="738"/>
      <c r="D14" s="383">
        <f>SUMPRODUCT((③労働時間!$A$5:$A$353=作業体系表!$B14)*(③労働時間!$B$5:$B$353="1月上旬")*(③労働時間!$J$5:$J$353))</f>
        <v>0</v>
      </c>
      <c r="E14" s="383">
        <f>SUMPRODUCT((③労働時間!$A$5:$A$353=作業体系表!$B14)*(③労働時間!$B$5:$B$353="1月中旬")*(③労働時間!$J$5:$J$353))</f>
        <v>0</v>
      </c>
      <c r="F14" s="383">
        <f>SUMPRODUCT((③労働時間!$A$5:$A$353=作業体系表!$B14)*(③労働時間!$B$5:$B$353="1月下旬")*(③労働時間!$J$5:$J$353))</f>
        <v>0</v>
      </c>
      <c r="G14" s="383">
        <f>SUMPRODUCT((③労働時間!$A$5:$A$353=作業体系表!$B14)*(③労働時間!$B$5:$B$353="2月上旬")*(③労働時間!$J$5:$J$353))</f>
        <v>0</v>
      </c>
      <c r="H14" s="383">
        <f>SUMPRODUCT((③労働時間!$A$5:$A$353=作業体系表!$B14)*(③労働時間!$B$5:$B$353="2月中旬")*(③労働時間!$J$5:$J$353))</f>
        <v>0</v>
      </c>
      <c r="I14" s="383">
        <f>SUMPRODUCT((③労働時間!$A$5:$A$353=作業体系表!$B14)*(③労働時間!$B$5:$B$353="2月下旬")*(③労働時間!$J$5:$J$353))</f>
        <v>0</v>
      </c>
      <c r="J14" s="383">
        <f>SUMPRODUCT((③労働時間!$A$5:$A$353=作業体系表!$B14)*(③労働時間!$B$5:$B$353="3月上旬")*(③労働時間!$J$5:$J$353))</f>
        <v>0</v>
      </c>
      <c r="K14" s="383">
        <f>SUMPRODUCT((③労働時間!$A$5:$A$353=作業体系表!$B14)*(③労働時間!$B$5:$B$353="3月中旬")*(③労働時間!$J$5:$J$353))</f>
        <v>0</v>
      </c>
      <c r="L14" s="383">
        <f>SUMPRODUCT((③労働時間!$A$5:$A$353=作業体系表!$B14)*(③労働時間!$B$5:$B$353="3月下旬")*(③労働時間!$J$5:$J$353))</f>
        <v>0</v>
      </c>
      <c r="M14" s="383">
        <f>SUMPRODUCT((③労働時間!$A$5:$A$353=作業体系表!$B14)*(③労働時間!$B$5:$B$353="4月上旬")*(③労働時間!$J$5:$J$353))</f>
        <v>0</v>
      </c>
      <c r="N14" s="383">
        <f>SUMPRODUCT((③労働時間!$A$5:$A$353=作業体系表!$B14)*(③労働時間!$B$5:$B$353="4月中旬")*(③労働時間!$J$5:$J$353))</f>
        <v>0</v>
      </c>
      <c r="O14" s="383">
        <f>SUMPRODUCT((③労働時間!$A$5:$A$353=作業体系表!$B14)*(③労働時間!$B$5:$B$353="4月下旬")*(③労働時間!$J$5:$J$353))</f>
        <v>0</v>
      </c>
      <c r="P14" s="384">
        <f>SUMPRODUCT((③労働時間!$A$5:$A$353=作業体系表!$B14)*(③労働時間!$B$5:$B$353="5月上旬")*(③労働時間!$J$5:$J$353))</f>
        <v>0</v>
      </c>
      <c r="Q14" s="383">
        <f>SUMPRODUCT((③労働時間!$A$5:$A$353=作業体系表!$B14)*(③労働時間!$B$5:$B$353="5月中旬")*(③労働時間!$J$5:$J$353))</f>
        <v>0</v>
      </c>
      <c r="R14" s="383">
        <f>SUMPRODUCT((③労働時間!$A$5:$A$353=作業体系表!$B14)*(③労働時間!$B$5:$B$353="5月下旬")*(③労働時間!$J$5:$J$353))</f>
        <v>0.5</v>
      </c>
      <c r="S14" s="383">
        <f>SUMPRODUCT((③労働時間!$A$5:$A$353=作業体系表!$B14)*(③労働時間!$B$5:$B$353="6月上旬")*(③労働時間!$J$5:$J$353))</f>
        <v>0.5</v>
      </c>
      <c r="T14" s="383">
        <f>SUMPRODUCT((③労働時間!$A$5:$A$353=作業体系表!$B14)*(③労働時間!$B$5:$B$353="6月中旬")*(③労働時間!$J$5:$J$353))</f>
        <v>0.5</v>
      </c>
      <c r="U14" s="383">
        <f>SUMPRODUCT((③労働時間!$A$5:$A$353=作業体系表!$B14)*(③労働時間!$B$5:$B$353="6月下旬")*(③労働時間!$J$5:$J$353))</f>
        <v>0</v>
      </c>
      <c r="V14" s="383">
        <f>SUMPRODUCT((③労働時間!$A$5:$A$353=作業体系表!$B14)*(③労働時間!$B$5:$B$353="7月上旬")*(③労働時間!$J$5:$J$353))</f>
        <v>0</v>
      </c>
      <c r="W14" s="383">
        <f>SUMPRODUCT((③労働時間!$A$5:$A$353=作業体系表!$B14)*(③労働時間!$B$5:$B$353="7月中旬")*(③労働時間!$J$5:$J$353))</f>
        <v>0</v>
      </c>
      <c r="X14" s="383">
        <f>SUMPRODUCT((③労働時間!$A$5:$A$353=作業体系表!$B14)*(③労働時間!$B$5:$B$353="7月下旬")*(③労働時間!$J$5:$J$353))</f>
        <v>0</v>
      </c>
      <c r="Y14" s="383">
        <f>SUMPRODUCT((③労働時間!$A$5:$A$353=作業体系表!$B14)*(③労働時間!$B$5:$B$353="8月上旬")*(③労働時間!$J$5:$J$353))</f>
        <v>0</v>
      </c>
      <c r="Z14" s="383">
        <f>SUMPRODUCT((③労働時間!$A$5:$A$353=作業体系表!$B14)*(③労働時間!$B$5:$B$353="8月中旬")*(③労働時間!$J$5:$J$353))</f>
        <v>0</v>
      </c>
      <c r="AA14" s="383">
        <f>SUMPRODUCT((③労働時間!$A$5:$A$353=作業体系表!$B14)*(③労働時間!$B$5:$B$353="8月下旬")*(③労働時間!$J$5:$J$353))</f>
        <v>0</v>
      </c>
      <c r="AB14" s="384">
        <f>SUMPRODUCT((③労働時間!$A$5:$A$353=作業体系表!$B14)*(③労働時間!$B$5:$B$353="9月上旬")*(③労働時間!$J$5:$J$353))</f>
        <v>0</v>
      </c>
      <c r="AC14" s="383">
        <f>SUMPRODUCT((③労働時間!$A$5:$A$353=作業体系表!$B14)*(③労働時間!$B$5:$B$353="9月中旬")*(③労働時間!$J$5:$J$353))</f>
        <v>0</v>
      </c>
      <c r="AD14" s="383">
        <f>SUMPRODUCT((③労働時間!$A$5:$A$353=作業体系表!$B14)*(③労働時間!$B$5:$B$353="9月下旬")*(③労働時間!$J$5:$J$353))</f>
        <v>0</v>
      </c>
      <c r="AE14" s="383">
        <f>SUMPRODUCT((③労働時間!$A$5:$A$353=作業体系表!$B14)*(③労働時間!$B$5:$B$353="10月上旬")*(③労働時間!$J$5:$J$353))</f>
        <v>0</v>
      </c>
      <c r="AF14" s="383">
        <f>SUMPRODUCT((③労働時間!$A$5:$A$353=作業体系表!$B14)*(③労働時間!$B$5:$B$353="10月中旬")*(③労働時間!$J$5:$J$353))</f>
        <v>0</v>
      </c>
      <c r="AG14" s="383">
        <f>SUMPRODUCT((③労働時間!$A$5:$A$353=作業体系表!$B14)*(③労働時間!$B$5:$B$353="10月下旬")*(③労働時間!$J$5:$J$353))</f>
        <v>0</v>
      </c>
      <c r="AH14" s="383">
        <f>SUMPRODUCT((③労働時間!$A$5:$A$353=作業体系表!$B14)*(③労働時間!$B$5:$B$353="11月上旬")*(③労働時間!$J$5:$J$353))</f>
        <v>0</v>
      </c>
      <c r="AI14" s="383">
        <f>SUMPRODUCT((③労働時間!$A$5:$A$353=作業体系表!$B14)*(③労働時間!$B$5:$B$353="11月中旬")*(③労働時間!$J$5:$J$353))</f>
        <v>0</v>
      </c>
      <c r="AJ14" s="383">
        <f>SUMPRODUCT((③労働時間!$A$5:$A$353=作業体系表!$B14)*(③労働時間!$B$5:$B$353="11月下旬")*(③労働時間!$J$5:$J$353))</f>
        <v>0</v>
      </c>
      <c r="AK14" s="383">
        <f>SUMPRODUCT((③労働時間!$A$5:$A$353=作業体系表!$B14)*(③労働時間!$B$5:$B$353="12月上旬")*(③労働時間!$J$5:$J$353))</f>
        <v>0</v>
      </c>
      <c r="AL14" s="383">
        <f>SUMPRODUCT((③労働時間!$A$5:$A$353=作業体系表!$B14)*(③労働時間!$B$5:$B$353="12月中旬")*(③労働時間!$J$5:$J$353))</f>
        <v>0</v>
      </c>
      <c r="AM14" s="385">
        <f>SUMPRODUCT((③労働時間!$A$5:$A$353=作業体系表!$B14)*(③労働時間!$B$5:$B$353="12月下旬")*(③労働時間!$J$5:$J$353))</f>
        <v>0</v>
      </c>
      <c r="AN14" s="386">
        <f t="shared" si="0"/>
        <v>1.5</v>
      </c>
    </row>
    <row r="15" spans="2:44" ht="15" customHeight="1">
      <c r="B15" s="737" t="str">
        <f>①技術体系!A12</f>
        <v>転牧(牧区２)</v>
      </c>
      <c r="C15" s="738"/>
      <c r="D15" s="383">
        <f>SUMPRODUCT((③労働時間!$A$5:$A$353=作業体系表!$B15)*(③労働時間!$B$5:$B$353="1月上旬")*(③労働時間!$J$5:$J$353))</f>
        <v>0</v>
      </c>
      <c r="E15" s="383">
        <f>SUMPRODUCT((③労働時間!$A$5:$A$353=作業体系表!$B15)*(③労働時間!$B$5:$B$353="1月中旬")*(③労働時間!$J$5:$J$353))</f>
        <v>0</v>
      </c>
      <c r="F15" s="383">
        <f>SUMPRODUCT((③労働時間!$A$5:$A$353=作業体系表!$B15)*(③労働時間!$B$5:$B$353="1月下旬")*(③労働時間!$J$5:$J$353))</f>
        <v>0</v>
      </c>
      <c r="G15" s="383">
        <f>SUMPRODUCT((③労働時間!$A$5:$A$353=作業体系表!$B15)*(③労働時間!$B$5:$B$353="2月上旬")*(③労働時間!$J$5:$J$353))</f>
        <v>0</v>
      </c>
      <c r="H15" s="383">
        <f>SUMPRODUCT((③労働時間!$A$5:$A$353=作業体系表!$B15)*(③労働時間!$B$5:$B$353="2月中旬")*(③労働時間!$J$5:$J$353))</f>
        <v>0</v>
      </c>
      <c r="I15" s="383">
        <f>SUMPRODUCT((③労働時間!$A$5:$A$353=作業体系表!$B15)*(③労働時間!$B$5:$B$353="2月下旬")*(③労働時間!$J$5:$J$353))</f>
        <v>0</v>
      </c>
      <c r="J15" s="383">
        <f>SUMPRODUCT((③労働時間!$A$5:$A$353=作業体系表!$B15)*(③労働時間!$B$5:$B$353="3月上旬")*(③労働時間!$J$5:$J$353))</f>
        <v>0</v>
      </c>
      <c r="K15" s="383">
        <f>SUMPRODUCT((③労働時間!$A$5:$A$353=作業体系表!$B15)*(③労働時間!$B$5:$B$353="3月中旬")*(③労働時間!$J$5:$J$353))</f>
        <v>0</v>
      </c>
      <c r="L15" s="383">
        <f>SUMPRODUCT((③労働時間!$A$5:$A$353=作業体系表!$B15)*(③労働時間!$B$5:$B$353="3月下旬")*(③労働時間!$J$5:$J$353))</f>
        <v>0</v>
      </c>
      <c r="M15" s="383">
        <f>SUMPRODUCT((③労働時間!$A$5:$A$353=作業体系表!$B15)*(③労働時間!$B$5:$B$353="4月上旬")*(③労働時間!$J$5:$J$353))</f>
        <v>0</v>
      </c>
      <c r="N15" s="383">
        <f>SUMPRODUCT((③労働時間!$A$5:$A$353=作業体系表!$B15)*(③労働時間!$B$5:$B$353="4月中旬")*(③労働時間!$J$5:$J$353))</f>
        <v>0</v>
      </c>
      <c r="O15" s="383">
        <f>SUMPRODUCT((③労働時間!$A$5:$A$353=作業体系表!$B15)*(③労働時間!$B$5:$B$353="4月下旬")*(③労働時間!$J$5:$J$353))</f>
        <v>0</v>
      </c>
      <c r="P15" s="384">
        <f>SUMPRODUCT((③労働時間!$A$5:$A$353=作業体系表!$B15)*(③労働時間!$B$5:$B$353="5月上旬")*(③労働時間!$J$5:$J$353))</f>
        <v>0</v>
      </c>
      <c r="Q15" s="383">
        <f>SUMPRODUCT((③労働時間!$A$5:$A$353=作業体系表!$B15)*(③労働時間!$B$5:$B$353="5月中旬")*(③労働時間!$J$5:$J$353))</f>
        <v>0</v>
      </c>
      <c r="R15" s="383">
        <f>SUMPRODUCT((③労働時間!$A$5:$A$353=作業体系表!$B15)*(③労働時間!$B$5:$B$353="5月下旬")*(③労働時間!$J$5:$J$353))</f>
        <v>0</v>
      </c>
      <c r="S15" s="383">
        <f>SUMPRODUCT((③労働時間!$A$5:$A$353=作業体系表!$B15)*(③労働時間!$B$5:$B$353="6月上旬")*(③労働時間!$J$5:$J$353))</f>
        <v>0</v>
      </c>
      <c r="T15" s="383">
        <f>SUMPRODUCT((③労働時間!$A$5:$A$353=作業体系表!$B15)*(③労働時間!$B$5:$B$353="6月中旬")*(③労働時間!$J$5:$J$353))</f>
        <v>0</v>
      </c>
      <c r="U15" s="383">
        <f>SUMPRODUCT((③労働時間!$A$5:$A$353=作業体系表!$B15)*(③労働時間!$B$5:$B$353="6月下旬")*(③労働時間!$J$5:$J$353))</f>
        <v>0.1</v>
      </c>
      <c r="V15" s="383">
        <f>SUMPRODUCT((③労働時間!$A$5:$A$353=作業体系表!$B15)*(③労働時間!$B$5:$B$353="7月上旬")*(③労働時間!$J$5:$J$353))</f>
        <v>0</v>
      </c>
      <c r="W15" s="383">
        <f>SUMPRODUCT((③労働時間!$A$5:$A$353=作業体系表!$B15)*(③労働時間!$B$5:$B$353="7月中旬")*(③労働時間!$J$5:$J$353))</f>
        <v>0</v>
      </c>
      <c r="X15" s="383">
        <f>SUMPRODUCT((③労働時間!$A$5:$A$353=作業体系表!$B15)*(③労働時間!$B$5:$B$353="7月下旬")*(③労働時間!$J$5:$J$353))</f>
        <v>0</v>
      </c>
      <c r="Y15" s="383">
        <f>SUMPRODUCT((③労働時間!$A$5:$A$353=作業体系表!$B15)*(③労働時間!$B$5:$B$353="8月上旬")*(③労働時間!$J$5:$J$353))</f>
        <v>0</v>
      </c>
      <c r="Z15" s="383">
        <f>SUMPRODUCT((③労働時間!$A$5:$A$353=作業体系表!$B15)*(③労働時間!$B$5:$B$353="8月中旬")*(③労働時間!$J$5:$J$353))</f>
        <v>0</v>
      </c>
      <c r="AA15" s="383">
        <f>SUMPRODUCT((③労働時間!$A$5:$A$353=作業体系表!$B15)*(③労働時間!$B$5:$B$353="8月下旬")*(③労働時間!$J$5:$J$353))</f>
        <v>0</v>
      </c>
      <c r="AB15" s="384">
        <f>SUMPRODUCT((③労働時間!$A$5:$A$353=作業体系表!$B15)*(③労働時間!$B$5:$B$353="9月上旬")*(③労働時間!$J$5:$J$353))</f>
        <v>0</v>
      </c>
      <c r="AC15" s="383">
        <f>SUMPRODUCT((③労働時間!$A$5:$A$353=作業体系表!$B15)*(③労働時間!$B$5:$B$353="9月中旬")*(③労働時間!$J$5:$J$353))</f>
        <v>0</v>
      </c>
      <c r="AD15" s="383">
        <f>SUMPRODUCT((③労働時間!$A$5:$A$353=作業体系表!$B15)*(③労働時間!$B$5:$B$353="9月下旬")*(③労働時間!$J$5:$J$353))</f>
        <v>0</v>
      </c>
      <c r="AE15" s="383">
        <f>SUMPRODUCT((③労働時間!$A$5:$A$353=作業体系表!$B15)*(③労働時間!$B$5:$B$353="10月上旬")*(③労働時間!$J$5:$J$353))</f>
        <v>0</v>
      </c>
      <c r="AF15" s="383">
        <f>SUMPRODUCT((③労働時間!$A$5:$A$353=作業体系表!$B15)*(③労働時間!$B$5:$B$353="10月中旬")*(③労働時間!$J$5:$J$353))</f>
        <v>0</v>
      </c>
      <c r="AG15" s="383">
        <f>SUMPRODUCT((③労働時間!$A$5:$A$353=作業体系表!$B15)*(③労働時間!$B$5:$B$353="10月下旬")*(③労働時間!$J$5:$J$353))</f>
        <v>0</v>
      </c>
      <c r="AH15" s="383">
        <f>SUMPRODUCT((③労働時間!$A$5:$A$353=作業体系表!$B15)*(③労働時間!$B$5:$B$353="11月上旬")*(③労働時間!$J$5:$J$353))</f>
        <v>0</v>
      </c>
      <c r="AI15" s="383">
        <f>SUMPRODUCT((③労働時間!$A$5:$A$353=作業体系表!$B15)*(③労働時間!$B$5:$B$353="11月中旬")*(③労働時間!$J$5:$J$353))</f>
        <v>0</v>
      </c>
      <c r="AJ15" s="383">
        <f>SUMPRODUCT((③労働時間!$A$5:$A$353=作業体系表!$B15)*(③労働時間!$B$5:$B$353="11月下旬")*(③労働時間!$J$5:$J$353))</f>
        <v>0</v>
      </c>
      <c r="AK15" s="383">
        <f>SUMPRODUCT((③労働時間!$A$5:$A$353=作業体系表!$B15)*(③労働時間!$B$5:$B$353="12月上旬")*(③労働時間!$J$5:$J$353))</f>
        <v>0</v>
      </c>
      <c r="AL15" s="383">
        <f>SUMPRODUCT((③労働時間!$A$5:$A$353=作業体系表!$B15)*(③労働時間!$B$5:$B$353="12月中旬")*(③労働時間!$J$5:$J$353))</f>
        <v>0</v>
      </c>
      <c r="AM15" s="385">
        <f>SUMPRODUCT((③労働時間!$A$5:$A$353=作業体系表!$B15)*(③労働時間!$B$5:$B$353="12月下旬")*(③労働時間!$J$5:$J$353))</f>
        <v>0</v>
      </c>
      <c r="AN15" s="386">
        <f t="shared" si="0"/>
        <v>0.1</v>
      </c>
    </row>
    <row r="16" spans="2:44" ht="15" customHeight="1">
      <c r="B16" s="737" t="str">
        <f>①技術体系!A13</f>
        <v>放牧管理(牧区2)</v>
      </c>
      <c r="C16" s="738"/>
      <c r="D16" s="383">
        <f>SUMPRODUCT((③労働時間!$A$5:$A$353=作業体系表!$B16)*(③労働時間!$B$5:$B$353="1月上旬")*(③労働時間!$J$5:$J$353))</f>
        <v>0</v>
      </c>
      <c r="E16" s="383">
        <f>SUMPRODUCT((③労働時間!$A$5:$A$353=作業体系表!$B16)*(③労働時間!$B$5:$B$353="1月中旬")*(③労働時間!$J$5:$J$353))</f>
        <v>0</v>
      </c>
      <c r="F16" s="383">
        <f>SUMPRODUCT((③労働時間!$A$5:$A$353=作業体系表!$B16)*(③労働時間!$B$5:$B$353="1月下旬")*(③労働時間!$J$5:$J$353))</f>
        <v>0</v>
      </c>
      <c r="G16" s="383">
        <f>SUMPRODUCT((③労働時間!$A$5:$A$353=作業体系表!$B16)*(③労働時間!$B$5:$B$353="2月上旬")*(③労働時間!$J$5:$J$353))</f>
        <v>0</v>
      </c>
      <c r="H16" s="383">
        <f>SUMPRODUCT((③労働時間!$A$5:$A$353=作業体系表!$B16)*(③労働時間!$B$5:$B$353="2月中旬")*(③労働時間!$J$5:$J$353))</f>
        <v>0</v>
      </c>
      <c r="I16" s="383">
        <f>SUMPRODUCT((③労働時間!$A$5:$A$353=作業体系表!$B16)*(③労働時間!$B$5:$B$353="2月下旬")*(③労働時間!$J$5:$J$353))</f>
        <v>0</v>
      </c>
      <c r="J16" s="383">
        <f>SUMPRODUCT((③労働時間!$A$5:$A$353=作業体系表!$B16)*(③労働時間!$B$5:$B$353="3月上旬")*(③労働時間!$J$5:$J$353))</f>
        <v>0</v>
      </c>
      <c r="K16" s="383">
        <f>SUMPRODUCT((③労働時間!$A$5:$A$353=作業体系表!$B16)*(③労働時間!$B$5:$B$353="3月中旬")*(③労働時間!$J$5:$J$353))</f>
        <v>0</v>
      </c>
      <c r="L16" s="383">
        <f>SUMPRODUCT((③労働時間!$A$5:$A$353=作業体系表!$B16)*(③労働時間!$B$5:$B$353="3月下旬")*(③労働時間!$J$5:$J$353))</f>
        <v>0</v>
      </c>
      <c r="M16" s="383">
        <f>SUMPRODUCT((③労働時間!$A$5:$A$353=作業体系表!$B16)*(③労働時間!$B$5:$B$353="4月上旬")*(③労働時間!$J$5:$J$353))</f>
        <v>0</v>
      </c>
      <c r="N16" s="383">
        <f>SUMPRODUCT((③労働時間!$A$5:$A$353=作業体系表!$B16)*(③労働時間!$B$5:$B$353="4月中旬")*(③労働時間!$J$5:$J$353))</f>
        <v>0</v>
      </c>
      <c r="O16" s="383">
        <f>SUMPRODUCT((③労働時間!$A$5:$A$353=作業体系表!$B16)*(③労働時間!$B$5:$B$353="4月下旬")*(③労働時間!$J$5:$J$353))</f>
        <v>0</v>
      </c>
      <c r="P16" s="384">
        <f>SUMPRODUCT((③労働時間!$A$5:$A$353=作業体系表!$B16)*(③労働時間!$B$5:$B$353="5月上旬")*(③労働時間!$J$5:$J$353))</f>
        <v>0</v>
      </c>
      <c r="Q16" s="383">
        <f>SUMPRODUCT((③労働時間!$A$5:$A$353=作業体系表!$B16)*(③労働時間!$B$5:$B$353="5月中旬")*(③労働時間!$J$5:$J$353))</f>
        <v>0</v>
      </c>
      <c r="R16" s="383">
        <f>SUMPRODUCT((③労働時間!$A$5:$A$353=作業体系表!$B16)*(③労働時間!$B$5:$B$353="5月下旬")*(③労働時間!$J$5:$J$353))</f>
        <v>0</v>
      </c>
      <c r="S16" s="383">
        <f>SUMPRODUCT((③労働時間!$A$5:$A$353=作業体系表!$B16)*(③労働時間!$B$5:$B$353="6月上旬")*(③労働時間!$J$5:$J$353))</f>
        <v>0</v>
      </c>
      <c r="T16" s="383">
        <f>SUMPRODUCT((③労働時間!$A$5:$A$353=作業体系表!$B16)*(③労働時間!$B$5:$B$353="6月中旬")*(③労働時間!$J$5:$J$353))</f>
        <v>0</v>
      </c>
      <c r="U16" s="383">
        <f>SUMPRODUCT((③労働時間!$A$5:$A$353=作業体系表!$B16)*(③労働時間!$B$5:$B$353="6月下旬")*(③労働時間!$J$5:$J$353))</f>
        <v>0.5</v>
      </c>
      <c r="V16" s="383">
        <f>SUMPRODUCT((③労働時間!$A$5:$A$353=作業体系表!$B16)*(③労働時間!$B$5:$B$353="7月上旬")*(③労働時間!$J$5:$J$353))</f>
        <v>0.5</v>
      </c>
      <c r="W16" s="383">
        <f>SUMPRODUCT((③労働時間!$A$5:$A$353=作業体系表!$B16)*(③労働時間!$B$5:$B$353="7月中旬")*(③労働時間!$J$5:$J$353))</f>
        <v>0.5</v>
      </c>
      <c r="X16" s="383">
        <f>SUMPRODUCT((③労働時間!$A$5:$A$353=作業体系表!$B16)*(③労働時間!$B$5:$B$353="7月下旬")*(③労働時間!$J$5:$J$353))</f>
        <v>0</v>
      </c>
      <c r="Y16" s="383">
        <f>SUMPRODUCT((③労働時間!$A$5:$A$353=作業体系表!$B16)*(③労働時間!$B$5:$B$353="8月上旬")*(③労働時間!$J$5:$J$353))</f>
        <v>0</v>
      </c>
      <c r="Z16" s="383">
        <f>SUMPRODUCT((③労働時間!$A$5:$A$353=作業体系表!$B16)*(③労働時間!$B$5:$B$353="8月中旬")*(③労働時間!$J$5:$J$353))</f>
        <v>0</v>
      </c>
      <c r="AA16" s="383">
        <f>SUMPRODUCT((③労働時間!$A$5:$A$353=作業体系表!$B16)*(③労働時間!$B$5:$B$353="8月下旬")*(③労働時間!$J$5:$J$353))</f>
        <v>0</v>
      </c>
      <c r="AB16" s="384">
        <f>SUMPRODUCT((③労働時間!$A$5:$A$353=作業体系表!$B16)*(③労働時間!$B$5:$B$353="9月上旬")*(③労働時間!$J$5:$J$353))</f>
        <v>0</v>
      </c>
      <c r="AC16" s="383">
        <f>SUMPRODUCT((③労働時間!$A$5:$A$353=作業体系表!$B16)*(③労働時間!$B$5:$B$353="9月中旬")*(③労働時間!$J$5:$J$353))</f>
        <v>0</v>
      </c>
      <c r="AD16" s="383">
        <f>SUMPRODUCT((③労働時間!$A$5:$A$353=作業体系表!$B16)*(③労働時間!$B$5:$B$353="9月下旬")*(③労働時間!$J$5:$J$353))</f>
        <v>0</v>
      </c>
      <c r="AE16" s="383">
        <f>SUMPRODUCT((③労働時間!$A$5:$A$353=作業体系表!$B16)*(③労働時間!$B$5:$B$353="10月上旬")*(③労働時間!$J$5:$J$353))</f>
        <v>0</v>
      </c>
      <c r="AF16" s="383">
        <f>SUMPRODUCT((③労働時間!$A$5:$A$353=作業体系表!$B16)*(③労働時間!$B$5:$B$353="10月中旬")*(③労働時間!$J$5:$J$353))</f>
        <v>0</v>
      </c>
      <c r="AG16" s="383">
        <f>SUMPRODUCT((③労働時間!$A$5:$A$353=作業体系表!$B16)*(③労働時間!$B$5:$B$353="10月下旬")*(③労働時間!$J$5:$J$353))</f>
        <v>0</v>
      </c>
      <c r="AH16" s="383">
        <f>SUMPRODUCT((③労働時間!$A$5:$A$353=作業体系表!$B16)*(③労働時間!$B$5:$B$353="11月上旬")*(③労働時間!$J$5:$J$353))</f>
        <v>0</v>
      </c>
      <c r="AI16" s="383">
        <f>SUMPRODUCT((③労働時間!$A$5:$A$353=作業体系表!$B16)*(③労働時間!$B$5:$B$353="11月中旬")*(③労働時間!$J$5:$J$353))</f>
        <v>0</v>
      </c>
      <c r="AJ16" s="383">
        <f>SUMPRODUCT((③労働時間!$A$5:$A$353=作業体系表!$B16)*(③労働時間!$B$5:$B$353="11月下旬")*(③労働時間!$J$5:$J$353))</f>
        <v>0</v>
      </c>
      <c r="AK16" s="383">
        <f>SUMPRODUCT((③労働時間!$A$5:$A$353=作業体系表!$B16)*(③労働時間!$B$5:$B$353="12月上旬")*(③労働時間!$J$5:$J$353))</f>
        <v>0</v>
      </c>
      <c r="AL16" s="383">
        <f>SUMPRODUCT((③労働時間!$A$5:$A$353=作業体系表!$B16)*(③労働時間!$B$5:$B$353="12月中旬")*(③労働時間!$J$5:$J$353))</f>
        <v>0</v>
      </c>
      <c r="AM16" s="385">
        <f>SUMPRODUCT((③労働時間!$A$5:$A$353=作業体系表!$B16)*(③労働時間!$B$5:$B$353="12月下旬")*(③労働時間!$J$5:$J$353))</f>
        <v>0</v>
      </c>
      <c r="AN16" s="386">
        <f t="shared" si="0"/>
        <v>1.5</v>
      </c>
    </row>
    <row r="17" spans="2:40" ht="15" customHeight="1">
      <c r="B17" s="737" t="str">
        <f>①技術体系!A14</f>
        <v>化粧刈(牧区１)</v>
      </c>
      <c r="C17" s="738"/>
      <c r="D17" s="383">
        <f>SUMPRODUCT((③労働時間!$A$5:$A$353=作業体系表!$B17)*(③労働時間!$B$5:$B$353="1月上旬")*(③労働時間!$J$5:$J$353))</f>
        <v>0</v>
      </c>
      <c r="E17" s="383">
        <f>SUMPRODUCT((③労働時間!$A$5:$A$353=作業体系表!$B17)*(③労働時間!$B$5:$B$353="1月中旬")*(③労働時間!$J$5:$J$353))</f>
        <v>0</v>
      </c>
      <c r="F17" s="383">
        <f>SUMPRODUCT((③労働時間!$A$5:$A$353=作業体系表!$B17)*(③労働時間!$B$5:$B$353="1月下旬")*(③労働時間!$J$5:$J$353))</f>
        <v>0</v>
      </c>
      <c r="G17" s="383">
        <f>SUMPRODUCT((③労働時間!$A$5:$A$353=作業体系表!$B17)*(③労働時間!$B$5:$B$353="2月上旬")*(③労働時間!$J$5:$J$353))</f>
        <v>0</v>
      </c>
      <c r="H17" s="383">
        <f>SUMPRODUCT((③労働時間!$A$5:$A$353=作業体系表!$B17)*(③労働時間!$B$5:$B$353="2月中旬")*(③労働時間!$J$5:$J$353))</f>
        <v>0</v>
      </c>
      <c r="I17" s="383">
        <f>SUMPRODUCT((③労働時間!$A$5:$A$353=作業体系表!$B17)*(③労働時間!$B$5:$B$353="2月下旬")*(③労働時間!$J$5:$J$353))</f>
        <v>0</v>
      </c>
      <c r="J17" s="383">
        <f>SUMPRODUCT((③労働時間!$A$5:$A$353=作業体系表!$B17)*(③労働時間!$B$5:$B$353="3月上旬")*(③労働時間!$J$5:$J$353))</f>
        <v>0</v>
      </c>
      <c r="K17" s="383">
        <f>SUMPRODUCT((③労働時間!$A$5:$A$353=作業体系表!$B17)*(③労働時間!$B$5:$B$353="3月中旬")*(③労働時間!$J$5:$J$353))</f>
        <v>0</v>
      </c>
      <c r="L17" s="383">
        <f>SUMPRODUCT((③労働時間!$A$5:$A$353=作業体系表!$B17)*(③労働時間!$B$5:$B$353="3月下旬")*(③労働時間!$J$5:$J$353))</f>
        <v>0</v>
      </c>
      <c r="M17" s="383">
        <f>SUMPRODUCT((③労働時間!$A$5:$A$353=作業体系表!$B17)*(③労働時間!$B$5:$B$353="4月上旬")*(③労働時間!$J$5:$J$353))</f>
        <v>0</v>
      </c>
      <c r="N17" s="383">
        <f>SUMPRODUCT((③労働時間!$A$5:$A$353=作業体系表!$B17)*(③労働時間!$B$5:$B$353="4月中旬")*(③労働時間!$J$5:$J$353))</f>
        <v>0</v>
      </c>
      <c r="O17" s="383">
        <f>SUMPRODUCT((③労働時間!$A$5:$A$353=作業体系表!$B17)*(③労働時間!$B$5:$B$353="4月下旬")*(③労働時間!$J$5:$J$353))</f>
        <v>0</v>
      </c>
      <c r="P17" s="384">
        <f>SUMPRODUCT((③労働時間!$A$5:$A$353=作業体系表!$B17)*(③労働時間!$B$5:$B$353="5月上旬")*(③労働時間!$J$5:$J$353))</f>
        <v>0</v>
      </c>
      <c r="Q17" s="383">
        <f>SUMPRODUCT((③労働時間!$A$5:$A$353=作業体系表!$B17)*(③労働時間!$B$5:$B$353="5月中旬")*(③労働時間!$J$5:$J$353))</f>
        <v>0</v>
      </c>
      <c r="R17" s="383">
        <f>SUMPRODUCT((③労働時間!$A$5:$A$353=作業体系表!$B17)*(③労働時間!$B$5:$B$353="5月下旬")*(③労働時間!$J$5:$J$353))</f>
        <v>0</v>
      </c>
      <c r="S17" s="383">
        <f>SUMPRODUCT((③労働時間!$A$5:$A$353=作業体系表!$B17)*(③労働時間!$B$5:$B$353="6月上旬")*(③労働時間!$J$5:$J$353))</f>
        <v>0</v>
      </c>
      <c r="T17" s="383">
        <f>SUMPRODUCT((③労働時間!$A$5:$A$353=作業体系表!$B17)*(③労働時間!$B$5:$B$353="6月中旬")*(③労働時間!$J$5:$J$353))</f>
        <v>0</v>
      </c>
      <c r="U17" s="383">
        <f>SUMPRODUCT((③労働時間!$A$5:$A$353=作業体系表!$B17)*(③労働時間!$B$5:$B$353="6月下旬")*(③労働時間!$J$5:$J$353))</f>
        <v>0.10000160002560042</v>
      </c>
      <c r="V17" s="383">
        <f>SUMPRODUCT((③労働時間!$A$5:$A$353=作業体系表!$B17)*(③労働時間!$B$5:$B$353="7月上旬")*(③労働時間!$J$5:$J$353))</f>
        <v>0</v>
      </c>
      <c r="W17" s="383">
        <f>SUMPRODUCT((③労働時間!$A$5:$A$353=作業体系表!$B17)*(③労働時間!$B$5:$B$353="7月中旬")*(③労働時間!$J$5:$J$353))</f>
        <v>0</v>
      </c>
      <c r="X17" s="383">
        <f>SUMPRODUCT((③労働時間!$A$5:$A$353=作業体系表!$B17)*(③労働時間!$B$5:$B$353="7月下旬")*(③労働時間!$J$5:$J$353))</f>
        <v>0</v>
      </c>
      <c r="Y17" s="383">
        <f>SUMPRODUCT((③労働時間!$A$5:$A$353=作業体系表!$B17)*(③労働時間!$B$5:$B$353="8月上旬")*(③労働時間!$J$5:$J$353))</f>
        <v>0</v>
      </c>
      <c r="Z17" s="383">
        <f>SUMPRODUCT((③労働時間!$A$5:$A$353=作業体系表!$B17)*(③労働時間!$B$5:$B$353="8月中旬")*(③労働時間!$J$5:$J$353))</f>
        <v>0</v>
      </c>
      <c r="AA17" s="383">
        <f>SUMPRODUCT((③労働時間!$A$5:$A$353=作業体系表!$B17)*(③労働時間!$B$5:$B$353="8月下旬")*(③労働時間!$J$5:$J$353))</f>
        <v>0</v>
      </c>
      <c r="AB17" s="384">
        <f>SUMPRODUCT((③労働時間!$A$5:$A$353=作業体系表!$B17)*(③労働時間!$B$5:$B$353="9月上旬")*(③労働時間!$J$5:$J$353))</f>
        <v>0</v>
      </c>
      <c r="AC17" s="383">
        <f>SUMPRODUCT((③労働時間!$A$5:$A$353=作業体系表!$B17)*(③労働時間!$B$5:$B$353="9月中旬")*(③労働時間!$J$5:$J$353))</f>
        <v>0</v>
      </c>
      <c r="AD17" s="383">
        <f>SUMPRODUCT((③労働時間!$A$5:$A$353=作業体系表!$B17)*(③労働時間!$B$5:$B$353="9月下旬")*(③労働時間!$J$5:$J$353))</f>
        <v>0</v>
      </c>
      <c r="AE17" s="383">
        <f>SUMPRODUCT((③労働時間!$A$5:$A$353=作業体系表!$B17)*(③労働時間!$B$5:$B$353="10月上旬")*(③労働時間!$J$5:$J$353))</f>
        <v>0</v>
      </c>
      <c r="AF17" s="383">
        <f>SUMPRODUCT((③労働時間!$A$5:$A$353=作業体系表!$B17)*(③労働時間!$B$5:$B$353="10月中旬")*(③労働時間!$J$5:$J$353))</f>
        <v>0</v>
      </c>
      <c r="AG17" s="383">
        <f>SUMPRODUCT((③労働時間!$A$5:$A$353=作業体系表!$B17)*(③労働時間!$B$5:$B$353="10月下旬")*(③労働時間!$J$5:$J$353))</f>
        <v>0</v>
      </c>
      <c r="AH17" s="383">
        <f>SUMPRODUCT((③労働時間!$A$5:$A$353=作業体系表!$B17)*(③労働時間!$B$5:$B$353="11月上旬")*(③労働時間!$J$5:$J$353))</f>
        <v>0</v>
      </c>
      <c r="AI17" s="383">
        <f>SUMPRODUCT((③労働時間!$A$5:$A$353=作業体系表!$B17)*(③労働時間!$B$5:$B$353="11月中旬")*(③労働時間!$J$5:$J$353))</f>
        <v>0</v>
      </c>
      <c r="AJ17" s="383">
        <f>SUMPRODUCT((③労働時間!$A$5:$A$353=作業体系表!$B17)*(③労働時間!$B$5:$B$353="11月下旬")*(③労働時間!$J$5:$J$353))</f>
        <v>0</v>
      </c>
      <c r="AK17" s="383">
        <f>SUMPRODUCT((③労働時間!$A$5:$A$353=作業体系表!$B17)*(③労働時間!$B$5:$B$353="12月上旬")*(③労働時間!$J$5:$J$353))</f>
        <v>0</v>
      </c>
      <c r="AL17" s="383">
        <f>SUMPRODUCT((③労働時間!$A$5:$A$353=作業体系表!$B17)*(③労働時間!$B$5:$B$353="12月中旬")*(③労働時間!$J$5:$J$353))</f>
        <v>0</v>
      </c>
      <c r="AM17" s="385">
        <f>SUMPRODUCT((③労働時間!$A$5:$A$353=作業体系表!$B17)*(③労働時間!$B$5:$B$353="12月下旬")*(③労働時間!$J$5:$J$353))</f>
        <v>0</v>
      </c>
      <c r="AN17" s="386">
        <f t="shared" si="0"/>
        <v>0.10000160002560042</v>
      </c>
    </row>
    <row r="18" spans="2:40" ht="15" customHeight="1">
      <c r="B18" s="737" t="str">
        <f>①技術体系!A15</f>
        <v>転牧(牧区３)</v>
      </c>
      <c r="C18" s="738"/>
      <c r="D18" s="383">
        <f>SUMPRODUCT((③労働時間!$A$5:$A$353=作業体系表!$B18)*(③労働時間!$B$5:$B$353="1月上旬")*(③労働時間!$J$5:$J$353))</f>
        <v>0</v>
      </c>
      <c r="E18" s="383">
        <f>SUMPRODUCT((③労働時間!$A$5:$A$353=作業体系表!$B18)*(③労働時間!$B$5:$B$353="1月中旬")*(③労働時間!$J$5:$J$353))</f>
        <v>0</v>
      </c>
      <c r="F18" s="383">
        <f>SUMPRODUCT((③労働時間!$A$5:$A$353=作業体系表!$B18)*(③労働時間!$B$5:$B$353="1月下旬")*(③労働時間!$J$5:$J$353))</f>
        <v>0</v>
      </c>
      <c r="G18" s="383">
        <f>SUMPRODUCT((③労働時間!$A$5:$A$353=作業体系表!$B18)*(③労働時間!$B$5:$B$353="2月上旬")*(③労働時間!$J$5:$J$353))</f>
        <v>0</v>
      </c>
      <c r="H18" s="383">
        <f>SUMPRODUCT((③労働時間!$A$5:$A$353=作業体系表!$B18)*(③労働時間!$B$5:$B$353="2月中旬")*(③労働時間!$J$5:$J$353))</f>
        <v>0</v>
      </c>
      <c r="I18" s="383">
        <f>SUMPRODUCT((③労働時間!$A$5:$A$353=作業体系表!$B18)*(③労働時間!$B$5:$B$353="2月下旬")*(③労働時間!$J$5:$J$353))</f>
        <v>0</v>
      </c>
      <c r="J18" s="383">
        <f>SUMPRODUCT((③労働時間!$A$5:$A$353=作業体系表!$B18)*(③労働時間!$B$5:$B$353="3月上旬")*(③労働時間!$J$5:$J$353))</f>
        <v>0</v>
      </c>
      <c r="K18" s="383">
        <f>SUMPRODUCT((③労働時間!$A$5:$A$353=作業体系表!$B18)*(③労働時間!$B$5:$B$353="3月中旬")*(③労働時間!$J$5:$J$353))</f>
        <v>0</v>
      </c>
      <c r="L18" s="383">
        <f>SUMPRODUCT((③労働時間!$A$5:$A$353=作業体系表!$B18)*(③労働時間!$B$5:$B$353="3月下旬")*(③労働時間!$J$5:$J$353))</f>
        <v>0</v>
      </c>
      <c r="M18" s="383">
        <f>SUMPRODUCT((③労働時間!$A$5:$A$353=作業体系表!$B18)*(③労働時間!$B$5:$B$353="4月上旬")*(③労働時間!$J$5:$J$353))</f>
        <v>0</v>
      </c>
      <c r="N18" s="383">
        <f>SUMPRODUCT((③労働時間!$A$5:$A$353=作業体系表!$B18)*(③労働時間!$B$5:$B$353="4月中旬")*(③労働時間!$J$5:$J$353))</f>
        <v>0</v>
      </c>
      <c r="O18" s="383">
        <f>SUMPRODUCT((③労働時間!$A$5:$A$353=作業体系表!$B18)*(③労働時間!$B$5:$B$353="4月下旬")*(③労働時間!$J$5:$J$353))</f>
        <v>0</v>
      </c>
      <c r="P18" s="384">
        <f>SUMPRODUCT((③労働時間!$A$5:$A$353=作業体系表!$B18)*(③労働時間!$B$5:$B$353="5月上旬")*(③労働時間!$J$5:$J$353))</f>
        <v>0</v>
      </c>
      <c r="Q18" s="383">
        <f>SUMPRODUCT((③労働時間!$A$5:$A$353=作業体系表!$B18)*(③労働時間!$B$5:$B$353="5月中旬")*(③労働時間!$J$5:$J$353))</f>
        <v>0</v>
      </c>
      <c r="R18" s="383">
        <f>SUMPRODUCT((③労働時間!$A$5:$A$353=作業体系表!$B18)*(③労働時間!$B$5:$B$353="5月下旬")*(③労働時間!$J$5:$J$353))</f>
        <v>0</v>
      </c>
      <c r="S18" s="383">
        <f>SUMPRODUCT((③労働時間!$A$5:$A$353=作業体系表!$B18)*(③労働時間!$B$5:$B$353="6月上旬")*(③労働時間!$J$5:$J$353))</f>
        <v>0</v>
      </c>
      <c r="T18" s="383">
        <f>SUMPRODUCT((③労働時間!$A$5:$A$353=作業体系表!$B18)*(③労働時間!$B$5:$B$353="6月中旬")*(③労働時間!$J$5:$J$353))</f>
        <v>0</v>
      </c>
      <c r="U18" s="383">
        <f>SUMPRODUCT((③労働時間!$A$5:$A$353=作業体系表!$B18)*(③労働時間!$B$5:$B$353="6月下旬")*(③労働時間!$J$5:$J$353))</f>
        <v>0</v>
      </c>
      <c r="V18" s="383">
        <f>SUMPRODUCT((③労働時間!$A$5:$A$353=作業体系表!$B18)*(③労働時間!$B$5:$B$353="7月上旬")*(③労働時間!$J$5:$J$353))</f>
        <v>0</v>
      </c>
      <c r="W18" s="383">
        <f>SUMPRODUCT((③労働時間!$A$5:$A$353=作業体系表!$B18)*(③労働時間!$B$5:$B$353="7月中旬")*(③労働時間!$J$5:$J$353))</f>
        <v>0</v>
      </c>
      <c r="X18" s="383">
        <f>SUMPRODUCT((③労働時間!$A$5:$A$353=作業体系表!$B18)*(③労働時間!$B$5:$B$353="7月下旬")*(③労働時間!$J$5:$J$353))</f>
        <v>0.1</v>
      </c>
      <c r="Y18" s="383">
        <f>SUMPRODUCT((③労働時間!$A$5:$A$353=作業体系表!$B18)*(③労働時間!$B$5:$B$353="8月上旬")*(③労働時間!$J$5:$J$353))</f>
        <v>0</v>
      </c>
      <c r="Z18" s="383">
        <f>SUMPRODUCT((③労働時間!$A$5:$A$353=作業体系表!$B18)*(③労働時間!$B$5:$B$353="8月中旬")*(③労働時間!$J$5:$J$353))</f>
        <v>0</v>
      </c>
      <c r="AA18" s="383">
        <f>SUMPRODUCT((③労働時間!$A$5:$A$353=作業体系表!$B18)*(③労働時間!$B$5:$B$353="8月下旬")*(③労働時間!$J$5:$J$353))</f>
        <v>0</v>
      </c>
      <c r="AB18" s="384">
        <f>SUMPRODUCT((③労働時間!$A$5:$A$353=作業体系表!$B18)*(③労働時間!$B$5:$B$353="9月上旬")*(③労働時間!$J$5:$J$353))</f>
        <v>0</v>
      </c>
      <c r="AC18" s="383">
        <f>SUMPRODUCT((③労働時間!$A$5:$A$353=作業体系表!$B18)*(③労働時間!$B$5:$B$353="9月中旬")*(③労働時間!$J$5:$J$353))</f>
        <v>0</v>
      </c>
      <c r="AD18" s="383">
        <f>SUMPRODUCT((③労働時間!$A$5:$A$353=作業体系表!$B18)*(③労働時間!$B$5:$B$353="9月下旬")*(③労働時間!$J$5:$J$353))</f>
        <v>0</v>
      </c>
      <c r="AE18" s="383">
        <f>SUMPRODUCT((③労働時間!$A$5:$A$353=作業体系表!$B18)*(③労働時間!$B$5:$B$353="10月上旬")*(③労働時間!$J$5:$J$353))</f>
        <v>0</v>
      </c>
      <c r="AF18" s="383">
        <f>SUMPRODUCT((③労働時間!$A$5:$A$353=作業体系表!$B18)*(③労働時間!$B$5:$B$353="10月中旬")*(③労働時間!$J$5:$J$353))</f>
        <v>0</v>
      </c>
      <c r="AG18" s="383">
        <f>SUMPRODUCT((③労働時間!$A$5:$A$353=作業体系表!$B18)*(③労働時間!$B$5:$B$353="10月下旬")*(③労働時間!$J$5:$J$353))</f>
        <v>0</v>
      </c>
      <c r="AH18" s="383">
        <f>SUMPRODUCT((③労働時間!$A$5:$A$353=作業体系表!$B18)*(③労働時間!$B$5:$B$353="11月上旬")*(③労働時間!$J$5:$J$353))</f>
        <v>0</v>
      </c>
      <c r="AI18" s="383">
        <f>SUMPRODUCT((③労働時間!$A$5:$A$353=作業体系表!$B18)*(③労働時間!$B$5:$B$353="11月中旬")*(③労働時間!$J$5:$J$353))</f>
        <v>0</v>
      </c>
      <c r="AJ18" s="383">
        <f>SUMPRODUCT((③労働時間!$A$5:$A$353=作業体系表!$B18)*(③労働時間!$B$5:$B$353="11月下旬")*(③労働時間!$J$5:$J$353))</f>
        <v>0</v>
      </c>
      <c r="AK18" s="383">
        <f>SUMPRODUCT((③労働時間!$A$5:$A$353=作業体系表!$B18)*(③労働時間!$B$5:$B$353="12月上旬")*(③労働時間!$J$5:$J$353))</f>
        <v>0</v>
      </c>
      <c r="AL18" s="383">
        <f>SUMPRODUCT((③労働時間!$A$5:$A$353=作業体系表!$B18)*(③労働時間!$B$5:$B$353="12月中旬")*(③労働時間!$J$5:$J$353))</f>
        <v>0</v>
      </c>
      <c r="AM18" s="385">
        <f>SUMPRODUCT((③労働時間!$A$5:$A$353=作業体系表!$B18)*(③労働時間!$B$5:$B$353="12月下旬")*(③労働時間!$J$5:$J$353))</f>
        <v>0</v>
      </c>
      <c r="AN18" s="386">
        <f t="shared" si="0"/>
        <v>0.1</v>
      </c>
    </row>
    <row r="19" spans="2:40" ht="15" customHeight="1">
      <c r="B19" s="737" t="str">
        <f>①技術体系!A16</f>
        <v>放牧管理(牧区3)</v>
      </c>
      <c r="C19" s="738"/>
      <c r="D19" s="383">
        <f>SUMPRODUCT((③労働時間!$A$5:$A$353=作業体系表!$B19)*(③労働時間!$B$5:$B$353="1月上旬")*(③労働時間!$J$5:$J$353))</f>
        <v>0</v>
      </c>
      <c r="E19" s="383">
        <f>SUMPRODUCT((③労働時間!$A$5:$A$353=作業体系表!$B19)*(③労働時間!$B$5:$B$353="1月中旬")*(③労働時間!$J$5:$J$353))</f>
        <v>0</v>
      </c>
      <c r="F19" s="383">
        <f>SUMPRODUCT((③労働時間!$A$5:$A$353=作業体系表!$B19)*(③労働時間!$B$5:$B$353="1月下旬")*(③労働時間!$J$5:$J$353))</f>
        <v>0</v>
      </c>
      <c r="G19" s="383">
        <f>SUMPRODUCT((③労働時間!$A$5:$A$353=作業体系表!$B19)*(③労働時間!$B$5:$B$353="2月上旬")*(③労働時間!$J$5:$J$353))</f>
        <v>0</v>
      </c>
      <c r="H19" s="383">
        <f>SUMPRODUCT((③労働時間!$A$5:$A$353=作業体系表!$B19)*(③労働時間!$B$5:$B$353="2月中旬")*(③労働時間!$J$5:$J$353))</f>
        <v>0</v>
      </c>
      <c r="I19" s="383">
        <f>SUMPRODUCT((③労働時間!$A$5:$A$353=作業体系表!$B19)*(③労働時間!$B$5:$B$353="2月下旬")*(③労働時間!$J$5:$J$353))</f>
        <v>0</v>
      </c>
      <c r="J19" s="383">
        <f>SUMPRODUCT((③労働時間!$A$5:$A$353=作業体系表!$B19)*(③労働時間!$B$5:$B$353="3月上旬")*(③労働時間!$J$5:$J$353))</f>
        <v>0</v>
      </c>
      <c r="K19" s="383">
        <f>SUMPRODUCT((③労働時間!$A$5:$A$353=作業体系表!$B19)*(③労働時間!$B$5:$B$353="3月中旬")*(③労働時間!$J$5:$J$353))</f>
        <v>0</v>
      </c>
      <c r="L19" s="383">
        <f>SUMPRODUCT((③労働時間!$A$5:$A$353=作業体系表!$B19)*(③労働時間!$B$5:$B$353="3月下旬")*(③労働時間!$J$5:$J$353))</f>
        <v>0</v>
      </c>
      <c r="M19" s="383">
        <f>SUMPRODUCT((③労働時間!$A$5:$A$353=作業体系表!$B19)*(③労働時間!$B$5:$B$353="4月上旬")*(③労働時間!$J$5:$J$353))</f>
        <v>0</v>
      </c>
      <c r="N19" s="383">
        <f>SUMPRODUCT((③労働時間!$A$5:$A$353=作業体系表!$B19)*(③労働時間!$B$5:$B$353="4月中旬")*(③労働時間!$J$5:$J$353))</f>
        <v>0</v>
      </c>
      <c r="O19" s="383">
        <f>SUMPRODUCT((③労働時間!$A$5:$A$353=作業体系表!$B19)*(③労働時間!$B$5:$B$353="4月下旬")*(③労働時間!$J$5:$J$353))</f>
        <v>0</v>
      </c>
      <c r="P19" s="384">
        <f>SUMPRODUCT((③労働時間!$A$5:$A$353=作業体系表!$B19)*(③労働時間!$B$5:$B$353="5月上旬")*(③労働時間!$J$5:$J$353))</f>
        <v>0</v>
      </c>
      <c r="Q19" s="383">
        <f>SUMPRODUCT((③労働時間!$A$5:$A$353=作業体系表!$B19)*(③労働時間!$B$5:$B$353="5月中旬")*(③労働時間!$J$5:$J$353))</f>
        <v>0</v>
      </c>
      <c r="R19" s="383">
        <f>SUMPRODUCT((③労働時間!$A$5:$A$353=作業体系表!$B19)*(③労働時間!$B$5:$B$353="5月下旬")*(③労働時間!$J$5:$J$353))</f>
        <v>0</v>
      </c>
      <c r="S19" s="383">
        <f>SUMPRODUCT((③労働時間!$A$5:$A$353=作業体系表!$B19)*(③労働時間!$B$5:$B$353="6月上旬")*(③労働時間!$J$5:$J$353))</f>
        <v>0</v>
      </c>
      <c r="T19" s="383">
        <f>SUMPRODUCT((③労働時間!$A$5:$A$353=作業体系表!$B19)*(③労働時間!$B$5:$B$353="6月中旬")*(③労働時間!$J$5:$J$353))</f>
        <v>0</v>
      </c>
      <c r="U19" s="383">
        <f>SUMPRODUCT((③労働時間!$A$5:$A$353=作業体系表!$B19)*(③労働時間!$B$5:$B$353="6月下旬")*(③労働時間!$J$5:$J$353))</f>
        <v>0</v>
      </c>
      <c r="V19" s="383">
        <f>SUMPRODUCT((③労働時間!$A$5:$A$353=作業体系表!$B19)*(③労働時間!$B$5:$B$353="7月上旬")*(③労働時間!$J$5:$J$353))</f>
        <v>0</v>
      </c>
      <c r="W19" s="383">
        <f>SUMPRODUCT((③労働時間!$A$5:$A$353=作業体系表!$B19)*(③労働時間!$B$5:$B$353="7月中旬")*(③労働時間!$J$5:$J$353))</f>
        <v>0</v>
      </c>
      <c r="X19" s="383">
        <f>SUMPRODUCT((③労働時間!$A$5:$A$353=作業体系表!$B19)*(③労働時間!$B$5:$B$353="7月下旬")*(③労働時間!$J$5:$J$353))</f>
        <v>0.5</v>
      </c>
      <c r="Y19" s="383">
        <f>SUMPRODUCT((③労働時間!$A$5:$A$353=作業体系表!$B19)*(③労働時間!$B$5:$B$353="8月上旬")*(③労働時間!$J$5:$J$353))</f>
        <v>0.5</v>
      </c>
      <c r="Z19" s="383">
        <f>SUMPRODUCT((③労働時間!$A$5:$A$353=作業体系表!$B19)*(③労働時間!$B$5:$B$353="8月中旬")*(③労働時間!$J$5:$J$353))</f>
        <v>0.5</v>
      </c>
      <c r="AA19" s="383">
        <f>SUMPRODUCT((③労働時間!$A$5:$A$353=作業体系表!$B19)*(③労働時間!$B$5:$B$353="8月下旬")*(③労働時間!$J$5:$J$353))</f>
        <v>0</v>
      </c>
      <c r="AB19" s="384">
        <f>SUMPRODUCT((③労働時間!$A$5:$A$353=作業体系表!$B19)*(③労働時間!$B$5:$B$353="9月上旬")*(③労働時間!$J$5:$J$353))</f>
        <v>0</v>
      </c>
      <c r="AC19" s="383">
        <f>SUMPRODUCT((③労働時間!$A$5:$A$353=作業体系表!$B19)*(③労働時間!$B$5:$B$353="9月中旬")*(③労働時間!$J$5:$J$353))</f>
        <v>0</v>
      </c>
      <c r="AD19" s="383">
        <f>SUMPRODUCT((③労働時間!$A$5:$A$353=作業体系表!$B19)*(③労働時間!$B$5:$B$353="9月下旬")*(③労働時間!$J$5:$J$353))</f>
        <v>0</v>
      </c>
      <c r="AE19" s="383">
        <f>SUMPRODUCT((③労働時間!$A$5:$A$353=作業体系表!$B19)*(③労働時間!$B$5:$B$353="10月上旬")*(③労働時間!$J$5:$J$353))</f>
        <v>0</v>
      </c>
      <c r="AF19" s="383">
        <f>SUMPRODUCT((③労働時間!$A$5:$A$353=作業体系表!$B19)*(③労働時間!$B$5:$B$353="10月中旬")*(③労働時間!$J$5:$J$353))</f>
        <v>0</v>
      </c>
      <c r="AG19" s="383">
        <f>SUMPRODUCT((③労働時間!$A$5:$A$353=作業体系表!$B19)*(③労働時間!$B$5:$B$353="10月下旬")*(③労働時間!$J$5:$J$353))</f>
        <v>0</v>
      </c>
      <c r="AH19" s="383">
        <f>SUMPRODUCT((③労働時間!$A$5:$A$353=作業体系表!$B19)*(③労働時間!$B$5:$B$353="11月上旬")*(③労働時間!$J$5:$J$353))</f>
        <v>0</v>
      </c>
      <c r="AI19" s="383">
        <f>SUMPRODUCT((③労働時間!$A$5:$A$353=作業体系表!$B19)*(③労働時間!$B$5:$B$353="11月中旬")*(③労働時間!$J$5:$J$353))</f>
        <v>0</v>
      </c>
      <c r="AJ19" s="383">
        <f>SUMPRODUCT((③労働時間!$A$5:$A$353=作業体系表!$B19)*(③労働時間!$B$5:$B$353="11月下旬")*(③労働時間!$J$5:$J$353))</f>
        <v>0</v>
      </c>
      <c r="AK19" s="383">
        <f>SUMPRODUCT((③労働時間!$A$5:$A$353=作業体系表!$B19)*(③労働時間!$B$5:$B$353="12月上旬")*(③労働時間!$J$5:$J$353))</f>
        <v>0</v>
      </c>
      <c r="AL19" s="383">
        <f>SUMPRODUCT((③労働時間!$A$5:$A$353=作業体系表!$B19)*(③労働時間!$B$5:$B$353="12月中旬")*(③労働時間!$J$5:$J$353))</f>
        <v>0</v>
      </c>
      <c r="AM19" s="385">
        <f>SUMPRODUCT((③労働時間!$A$5:$A$353=作業体系表!$B19)*(③労働時間!$B$5:$B$353="12月下旬")*(③労働時間!$J$5:$J$353))</f>
        <v>0</v>
      </c>
      <c r="AN19" s="386">
        <f t="shared" si="0"/>
        <v>1.5</v>
      </c>
    </row>
    <row r="20" spans="2:40" ht="15" customHeight="1">
      <c r="B20" s="737" t="str">
        <f>①技術体系!A17</f>
        <v>化粧刈(牧区２)</v>
      </c>
      <c r="C20" s="738"/>
      <c r="D20" s="383">
        <f>SUMPRODUCT((③労働時間!$A$5:$A$353=作業体系表!$B20)*(③労働時間!$B$5:$B$353="1月上旬")*(③労働時間!$J$5:$J$353))</f>
        <v>0</v>
      </c>
      <c r="E20" s="383">
        <f>SUMPRODUCT((③労働時間!$A$5:$A$353=作業体系表!$B20)*(③労働時間!$B$5:$B$353="1月中旬")*(③労働時間!$J$5:$J$353))</f>
        <v>0</v>
      </c>
      <c r="F20" s="383">
        <f>SUMPRODUCT((③労働時間!$A$5:$A$353=作業体系表!$B20)*(③労働時間!$B$5:$B$353="1月下旬")*(③労働時間!$J$5:$J$353))</f>
        <v>0</v>
      </c>
      <c r="G20" s="383">
        <f>SUMPRODUCT((③労働時間!$A$5:$A$353=作業体系表!$B20)*(③労働時間!$B$5:$B$353="2月上旬")*(③労働時間!$J$5:$J$353))</f>
        <v>0</v>
      </c>
      <c r="H20" s="383">
        <f>SUMPRODUCT((③労働時間!$A$5:$A$353=作業体系表!$B20)*(③労働時間!$B$5:$B$353="2月中旬")*(③労働時間!$J$5:$J$353))</f>
        <v>0</v>
      </c>
      <c r="I20" s="383">
        <f>SUMPRODUCT((③労働時間!$A$5:$A$353=作業体系表!$B20)*(③労働時間!$B$5:$B$353="2月下旬")*(③労働時間!$J$5:$J$353))</f>
        <v>0</v>
      </c>
      <c r="J20" s="383">
        <f>SUMPRODUCT((③労働時間!$A$5:$A$353=作業体系表!$B20)*(③労働時間!$B$5:$B$353="3月上旬")*(③労働時間!$J$5:$J$353))</f>
        <v>0</v>
      </c>
      <c r="K20" s="383">
        <f>SUMPRODUCT((③労働時間!$A$5:$A$353=作業体系表!$B20)*(③労働時間!$B$5:$B$353="3月中旬")*(③労働時間!$J$5:$J$353))</f>
        <v>0</v>
      </c>
      <c r="L20" s="383">
        <f>SUMPRODUCT((③労働時間!$A$5:$A$353=作業体系表!$B20)*(③労働時間!$B$5:$B$353="3月下旬")*(③労働時間!$J$5:$J$353))</f>
        <v>0</v>
      </c>
      <c r="M20" s="383">
        <f>SUMPRODUCT((③労働時間!$A$5:$A$353=作業体系表!$B20)*(③労働時間!$B$5:$B$353="4月上旬")*(③労働時間!$J$5:$J$353))</f>
        <v>0</v>
      </c>
      <c r="N20" s="383">
        <f>SUMPRODUCT((③労働時間!$A$5:$A$353=作業体系表!$B20)*(③労働時間!$B$5:$B$353="4月中旬")*(③労働時間!$J$5:$J$353))</f>
        <v>0</v>
      </c>
      <c r="O20" s="383">
        <f>SUMPRODUCT((③労働時間!$A$5:$A$353=作業体系表!$B20)*(③労働時間!$B$5:$B$353="4月下旬")*(③労働時間!$J$5:$J$353))</f>
        <v>0</v>
      </c>
      <c r="P20" s="384">
        <f>SUMPRODUCT((③労働時間!$A$5:$A$353=作業体系表!$B20)*(③労働時間!$B$5:$B$353="5月上旬")*(③労働時間!$J$5:$J$353))</f>
        <v>0</v>
      </c>
      <c r="Q20" s="383">
        <f>SUMPRODUCT((③労働時間!$A$5:$A$353=作業体系表!$B20)*(③労働時間!$B$5:$B$353="5月中旬")*(③労働時間!$J$5:$J$353))</f>
        <v>0</v>
      </c>
      <c r="R20" s="383">
        <f>SUMPRODUCT((③労働時間!$A$5:$A$353=作業体系表!$B20)*(③労働時間!$B$5:$B$353="5月下旬")*(③労働時間!$J$5:$J$353))</f>
        <v>0</v>
      </c>
      <c r="S20" s="383">
        <f>SUMPRODUCT((③労働時間!$A$5:$A$353=作業体系表!$B20)*(③労働時間!$B$5:$B$353="6月上旬")*(③労働時間!$J$5:$J$353))</f>
        <v>0</v>
      </c>
      <c r="T20" s="383">
        <f>SUMPRODUCT((③労働時間!$A$5:$A$353=作業体系表!$B20)*(③労働時間!$B$5:$B$353="6月中旬")*(③労働時間!$J$5:$J$353))</f>
        <v>0</v>
      </c>
      <c r="U20" s="383">
        <f>SUMPRODUCT((③労働時間!$A$5:$A$353=作業体系表!$B20)*(③労働時間!$B$5:$B$353="6月下旬")*(③労働時間!$J$5:$J$353))</f>
        <v>0</v>
      </c>
      <c r="V20" s="383">
        <f>SUMPRODUCT((③労働時間!$A$5:$A$353=作業体系表!$B20)*(③労働時間!$B$5:$B$353="7月上旬")*(③労働時間!$J$5:$J$353))</f>
        <v>0</v>
      </c>
      <c r="W20" s="383">
        <f>SUMPRODUCT((③労働時間!$A$5:$A$353=作業体系表!$B20)*(③労働時間!$B$5:$B$353="7月中旬")*(③労働時間!$J$5:$J$353))</f>
        <v>0</v>
      </c>
      <c r="X20" s="383">
        <f>SUMPRODUCT((③労働時間!$A$5:$A$353=作業体系表!$B20)*(③労働時間!$B$5:$B$353="7月下旬")*(③労働時間!$J$5:$J$353))</f>
        <v>0.10000160002560042</v>
      </c>
      <c r="Y20" s="383">
        <f>SUMPRODUCT((③労働時間!$A$5:$A$353=作業体系表!$B20)*(③労働時間!$B$5:$B$353="8月上旬")*(③労働時間!$J$5:$J$353))</f>
        <v>0</v>
      </c>
      <c r="Z20" s="383">
        <f>SUMPRODUCT((③労働時間!$A$5:$A$353=作業体系表!$B20)*(③労働時間!$B$5:$B$353="8月中旬")*(③労働時間!$J$5:$J$353))</f>
        <v>0</v>
      </c>
      <c r="AA20" s="383">
        <f>SUMPRODUCT((③労働時間!$A$5:$A$353=作業体系表!$B20)*(③労働時間!$B$5:$B$353="8月下旬")*(③労働時間!$J$5:$J$353))</f>
        <v>0</v>
      </c>
      <c r="AB20" s="384">
        <f>SUMPRODUCT((③労働時間!$A$5:$A$353=作業体系表!$B20)*(③労働時間!$B$5:$B$353="9月上旬")*(③労働時間!$J$5:$J$353))</f>
        <v>0</v>
      </c>
      <c r="AC20" s="383">
        <f>SUMPRODUCT((③労働時間!$A$5:$A$353=作業体系表!$B20)*(③労働時間!$B$5:$B$353="9月中旬")*(③労働時間!$J$5:$J$353))</f>
        <v>0</v>
      </c>
      <c r="AD20" s="383">
        <f>SUMPRODUCT((③労働時間!$A$5:$A$353=作業体系表!$B20)*(③労働時間!$B$5:$B$353="9月下旬")*(③労働時間!$J$5:$J$353))</f>
        <v>0</v>
      </c>
      <c r="AE20" s="383">
        <f>SUMPRODUCT((③労働時間!$A$5:$A$353=作業体系表!$B20)*(③労働時間!$B$5:$B$353="10月上旬")*(③労働時間!$J$5:$J$353))</f>
        <v>0</v>
      </c>
      <c r="AF20" s="383">
        <f>SUMPRODUCT((③労働時間!$A$5:$A$353=作業体系表!$B20)*(③労働時間!$B$5:$B$353="10月中旬")*(③労働時間!$J$5:$J$353))</f>
        <v>0</v>
      </c>
      <c r="AG20" s="383">
        <f>SUMPRODUCT((③労働時間!$A$5:$A$353=作業体系表!$B20)*(③労働時間!$B$5:$B$353="10月下旬")*(③労働時間!$J$5:$J$353))</f>
        <v>0</v>
      </c>
      <c r="AH20" s="383">
        <f>SUMPRODUCT((③労働時間!$A$5:$A$353=作業体系表!$B20)*(③労働時間!$B$5:$B$353="11月上旬")*(③労働時間!$J$5:$J$353))</f>
        <v>0</v>
      </c>
      <c r="AI20" s="383">
        <f>SUMPRODUCT((③労働時間!$A$5:$A$353=作業体系表!$B20)*(③労働時間!$B$5:$B$353="11月中旬")*(③労働時間!$J$5:$J$353))</f>
        <v>0</v>
      </c>
      <c r="AJ20" s="383">
        <f>SUMPRODUCT((③労働時間!$A$5:$A$353=作業体系表!$B20)*(③労働時間!$B$5:$B$353="11月下旬")*(③労働時間!$J$5:$J$353))</f>
        <v>0</v>
      </c>
      <c r="AK20" s="383">
        <f>SUMPRODUCT((③労働時間!$A$5:$A$353=作業体系表!$B20)*(③労働時間!$B$5:$B$353="12月上旬")*(③労働時間!$J$5:$J$353))</f>
        <v>0</v>
      </c>
      <c r="AL20" s="383">
        <f>SUMPRODUCT((③労働時間!$A$5:$A$353=作業体系表!$B20)*(③労働時間!$B$5:$B$353="12月中旬")*(③労働時間!$J$5:$J$353))</f>
        <v>0</v>
      </c>
      <c r="AM20" s="385">
        <f>SUMPRODUCT((③労働時間!$A$5:$A$353=作業体系表!$B20)*(③労働時間!$B$5:$B$353="12月下旬")*(③労働時間!$J$5:$J$353))</f>
        <v>0</v>
      </c>
      <c r="AN20" s="386">
        <f t="shared" si="0"/>
        <v>0.10000160002560042</v>
      </c>
    </row>
    <row r="21" spans="2:40" ht="15" customHeight="1">
      <c r="B21" s="737" t="str">
        <f>①技術体系!A18</f>
        <v>転牧(牧区１)</v>
      </c>
      <c r="C21" s="738"/>
      <c r="D21" s="383">
        <f>SUMPRODUCT((③労働時間!$A$5:$A$353=作業体系表!$B21)*(③労働時間!$B$5:$B$353="1月上旬")*(③労働時間!$J$5:$J$353))</f>
        <v>0</v>
      </c>
      <c r="E21" s="383">
        <f>SUMPRODUCT((③労働時間!$A$5:$A$353=作業体系表!$B21)*(③労働時間!$B$5:$B$353="1月中旬")*(③労働時間!$J$5:$J$353))</f>
        <v>0</v>
      </c>
      <c r="F21" s="383">
        <f>SUMPRODUCT((③労働時間!$A$5:$A$353=作業体系表!$B21)*(③労働時間!$B$5:$B$353="1月下旬")*(③労働時間!$J$5:$J$353))</f>
        <v>0</v>
      </c>
      <c r="G21" s="383">
        <f>SUMPRODUCT((③労働時間!$A$5:$A$353=作業体系表!$B21)*(③労働時間!$B$5:$B$353="2月上旬")*(③労働時間!$J$5:$J$353))</f>
        <v>0</v>
      </c>
      <c r="H21" s="383">
        <f>SUMPRODUCT((③労働時間!$A$5:$A$353=作業体系表!$B21)*(③労働時間!$B$5:$B$353="2月中旬")*(③労働時間!$J$5:$J$353))</f>
        <v>0</v>
      </c>
      <c r="I21" s="383">
        <f>SUMPRODUCT((③労働時間!$A$5:$A$353=作業体系表!$B21)*(③労働時間!$B$5:$B$353="2月下旬")*(③労働時間!$J$5:$J$353))</f>
        <v>0</v>
      </c>
      <c r="J21" s="383">
        <f>SUMPRODUCT((③労働時間!$A$5:$A$353=作業体系表!$B21)*(③労働時間!$B$5:$B$353="3月上旬")*(③労働時間!$J$5:$J$353))</f>
        <v>0</v>
      </c>
      <c r="K21" s="383">
        <f>SUMPRODUCT((③労働時間!$A$5:$A$353=作業体系表!$B21)*(③労働時間!$B$5:$B$353="3月中旬")*(③労働時間!$J$5:$J$353))</f>
        <v>0</v>
      </c>
      <c r="L21" s="383">
        <f>SUMPRODUCT((③労働時間!$A$5:$A$353=作業体系表!$B21)*(③労働時間!$B$5:$B$353="3月下旬")*(③労働時間!$J$5:$J$353))</f>
        <v>0</v>
      </c>
      <c r="M21" s="383">
        <f>SUMPRODUCT((③労働時間!$A$5:$A$353=作業体系表!$B21)*(③労働時間!$B$5:$B$353="4月上旬")*(③労働時間!$J$5:$J$353))</f>
        <v>0</v>
      </c>
      <c r="N21" s="383">
        <f>SUMPRODUCT((③労働時間!$A$5:$A$353=作業体系表!$B21)*(③労働時間!$B$5:$B$353="4月中旬")*(③労働時間!$J$5:$J$353))</f>
        <v>0</v>
      </c>
      <c r="O21" s="383">
        <f>SUMPRODUCT((③労働時間!$A$5:$A$353=作業体系表!$B21)*(③労働時間!$B$5:$B$353="4月下旬")*(③労働時間!$J$5:$J$353))</f>
        <v>0</v>
      </c>
      <c r="P21" s="384">
        <f>SUMPRODUCT((③労働時間!$A$5:$A$353=作業体系表!$B21)*(③労働時間!$B$5:$B$353="5月上旬")*(③労働時間!$J$5:$J$353))</f>
        <v>0</v>
      </c>
      <c r="Q21" s="383">
        <f>SUMPRODUCT((③労働時間!$A$5:$A$353=作業体系表!$B21)*(③労働時間!$B$5:$B$353="5月中旬")*(③労働時間!$J$5:$J$353))</f>
        <v>0</v>
      </c>
      <c r="R21" s="383">
        <f>SUMPRODUCT((③労働時間!$A$5:$A$353=作業体系表!$B21)*(③労働時間!$B$5:$B$353="5月下旬")*(③労働時間!$J$5:$J$353))</f>
        <v>0</v>
      </c>
      <c r="S21" s="383">
        <f>SUMPRODUCT((③労働時間!$A$5:$A$353=作業体系表!$B21)*(③労働時間!$B$5:$B$353="6月上旬")*(③労働時間!$J$5:$J$353))</f>
        <v>0</v>
      </c>
      <c r="T21" s="383">
        <f>SUMPRODUCT((③労働時間!$A$5:$A$353=作業体系表!$B21)*(③労働時間!$B$5:$B$353="6月中旬")*(③労働時間!$J$5:$J$353))</f>
        <v>0</v>
      </c>
      <c r="U21" s="383">
        <f>SUMPRODUCT((③労働時間!$A$5:$A$353=作業体系表!$B21)*(③労働時間!$B$5:$B$353="6月下旬")*(③労働時間!$J$5:$J$353))</f>
        <v>0</v>
      </c>
      <c r="V21" s="383">
        <f>SUMPRODUCT((③労働時間!$A$5:$A$353=作業体系表!$B21)*(③労働時間!$B$5:$B$353="7月上旬")*(③労働時間!$J$5:$J$353))</f>
        <v>0</v>
      </c>
      <c r="W21" s="383">
        <f>SUMPRODUCT((③労働時間!$A$5:$A$353=作業体系表!$B21)*(③労働時間!$B$5:$B$353="7月中旬")*(③労働時間!$J$5:$J$353))</f>
        <v>0</v>
      </c>
      <c r="X21" s="383">
        <f>SUMPRODUCT((③労働時間!$A$5:$A$353=作業体系表!$B21)*(③労働時間!$B$5:$B$353="7月下旬")*(③労働時間!$J$5:$J$353))</f>
        <v>0</v>
      </c>
      <c r="Y21" s="383">
        <f>SUMPRODUCT((③労働時間!$A$5:$A$353=作業体系表!$B21)*(③労働時間!$B$5:$B$353="8月上旬")*(③労働時間!$J$5:$J$353))</f>
        <v>0</v>
      </c>
      <c r="Z21" s="383">
        <f>SUMPRODUCT((③労働時間!$A$5:$A$353=作業体系表!$B21)*(③労働時間!$B$5:$B$353="8月中旬")*(③労働時間!$J$5:$J$353))</f>
        <v>0</v>
      </c>
      <c r="AA21" s="383">
        <f>SUMPRODUCT((③労働時間!$A$5:$A$353=作業体系表!$B21)*(③労働時間!$B$5:$B$353="8月下旬")*(③労働時間!$J$5:$J$353))</f>
        <v>0.1</v>
      </c>
      <c r="AB21" s="384">
        <f>SUMPRODUCT((③労働時間!$A$5:$A$353=作業体系表!$B21)*(③労働時間!$B$5:$B$353="9月上旬")*(③労働時間!$J$5:$J$353))</f>
        <v>0</v>
      </c>
      <c r="AC21" s="383">
        <f>SUMPRODUCT((③労働時間!$A$5:$A$353=作業体系表!$B21)*(③労働時間!$B$5:$B$353="9月中旬")*(③労働時間!$J$5:$J$353))</f>
        <v>0</v>
      </c>
      <c r="AD21" s="383">
        <f>SUMPRODUCT((③労働時間!$A$5:$A$353=作業体系表!$B21)*(③労働時間!$B$5:$B$353="9月下旬")*(③労働時間!$J$5:$J$353))</f>
        <v>0</v>
      </c>
      <c r="AE21" s="383">
        <f>SUMPRODUCT((③労働時間!$A$5:$A$353=作業体系表!$B21)*(③労働時間!$B$5:$B$353="10月上旬")*(③労働時間!$J$5:$J$353))</f>
        <v>0</v>
      </c>
      <c r="AF21" s="383">
        <f>SUMPRODUCT((③労働時間!$A$5:$A$353=作業体系表!$B21)*(③労働時間!$B$5:$B$353="10月中旬")*(③労働時間!$J$5:$J$353))</f>
        <v>0</v>
      </c>
      <c r="AG21" s="383">
        <f>SUMPRODUCT((③労働時間!$A$5:$A$353=作業体系表!$B21)*(③労働時間!$B$5:$B$353="10月下旬")*(③労働時間!$J$5:$J$353))</f>
        <v>0</v>
      </c>
      <c r="AH21" s="383">
        <f>SUMPRODUCT((③労働時間!$A$5:$A$353=作業体系表!$B21)*(③労働時間!$B$5:$B$353="11月上旬")*(③労働時間!$J$5:$J$353))</f>
        <v>0</v>
      </c>
      <c r="AI21" s="383">
        <f>SUMPRODUCT((③労働時間!$A$5:$A$353=作業体系表!$B21)*(③労働時間!$B$5:$B$353="11月中旬")*(③労働時間!$J$5:$J$353))</f>
        <v>0</v>
      </c>
      <c r="AJ21" s="383">
        <f>SUMPRODUCT((③労働時間!$A$5:$A$353=作業体系表!$B21)*(③労働時間!$B$5:$B$353="11月下旬")*(③労働時間!$J$5:$J$353))</f>
        <v>0</v>
      </c>
      <c r="AK21" s="383">
        <f>SUMPRODUCT((③労働時間!$A$5:$A$353=作業体系表!$B21)*(③労働時間!$B$5:$B$353="12月上旬")*(③労働時間!$J$5:$J$353))</f>
        <v>0</v>
      </c>
      <c r="AL21" s="383">
        <f>SUMPRODUCT((③労働時間!$A$5:$A$353=作業体系表!$B21)*(③労働時間!$B$5:$B$353="12月中旬")*(③労働時間!$J$5:$J$353))</f>
        <v>0</v>
      </c>
      <c r="AM21" s="385">
        <f>SUMPRODUCT((③労働時間!$A$5:$A$353=作業体系表!$B21)*(③労働時間!$B$5:$B$353="12月下旬")*(③労働時間!$J$5:$J$353))</f>
        <v>0</v>
      </c>
      <c r="AN21" s="386">
        <f t="shared" si="0"/>
        <v>0.1</v>
      </c>
    </row>
    <row r="22" spans="2:40" ht="15" customHeight="1">
      <c r="B22" s="737" t="str">
        <f>①技術体系!A19</f>
        <v>放牧管理(牧区1')</v>
      </c>
      <c r="C22" s="738"/>
      <c r="D22" s="383">
        <f>SUMPRODUCT((③労働時間!$A$5:$A$353=作業体系表!$B22)*(③労働時間!$B$5:$B$353="1月上旬")*(③労働時間!$J$5:$J$353))</f>
        <v>0</v>
      </c>
      <c r="E22" s="383">
        <f>SUMPRODUCT((③労働時間!$A$5:$A$353=作業体系表!$B22)*(③労働時間!$B$5:$B$353="1月中旬")*(③労働時間!$J$5:$J$353))</f>
        <v>0</v>
      </c>
      <c r="F22" s="383">
        <f>SUMPRODUCT((③労働時間!$A$5:$A$353=作業体系表!$B22)*(③労働時間!$B$5:$B$353="1月下旬")*(③労働時間!$J$5:$J$353))</f>
        <v>0</v>
      </c>
      <c r="G22" s="383">
        <f>SUMPRODUCT((③労働時間!$A$5:$A$353=作業体系表!$B22)*(③労働時間!$B$5:$B$353="2月上旬")*(③労働時間!$J$5:$J$353))</f>
        <v>0</v>
      </c>
      <c r="H22" s="383">
        <f>SUMPRODUCT((③労働時間!$A$5:$A$353=作業体系表!$B22)*(③労働時間!$B$5:$B$353="2月中旬")*(③労働時間!$J$5:$J$353))</f>
        <v>0</v>
      </c>
      <c r="I22" s="383">
        <f>SUMPRODUCT((③労働時間!$A$5:$A$353=作業体系表!$B22)*(③労働時間!$B$5:$B$353="2月下旬")*(③労働時間!$J$5:$J$353))</f>
        <v>0</v>
      </c>
      <c r="J22" s="383">
        <f>SUMPRODUCT((③労働時間!$A$5:$A$353=作業体系表!$B22)*(③労働時間!$B$5:$B$353="3月上旬")*(③労働時間!$J$5:$J$353))</f>
        <v>0</v>
      </c>
      <c r="K22" s="383">
        <f>SUMPRODUCT((③労働時間!$A$5:$A$353=作業体系表!$B22)*(③労働時間!$B$5:$B$353="3月中旬")*(③労働時間!$J$5:$J$353))</f>
        <v>0</v>
      </c>
      <c r="L22" s="383">
        <f>SUMPRODUCT((③労働時間!$A$5:$A$353=作業体系表!$B22)*(③労働時間!$B$5:$B$353="3月下旬")*(③労働時間!$J$5:$J$353))</f>
        <v>0</v>
      </c>
      <c r="M22" s="383">
        <f>SUMPRODUCT((③労働時間!$A$5:$A$353=作業体系表!$B22)*(③労働時間!$B$5:$B$353="4月上旬")*(③労働時間!$J$5:$J$353))</f>
        <v>0</v>
      </c>
      <c r="N22" s="383">
        <f>SUMPRODUCT((③労働時間!$A$5:$A$353=作業体系表!$B22)*(③労働時間!$B$5:$B$353="4月中旬")*(③労働時間!$J$5:$J$353))</f>
        <v>0</v>
      </c>
      <c r="O22" s="383">
        <f>SUMPRODUCT((③労働時間!$A$5:$A$353=作業体系表!$B22)*(③労働時間!$B$5:$B$353="4月下旬")*(③労働時間!$J$5:$J$353))</f>
        <v>0</v>
      </c>
      <c r="P22" s="384">
        <f>SUMPRODUCT((③労働時間!$A$5:$A$353=作業体系表!$B22)*(③労働時間!$B$5:$B$353="5月上旬")*(③労働時間!$J$5:$J$353))</f>
        <v>0</v>
      </c>
      <c r="Q22" s="383">
        <f>SUMPRODUCT((③労働時間!$A$5:$A$353=作業体系表!$B22)*(③労働時間!$B$5:$B$353="5月中旬")*(③労働時間!$J$5:$J$353))</f>
        <v>0</v>
      </c>
      <c r="R22" s="383">
        <f>SUMPRODUCT((③労働時間!$A$5:$A$353=作業体系表!$B22)*(③労働時間!$B$5:$B$353="5月下旬")*(③労働時間!$J$5:$J$353))</f>
        <v>0</v>
      </c>
      <c r="S22" s="383">
        <f>SUMPRODUCT((③労働時間!$A$5:$A$353=作業体系表!$B22)*(③労働時間!$B$5:$B$353="6月上旬")*(③労働時間!$J$5:$J$353))</f>
        <v>0</v>
      </c>
      <c r="T22" s="383">
        <f>SUMPRODUCT((③労働時間!$A$5:$A$353=作業体系表!$B22)*(③労働時間!$B$5:$B$353="6月中旬")*(③労働時間!$J$5:$J$353))</f>
        <v>0</v>
      </c>
      <c r="U22" s="383">
        <f>SUMPRODUCT((③労働時間!$A$5:$A$353=作業体系表!$B22)*(③労働時間!$B$5:$B$353="6月下旬")*(③労働時間!$J$5:$J$353))</f>
        <v>0</v>
      </c>
      <c r="V22" s="383">
        <f>SUMPRODUCT((③労働時間!$A$5:$A$353=作業体系表!$B22)*(③労働時間!$B$5:$B$353="7月上旬")*(③労働時間!$J$5:$J$353))</f>
        <v>0</v>
      </c>
      <c r="W22" s="383">
        <f>SUMPRODUCT((③労働時間!$A$5:$A$353=作業体系表!$B22)*(③労働時間!$B$5:$B$353="7月中旬")*(③労働時間!$J$5:$J$353))</f>
        <v>0</v>
      </c>
      <c r="X22" s="383">
        <f>SUMPRODUCT((③労働時間!$A$5:$A$353=作業体系表!$B22)*(③労働時間!$B$5:$B$353="7月下旬")*(③労働時間!$J$5:$J$353))</f>
        <v>0</v>
      </c>
      <c r="Y22" s="383">
        <f>SUMPRODUCT((③労働時間!$A$5:$A$353=作業体系表!$B22)*(③労働時間!$B$5:$B$353="8月上旬")*(③労働時間!$J$5:$J$353))</f>
        <v>0</v>
      </c>
      <c r="Z22" s="383">
        <f>SUMPRODUCT((③労働時間!$A$5:$A$353=作業体系表!$B22)*(③労働時間!$B$5:$B$353="8月中旬")*(③労働時間!$J$5:$J$353))</f>
        <v>0</v>
      </c>
      <c r="AA22" s="383">
        <f>SUMPRODUCT((③労働時間!$A$5:$A$353=作業体系表!$B22)*(③労働時間!$B$5:$B$353="8月下旬")*(③労働時間!$J$5:$J$353))</f>
        <v>0.5</v>
      </c>
      <c r="AB22" s="384">
        <f>SUMPRODUCT((③労働時間!$A$5:$A$353=作業体系表!$B22)*(③労働時間!$B$5:$B$353="9月上旬")*(③労働時間!$J$5:$J$353))</f>
        <v>0.5</v>
      </c>
      <c r="AC22" s="383">
        <f>SUMPRODUCT((③労働時間!$A$5:$A$353=作業体系表!$B22)*(③労働時間!$B$5:$B$353="9月中旬")*(③労働時間!$J$5:$J$353))</f>
        <v>0.5</v>
      </c>
      <c r="AD22" s="383">
        <f>SUMPRODUCT((③労働時間!$A$5:$A$353=作業体系表!$B22)*(③労働時間!$B$5:$B$353="9月下旬")*(③労働時間!$J$5:$J$353))</f>
        <v>0</v>
      </c>
      <c r="AE22" s="383">
        <f>SUMPRODUCT((③労働時間!$A$5:$A$353=作業体系表!$B22)*(③労働時間!$B$5:$B$353="10月上旬")*(③労働時間!$J$5:$J$353))</f>
        <v>0</v>
      </c>
      <c r="AF22" s="383">
        <f>SUMPRODUCT((③労働時間!$A$5:$A$353=作業体系表!$B22)*(③労働時間!$B$5:$B$353="10月中旬")*(③労働時間!$J$5:$J$353))</f>
        <v>0</v>
      </c>
      <c r="AG22" s="383">
        <f>SUMPRODUCT((③労働時間!$A$5:$A$353=作業体系表!$B22)*(③労働時間!$B$5:$B$353="10月下旬")*(③労働時間!$J$5:$J$353))</f>
        <v>0</v>
      </c>
      <c r="AH22" s="383">
        <f>SUMPRODUCT((③労働時間!$A$5:$A$353=作業体系表!$B22)*(③労働時間!$B$5:$B$353="11月上旬")*(③労働時間!$J$5:$J$353))</f>
        <v>0</v>
      </c>
      <c r="AI22" s="383">
        <f>SUMPRODUCT((③労働時間!$A$5:$A$353=作業体系表!$B22)*(③労働時間!$B$5:$B$353="11月中旬")*(③労働時間!$J$5:$J$353))</f>
        <v>0</v>
      </c>
      <c r="AJ22" s="383">
        <f>SUMPRODUCT((③労働時間!$A$5:$A$353=作業体系表!$B22)*(③労働時間!$B$5:$B$353="11月下旬")*(③労働時間!$J$5:$J$353))</f>
        <v>0</v>
      </c>
      <c r="AK22" s="383">
        <f>SUMPRODUCT((③労働時間!$A$5:$A$353=作業体系表!$B22)*(③労働時間!$B$5:$B$353="12月上旬")*(③労働時間!$J$5:$J$353))</f>
        <v>0</v>
      </c>
      <c r="AL22" s="383">
        <f>SUMPRODUCT((③労働時間!$A$5:$A$353=作業体系表!$B22)*(③労働時間!$B$5:$B$353="12月中旬")*(③労働時間!$J$5:$J$353))</f>
        <v>0</v>
      </c>
      <c r="AM22" s="385">
        <f>SUMPRODUCT((③労働時間!$A$5:$A$353=作業体系表!$B22)*(③労働時間!$B$5:$B$353="12月下旬")*(③労働時間!$J$5:$J$353))</f>
        <v>0</v>
      </c>
      <c r="AN22" s="386">
        <f t="shared" si="0"/>
        <v>1.5</v>
      </c>
    </row>
    <row r="23" spans="2:40" ht="15" customHeight="1">
      <c r="B23" s="737" t="str">
        <f>①技術体系!A20</f>
        <v>化粧刈(牧区３)</v>
      </c>
      <c r="C23" s="738"/>
      <c r="D23" s="383">
        <f>SUMPRODUCT((③労働時間!$A$5:$A$353=作業体系表!$B23)*(③労働時間!$B$5:$B$353="1月上旬")*(③労働時間!$J$5:$J$353))</f>
        <v>0</v>
      </c>
      <c r="E23" s="383">
        <f>SUMPRODUCT((③労働時間!$A$5:$A$353=作業体系表!$B23)*(③労働時間!$B$5:$B$353="1月中旬")*(③労働時間!$J$5:$J$353))</f>
        <v>0</v>
      </c>
      <c r="F23" s="383">
        <f>SUMPRODUCT((③労働時間!$A$5:$A$353=作業体系表!$B23)*(③労働時間!$B$5:$B$353="1月下旬")*(③労働時間!$J$5:$J$353))</f>
        <v>0</v>
      </c>
      <c r="G23" s="383">
        <f>SUMPRODUCT((③労働時間!$A$5:$A$353=作業体系表!$B23)*(③労働時間!$B$5:$B$353="2月上旬")*(③労働時間!$J$5:$J$353))</f>
        <v>0</v>
      </c>
      <c r="H23" s="383">
        <f>SUMPRODUCT((③労働時間!$A$5:$A$353=作業体系表!$B23)*(③労働時間!$B$5:$B$353="2月中旬")*(③労働時間!$J$5:$J$353))</f>
        <v>0</v>
      </c>
      <c r="I23" s="383">
        <f>SUMPRODUCT((③労働時間!$A$5:$A$353=作業体系表!$B23)*(③労働時間!$B$5:$B$353="2月下旬")*(③労働時間!$J$5:$J$353))</f>
        <v>0</v>
      </c>
      <c r="J23" s="383">
        <f>SUMPRODUCT((③労働時間!$A$5:$A$353=作業体系表!$B23)*(③労働時間!$B$5:$B$353="3月上旬")*(③労働時間!$J$5:$J$353))</f>
        <v>0</v>
      </c>
      <c r="K23" s="383">
        <f>SUMPRODUCT((③労働時間!$A$5:$A$353=作業体系表!$B23)*(③労働時間!$B$5:$B$353="3月中旬")*(③労働時間!$J$5:$J$353))</f>
        <v>0</v>
      </c>
      <c r="L23" s="383">
        <f>SUMPRODUCT((③労働時間!$A$5:$A$353=作業体系表!$B23)*(③労働時間!$B$5:$B$353="3月下旬")*(③労働時間!$J$5:$J$353))</f>
        <v>0</v>
      </c>
      <c r="M23" s="383">
        <f>SUMPRODUCT((③労働時間!$A$5:$A$353=作業体系表!$B23)*(③労働時間!$B$5:$B$353="4月上旬")*(③労働時間!$J$5:$J$353))</f>
        <v>0</v>
      </c>
      <c r="N23" s="383">
        <f>SUMPRODUCT((③労働時間!$A$5:$A$353=作業体系表!$B23)*(③労働時間!$B$5:$B$353="4月中旬")*(③労働時間!$J$5:$J$353))</f>
        <v>0</v>
      </c>
      <c r="O23" s="383">
        <f>SUMPRODUCT((③労働時間!$A$5:$A$353=作業体系表!$B23)*(③労働時間!$B$5:$B$353="4月下旬")*(③労働時間!$J$5:$J$353))</f>
        <v>0</v>
      </c>
      <c r="P23" s="384">
        <f>SUMPRODUCT((③労働時間!$A$5:$A$353=作業体系表!$B23)*(③労働時間!$B$5:$B$353="5月上旬")*(③労働時間!$J$5:$J$353))</f>
        <v>0</v>
      </c>
      <c r="Q23" s="383">
        <f>SUMPRODUCT((③労働時間!$A$5:$A$353=作業体系表!$B23)*(③労働時間!$B$5:$B$353="5月中旬")*(③労働時間!$J$5:$J$353))</f>
        <v>0</v>
      </c>
      <c r="R23" s="383">
        <f>SUMPRODUCT((③労働時間!$A$5:$A$353=作業体系表!$B23)*(③労働時間!$B$5:$B$353="5月下旬")*(③労働時間!$J$5:$J$353))</f>
        <v>0</v>
      </c>
      <c r="S23" s="383">
        <f>SUMPRODUCT((③労働時間!$A$5:$A$353=作業体系表!$B23)*(③労働時間!$B$5:$B$353="6月上旬")*(③労働時間!$J$5:$J$353))</f>
        <v>0</v>
      </c>
      <c r="T23" s="383">
        <f>SUMPRODUCT((③労働時間!$A$5:$A$353=作業体系表!$B23)*(③労働時間!$B$5:$B$353="6月中旬")*(③労働時間!$J$5:$J$353))</f>
        <v>0</v>
      </c>
      <c r="U23" s="383">
        <f>SUMPRODUCT((③労働時間!$A$5:$A$353=作業体系表!$B23)*(③労働時間!$B$5:$B$353="6月下旬")*(③労働時間!$J$5:$J$353))</f>
        <v>0</v>
      </c>
      <c r="V23" s="383">
        <f>SUMPRODUCT((③労働時間!$A$5:$A$353=作業体系表!$B23)*(③労働時間!$B$5:$B$353="7月上旬")*(③労働時間!$J$5:$J$353))</f>
        <v>0</v>
      </c>
      <c r="W23" s="383">
        <f>SUMPRODUCT((③労働時間!$A$5:$A$353=作業体系表!$B23)*(③労働時間!$B$5:$B$353="7月中旬")*(③労働時間!$J$5:$J$353))</f>
        <v>0</v>
      </c>
      <c r="X23" s="383">
        <f>SUMPRODUCT((③労働時間!$A$5:$A$353=作業体系表!$B23)*(③労働時間!$B$5:$B$353="7月下旬")*(③労働時間!$J$5:$J$353))</f>
        <v>0</v>
      </c>
      <c r="Y23" s="383">
        <f>SUMPRODUCT((③労働時間!$A$5:$A$353=作業体系表!$B23)*(③労働時間!$B$5:$B$353="8月上旬")*(③労働時間!$J$5:$J$353))</f>
        <v>0</v>
      </c>
      <c r="Z23" s="383">
        <f>SUMPRODUCT((③労働時間!$A$5:$A$353=作業体系表!$B23)*(③労働時間!$B$5:$B$353="8月中旬")*(③労働時間!$J$5:$J$353))</f>
        <v>0</v>
      </c>
      <c r="AA23" s="383">
        <f>SUMPRODUCT((③労働時間!$A$5:$A$353=作業体系表!$B23)*(③労働時間!$B$5:$B$353="8月下旬")*(③労働時間!$J$5:$J$353))</f>
        <v>0.10000160002560042</v>
      </c>
      <c r="AB23" s="384">
        <f>SUMPRODUCT((③労働時間!$A$5:$A$353=作業体系表!$B23)*(③労働時間!$B$5:$B$353="9月上旬")*(③労働時間!$J$5:$J$353))</f>
        <v>0</v>
      </c>
      <c r="AC23" s="383">
        <f>SUMPRODUCT((③労働時間!$A$5:$A$353=作業体系表!$B23)*(③労働時間!$B$5:$B$353="9月中旬")*(③労働時間!$J$5:$J$353))</f>
        <v>0</v>
      </c>
      <c r="AD23" s="383">
        <f>SUMPRODUCT((③労働時間!$A$5:$A$353=作業体系表!$B23)*(③労働時間!$B$5:$B$353="9月下旬")*(③労働時間!$J$5:$J$353))</f>
        <v>0</v>
      </c>
      <c r="AE23" s="383">
        <f>SUMPRODUCT((③労働時間!$A$5:$A$353=作業体系表!$B23)*(③労働時間!$B$5:$B$353="10月上旬")*(③労働時間!$J$5:$J$353))</f>
        <v>0</v>
      </c>
      <c r="AF23" s="383">
        <f>SUMPRODUCT((③労働時間!$A$5:$A$353=作業体系表!$B23)*(③労働時間!$B$5:$B$353="10月中旬")*(③労働時間!$J$5:$J$353))</f>
        <v>0</v>
      </c>
      <c r="AG23" s="383">
        <f>SUMPRODUCT((③労働時間!$A$5:$A$353=作業体系表!$B23)*(③労働時間!$B$5:$B$353="10月下旬")*(③労働時間!$J$5:$J$353))</f>
        <v>0</v>
      </c>
      <c r="AH23" s="383">
        <f>SUMPRODUCT((③労働時間!$A$5:$A$353=作業体系表!$B23)*(③労働時間!$B$5:$B$353="11月上旬")*(③労働時間!$J$5:$J$353))</f>
        <v>0</v>
      </c>
      <c r="AI23" s="383">
        <f>SUMPRODUCT((③労働時間!$A$5:$A$353=作業体系表!$B23)*(③労働時間!$B$5:$B$353="11月中旬")*(③労働時間!$J$5:$J$353))</f>
        <v>0</v>
      </c>
      <c r="AJ23" s="383">
        <f>SUMPRODUCT((③労働時間!$A$5:$A$353=作業体系表!$B23)*(③労働時間!$B$5:$B$353="11月下旬")*(③労働時間!$J$5:$J$353))</f>
        <v>0</v>
      </c>
      <c r="AK23" s="383">
        <f>SUMPRODUCT((③労働時間!$A$5:$A$353=作業体系表!$B23)*(③労働時間!$B$5:$B$353="12月上旬")*(③労働時間!$J$5:$J$353))</f>
        <v>0</v>
      </c>
      <c r="AL23" s="383">
        <f>SUMPRODUCT((③労働時間!$A$5:$A$353=作業体系表!$B23)*(③労働時間!$B$5:$B$353="12月中旬")*(③労働時間!$J$5:$J$353))</f>
        <v>0</v>
      </c>
      <c r="AM23" s="385">
        <f>SUMPRODUCT((③労働時間!$A$5:$A$353=作業体系表!$B23)*(③労働時間!$B$5:$B$353="12月下旬")*(③労働時間!$J$5:$J$353))</f>
        <v>0</v>
      </c>
      <c r="AN23" s="386">
        <f t="shared" si="0"/>
        <v>0.10000160002560042</v>
      </c>
    </row>
    <row r="24" spans="2:40" ht="15" customHeight="1">
      <c r="B24" s="737" t="str">
        <f>①技術体系!A21</f>
        <v>転牧(牧区２')</v>
      </c>
      <c r="C24" s="738"/>
      <c r="D24" s="383">
        <f>SUMPRODUCT((③労働時間!$A$5:$A$353=作業体系表!$B24)*(③労働時間!$B$5:$B$353="1月上旬")*(③労働時間!$J$5:$J$353))</f>
        <v>0</v>
      </c>
      <c r="E24" s="383">
        <f>SUMPRODUCT((③労働時間!$A$5:$A$353=作業体系表!$B24)*(③労働時間!$B$5:$B$353="1月中旬")*(③労働時間!$J$5:$J$353))</f>
        <v>0</v>
      </c>
      <c r="F24" s="383">
        <f>SUMPRODUCT((③労働時間!$A$5:$A$353=作業体系表!$B24)*(③労働時間!$B$5:$B$353="1月下旬")*(③労働時間!$J$5:$J$353))</f>
        <v>0</v>
      </c>
      <c r="G24" s="383">
        <f>SUMPRODUCT((③労働時間!$A$5:$A$353=作業体系表!$B24)*(③労働時間!$B$5:$B$353="2月上旬")*(③労働時間!$J$5:$J$353))</f>
        <v>0</v>
      </c>
      <c r="H24" s="383">
        <f>SUMPRODUCT((③労働時間!$A$5:$A$353=作業体系表!$B24)*(③労働時間!$B$5:$B$353="2月中旬")*(③労働時間!$J$5:$J$353))</f>
        <v>0</v>
      </c>
      <c r="I24" s="383">
        <f>SUMPRODUCT((③労働時間!$A$5:$A$353=作業体系表!$B24)*(③労働時間!$B$5:$B$353="2月下旬")*(③労働時間!$J$5:$J$353))</f>
        <v>0</v>
      </c>
      <c r="J24" s="383">
        <f>SUMPRODUCT((③労働時間!$A$5:$A$353=作業体系表!$B24)*(③労働時間!$B$5:$B$353="3月上旬")*(③労働時間!$J$5:$J$353))</f>
        <v>0</v>
      </c>
      <c r="K24" s="383">
        <f>SUMPRODUCT((③労働時間!$A$5:$A$353=作業体系表!$B24)*(③労働時間!$B$5:$B$353="3月中旬")*(③労働時間!$J$5:$J$353))</f>
        <v>0</v>
      </c>
      <c r="L24" s="383">
        <f>SUMPRODUCT((③労働時間!$A$5:$A$353=作業体系表!$B24)*(③労働時間!$B$5:$B$353="3月下旬")*(③労働時間!$J$5:$J$353))</f>
        <v>0</v>
      </c>
      <c r="M24" s="383">
        <f>SUMPRODUCT((③労働時間!$A$5:$A$353=作業体系表!$B24)*(③労働時間!$B$5:$B$353="4月上旬")*(③労働時間!$J$5:$J$353))</f>
        <v>0</v>
      </c>
      <c r="N24" s="383">
        <f>SUMPRODUCT((③労働時間!$A$5:$A$353=作業体系表!$B24)*(③労働時間!$B$5:$B$353="4月中旬")*(③労働時間!$J$5:$J$353))</f>
        <v>0</v>
      </c>
      <c r="O24" s="383">
        <f>SUMPRODUCT((③労働時間!$A$5:$A$353=作業体系表!$B24)*(③労働時間!$B$5:$B$353="4月下旬")*(③労働時間!$J$5:$J$353))</f>
        <v>0</v>
      </c>
      <c r="P24" s="384">
        <f>SUMPRODUCT((③労働時間!$A$5:$A$353=作業体系表!$B24)*(③労働時間!$B$5:$B$353="5月上旬")*(③労働時間!$J$5:$J$353))</f>
        <v>0</v>
      </c>
      <c r="Q24" s="383">
        <f>SUMPRODUCT((③労働時間!$A$5:$A$353=作業体系表!$B24)*(③労働時間!$B$5:$B$353="5月中旬")*(③労働時間!$J$5:$J$353))</f>
        <v>0</v>
      </c>
      <c r="R24" s="383">
        <f>SUMPRODUCT((③労働時間!$A$5:$A$353=作業体系表!$B24)*(③労働時間!$B$5:$B$353="5月下旬")*(③労働時間!$J$5:$J$353))</f>
        <v>0</v>
      </c>
      <c r="S24" s="383">
        <f>SUMPRODUCT((③労働時間!$A$5:$A$353=作業体系表!$B24)*(③労働時間!$B$5:$B$353="6月上旬")*(③労働時間!$J$5:$J$353))</f>
        <v>0</v>
      </c>
      <c r="T24" s="383">
        <f>SUMPRODUCT((③労働時間!$A$5:$A$353=作業体系表!$B24)*(③労働時間!$B$5:$B$353="6月中旬")*(③労働時間!$J$5:$J$353))</f>
        <v>0</v>
      </c>
      <c r="U24" s="383">
        <f>SUMPRODUCT((③労働時間!$A$5:$A$353=作業体系表!$B24)*(③労働時間!$B$5:$B$353="6月下旬")*(③労働時間!$J$5:$J$353))</f>
        <v>0</v>
      </c>
      <c r="V24" s="383">
        <f>SUMPRODUCT((③労働時間!$A$5:$A$353=作業体系表!$B24)*(③労働時間!$B$5:$B$353="7月上旬")*(③労働時間!$J$5:$J$353))</f>
        <v>0</v>
      </c>
      <c r="W24" s="383">
        <f>SUMPRODUCT((③労働時間!$A$5:$A$353=作業体系表!$B24)*(③労働時間!$B$5:$B$353="7月中旬")*(③労働時間!$J$5:$J$353))</f>
        <v>0</v>
      </c>
      <c r="X24" s="383">
        <f>SUMPRODUCT((③労働時間!$A$5:$A$353=作業体系表!$B24)*(③労働時間!$B$5:$B$353="7月下旬")*(③労働時間!$J$5:$J$353))</f>
        <v>0</v>
      </c>
      <c r="Y24" s="383">
        <f>SUMPRODUCT((③労働時間!$A$5:$A$353=作業体系表!$B24)*(③労働時間!$B$5:$B$353="8月上旬")*(③労働時間!$J$5:$J$353))</f>
        <v>0</v>
      </c>
      <c r="Z24" s="383">
        <f>SUMPRODUCT((③労働時間!$A$5:$A$353=作業体系表!$B24)*(③労働時間!$B$5:$B$353="8月中旬")*(③労働時間!$J$5:$J$353))</f>
        <v>0</v>
      </c>
      <c r="AA24" s="383">
        <f>SUMPRODUCT((③労働時間!$A$5:$A$353=作業体系表!$B24)*(③労働時間!$B$5:$B$353="8月下旬")*(③労働時間!$J$5:$J$353))</f>
        <v>0</v>
      </c>
      <c r="AB24" s="384">
        <f>SUMPRODUCT((③労働時間!$A$5:$A$353=作業体系表!$B24)*(③労働時間!$B$5:$B$353="9月上旬")*(③労働時間!$J$5:$J$353))</f>
        <v>0</v>
      </c>
      <c r="AC24" s="383">
        <f>SUMPRODUCT((③労働時間!$A$5:$A$353=作業体系表!$B24)*(③労働時間!$B$5:$B$353="9月中旬")*(③労働時間!$J$5:$J$353))</f>
        <v>0</v>
      </c>
      <c r="AD24" s="383">
        <f>SUMPRODUCT((③労働時間!$A$5:$A$353=作業体系表!$B24)*(③労働時間!$B$5:$B$353="9月下旬")*(③労働時間!$J$5:$J$353))</f>
        <v>0.1</v>
      </c>
      <c r="AE24" s="383">
        <f>SUMPRODUCT((③労働時間!$A$5:$A$353=作業体系表!$B24)*(③労働時間!$B$5:$B$353="10月上旬")*(③労働時間!$J$5:$J$353))</f>
        <v>0</v>
      </c>
      <c r="AF24" s="383">
        <f>SUMPRODUCT((③労働時間!$A$5:$A$353=作業体系表!$B24)*(③労働時間!$B$5:$B$353="10月中旬")*(③労働時間!$J$5:$J$353))</f>
        <v>0</v>
      </c>
      <c r="AG24" s="383">
        <f>SUMPRODUCT((③労働時間!$A$5:$A$353=作業体系表!$B24)*(③労働時間!$B$5:$B$353="10月下旬")*(③労働時間!$J$5:$J$353))</f>
        <v>0</v>
      </c>
      <c r="AH24" s="383">
        <f>SUMPRODUCT((③労働時間!$A$5:$A$353=作業体系表!$B24)*(③労働時間!$B$5:$B$353="11月上旬")*(③労働時間!$J$5:$J$353))</f>
        <v>0</v>
      </c>
      <c r="AI24" s="383">
        <f>SUMPRODUCT((③労働時間!$A$5:$A$353=作業体系表!$B24)*(③労働時間!$B$5:$B$353="11月中旬")*(③労働時間!$J$5:$J$353))</f>
        <v>0</v>
      </c>
      <c r="AJ24" s="383">
        <f>SUMPRODUCT((③労働時間!$A$5:$A$353=作業体系表!$B24)*(③労働時間!$B$5:$B$353="11月下旬")*(③労働時間!$J$5:$J$353))</f>
        <v>0</v>
      </c>
      <c r="AK24" s="383">
        <f>SUMPRODUCT((③労働時間!$A$5:$A$353=作業体系表!$B24)*(③労働時間!$B$5:$B$353="12月上旬")*(③労働時間!$J$5:$J$353))</f>
        <v>0</v>
      </c>
      <c r="AL24" s="383">
        <f>SUMPRODUCT((③労働時間!$A$5:$A$353=作業体系表!$B24)*(③労働時間!$B$5:$B$353="12月中旬")*(③労働時間!$J$5:$J$353))</f>
        <v>0</v>
      </c>
      <c r="AM24" s="385">
        <f>SUMPRODUCT((③労働時間!$A$5:$A$353=作業体系表!$B24)*(③労働時間!$B$5:$B$353="12月下旬")*(③労働時間!$J$5:$J$353))</f>
        <v>0</v>
      </c>
      <c r="AN24" s="386">
        <f t="shared" si="0"/>
        <v>0.1</v>
      </c>
    </row>
    <row r="25" spans="2:40" ht="15" customHeight="1">
      <c r="B25" s="737" t="str">
        <f>①技術体系!A22</f>
        <v>放牧管理(牧区2')</v>
      </c>
      <c r="C25" s="738"/>
      <c r="D25" s="383">
        <f>SUMPRODUCT((③労働時間!$A$5:$A$353=作業体系表!$B25)*(③労働時間!$B$5:$B$353="1月上旬")*(③労働時間!$J$5:$J$353))</f>
        <v>0</v>
      </c>
      <c r="E25" s="383">
        <f>SUMPRODUCT((③労働時間!$A$5:$A$353=作業体系表!$B25)*(③労働時間!$B$5:$B$353="1月中旬")*(③労働時間!$J$5:$J$353))</f>
        <v>0</v>
      </c>
      <c r="F25" s="383">
        <f>SUMPRODUCT((③労働時間!$A$5:$A$353=作業体系表!$B25)*(③労働時間!$B$5:$B$353="1月下旬")*(③労働時間!$J$5:$J$353))</f>
        <v>0</v>
      </c>
      <c r="G25" s="383">
        <f>SUMPRODUCT((③労働時間!$A$5:$A$353=作業体系表!$B25)*(③労働時間!$B$5:$B$353="2月上旬")*(③労働時間!$J$5:$J$353))</f>
        <v>0</v>
      </c>
      <c r="H25" s="383">
        <f>SUMPRODUCT((③労働時間!$A$5:$A$353=作業体系表!$B25)*(③労働時間!$B$5:$B$353="2月中旬")*(③労働時間!$J$5:$J$353))</f>
        <v>0</v>
      </c>
      <c r="I25" s="383">
        <f>SUMPRODUCT((③労働時間!$A$5:$A$353=作業体系表!$B25)*(③労働時間!$B$5:$B$353="2月下旬")*(③労働時間!$J$5:$J$353))</f>
        <v>0</v>
      </c>
      <c r="J25" s="383">
        <f>SUMPRODUCT((③労働時間!$A$5:$A$353=作業体系表!$B25)*(③労働時間!$B$5:$B$353="3月上旬")*(③労働時間!$J$5:$J$353))</f>
        <v>0</v>
      </c>
      <c r="K25" s="383">
        <f>SUMPRODUCT((③労働時間!$A$5:$A$353=作業体系表!$B25)*(③労働時間!$B$5:$B$353="3月中旬")*(③労働時間!$J$5:$J$353))</f>
        <v>0</v>
      </c>
      <c r="L25" s="383">
        <f>SUMPRODUCT((③労働時間!$A$5:$A$353=作業体系表!$B25)*(③労働時間!$B$5:$B$353="3月下旬")*(③労働時間!$J$5:$J$353))</f>
        <v>0</v>
      </c>
      <c r="M25" s="383">
        <f>SUMPRODUCT((③労働時間!$A$5:$A$353=作業体系表!$B25)*(③労働時間!$B$5:$B$353="4月上旬")*(③労働時間!$J$5:$J$353))</f>
        <v>0</v>
      </c>
      <c r="N25" s="383">
        <f>SUMPRODUCT((③労働時間!$A$5:$A$353=作業体系表!$B25)*(③労働時間!$B$5:$B$353="4月中旬")*(③労働時間!$J$5:$J$353))</f>
        <v>0</v>
      </c>
      <c r="O25" s="383">
        <f>SUMPRODUCT((③労働時間!$A$5:$A$353=作業体系表!$B25)*(③労働時間!$B$5:$B$353="4月下旬")*(③労働時間!$J$5:$J$353))</f>
        <v>0</v>
      </c>
      <c r="P25" s="384">
        <f>SUMPRODUCT((③労働時間!$A$5:$A$353=作業体系表!$B25)*(③労働時間!$B$5:$B$353="5月上旬")*(③労働時間!$J$5:$J$353))</f>
        <v>0</v>
      </c>
      <c r="Q25" s="383">
        <f>SUMPRODUCT((③労働時間!$A$5:$A$353=作業体系表!$B25)*(③労働時間!$B$5:$B$353="5月中旬")*(③労働時間!$J$5:$J$353))</f>
        <v>0</v>
      </c>
      <c r="R25" s="383">
        <f>SUMPRODUCT((③労働時間!$A$5:$A$353=作業体系表!$B25)*(③労働時間!$B$5:$B$353="5月下旬")*(③労働時間!$J$5:$J$353))</f>
        <v>0</v>
      </c>
      <c r="S25" s="383">
        <f>SUMPRODUCT((③労働時間!$A$5:$A$353=作業体系表!$B25)*(③労働時間!$B$5:$B$353="6月上旬")*(③労働時間!$J$5:$J$353))</f>
        <v>0</v>
      </c>
      <c r="T25" s="383">
        <f>SUMPRODUCT((③労働時間!$A$5:$A$353=作業体系表!$B25)*(③労働時間!$B$5:$B$353="6月中旬")*(③労働時間!$J$5:$J$353))</f>
        <v>0</v>
      </c>
      <c r="U25" s="383">
        <f>SUMPRODUCT((③労働時間!$A$5:$A$353=作業体系表!$B25)*(③労働時間!$B$5:$B$353="6月下旬")*(③労働時間!$J$5:$J$353))</f>
        <v>0</v>
      </c>
      <c r="V25" s="383">
        <f>SUMPRODUCT((③労働時間!$A$5:$A$353=作業体系表!$B25)*(③労働時間!$B$5:$B$353="7月上旬")*(③労働時間!$J$5:$J$353))</f>
        <v>0</v>
      </c>
      <c r="W25" s="383">
        <f>SUMPRODUCT((③労働時間!$A$5:$A$353=作業体系表!$B25)*(③労働時間!$B$5:$B$353="7月中旬")*(③労働時間!$J$5:$J$353))</f>
        <v>0</v>
      </c>
      <c r="X25" s="383">
        <f>SUMPRODUCT((③労働時間!$A$5:$A$353=作業体系表!$B25)*(③労働時間!$B$5:$B$353="7月下旬")*(③労働時間!$J$5:$J$353))</f>
        <v>0</v>
      </c>
      <c r="Y25" s="383">
        <f>SUMPRODUCT((③労働時間!$A$5:$A$353=作業体系表!$B25)*(③労働時間!$B$5:$B$353="8月上旬")*(③労働時間!$J$5:$J$353))</f>
        <v>0</v>
      </c>
      <c r="Z25" s="383">
        <f>SUMPRODUCT((③労働時間!$A$5:$A$353=作業体系表!$B25)*(③労働時間!$B$5:$B$353="8月中旬")*(③労働時間!$J$5:$J$353))</f>
        <v>0</v>
      </c>
      <c r="AA25" s="383">
        <f>SUMPRODUCT((③労働時間!$A$5:$A$353=作業体系表!$B25)*(③労働時間!$B$5:$B$353="8月下旬")*(③労働時間!$J$5:$J$353))</f>
        <v>0</v>
      </c>
      <c r="AB25" s="384">
        <f>SUMPRODUCT((③労働時間!$A$5:$A$353=作業体系表!$B25)*(③労働時間!$B$5:$B$353="9月上旬")*(③労働時間!$J$5:$J$353))</f>
        <v>0</v>
      </c>
      <c r="AC25" s="383">
        <f>SUMPRODUCT((③労働時間!$A$5:$A$353=作業体系表!$B25)*(③労働時間!$B$5:$B$353="9月中旬")*(③労働時間!$J$5:$J$353))</f>
        <v>0</v>
      </c>
      <c r="AD25" s="383">
        <f>SUMPRODUCT((③労働時間!$A$5:$A$353=作業体系表!$B25)*(③労働時間!$B$5:$B$353="9月下旬")*(③労働時間!$J$5:$J$353))</f>
        <v>0.5</v>
      </c>
      <c r="AE25" s="383">
        <f>SUMPRODUCT((③労働時間!$A$5:$A$353=作業体系表!$B25)*(③労働時間!$B$5:$B$353="10月上旬")*(③労働時間!$J$5:$J$353))</f>
        <v>0.5</v>
      </c>
      <c r="AF25" s="383">
        <f>SUMPRODUCT((③労働時間!$A$5:$A$353=作業体系表!$B25)*(③労働時間!$B$5:$B$353="10月中旬")*(③労働時間!$J$5:$J$353))</f>
        <v>0.5</v>
      </c>
      <c r="AG25" s="383">
        <f>SUMPRODUCT((③労働時間!$A$5:$A$353=作業体系表!$B25)*(③労働時間!$B$5:$B$353="10月下旬")*(③労働時間!$J$5:$J$353))</f>
        <v>0</v>
      </c>
      <c r="AH25" s="383">
        <f>SUMPRODUCT((③労働時間!$A$5:$A$353=作業体系表!$B25)*(③労働時間!$B$5:$B$353="11月上旬")*(③労働時間!$J$5:$J$353))</f>
        <v>0</v>
      </c>
      <c r="AI25" s="383">
        <f>SUMPRODUCT((③労働時間!$A$5:$A$353=作業体系表!$B25)*(③労働時間!$B$5:$B$353="11月中旬")*(③労働時間!$J$5:$J$353))</f>
        <v>0</v>
      </c>
      <c r="AJ25" s="383">
        <f>SUMPRODUCT((③労働時間!$A$5:$A$353=作業体系表!$B25)*(③労働時間!$B$5:$B$353="11月下旬")*(③労働時間!$J$5:$J$353))</f>
        <v>0</v>
      </c>
      <c r="AK25" s="383">
        <f>SUMPRODUCT((③労働時間!$A$5:$A$353=作業体系表!$B25)*(③労働時間!$B$5:$B$353="12月上旬")*(③労働時間!$J$5:$J$353))</f>
        <v>0</v>
      </c>
      <c r="AL25" s="383">
        <f>SUMPRODUCT((③労働時間!$A$5:$A$353=作業体系表!$B25)*(③労働時間!$B$5:$B$353="12月中旬")*(③労働時間!$J$5:$J$353))</f>
        <v>0</v>
      </c>
      <c r="AM25" s="385">
        <f>SUMPRODUCT((③労働時間!$A$5:$A$353=作業体系表!$B25)*(③労働時間!$B$5:$B$353="12月下旬")*(③労働時間!$J$5:$J$353))</f>
        <v>0</v>
      </c>
      <c r="AN25" s="386">
        <f t="shared" si="0"/>
        <v>1.5</v>
      </c>
    </row>
    <row r="26" spans="2:40" ht="15" customHeight="1">
      <c r="B26" s="737" t="str">
        <f>①技術体系!A23</f>
        <v>転牧(牧区３')</v>
      </c>
      <c r="C26" s="738"/>
      <c r="D26" s="383">
        <f>SUMPRODUCT((③労働時間!$A$5:$A$353=作業体系表!$B26)*(③労働時間!$B$5:$B$353="1月上旬")*(③労働時間!$J$5:$J$353))</f>
        <v>0</v>
      </c>
      <c r="E26" s="383">
        <f>SUMPRODUCT((③労働時間!$A$5:$A$353=作業体系表!$B26)*(③労働時間!$B$5:$B$353="1月中旬")*(③労働時間!$J$5:$J$353))</f>
        <v>0</v>
      </c>
      <c r="F26" s="383">
        <f>SUMPRODUCT((③労働時間!$A$5:$A$353=作業体系表!$B26)*(③労働時間!$B$5:$B$353="1月下旬")*(③労働時間!$J$5:$J$353))</f>
        <v>0</v>
      </c>
      <c r="G26" s="383">
        <f>SUMPRODUCT((③労働時間!$A$5:$A$353=作業体系表!$B26)*(③労働時間!$B$5:$B$353="2月上旬")*(③労働時間!$J$5:$J$353))</f>
        <v>0</v>
      </c>
      <c r="H26" s="383">
        <f>SUMPRODUCT((③労働時間!$A$5:$A$353=作業体系表!$B26)*(③労働時間!$B$5:$B$353="2月中旬")*(③労働時間!$J$5:$J$353))</f>
        <v>0</v>
      </c>
      <c r="I26" s="383">
        <f>SUMPRODUCT((③労働時間!$A$5:$A$353=作業体系表!$B26)*(③労働時間!$B$5:$B$353="2月下旬")*(③労働時間!$J$5:$J$353))</f>
        <v>0</v>
      </c>
      <c r="J26" s="383">
        <f>SUMPRODUCT((③労働時間!$A$5:$A$353=作業体系表!$B26)*(③労働時間!$B$5:$B$353="3月上旬")*(③労働時間!$J$5:$J$353))</f>
        <v>0</v>
      </c>
      <c r="K26" s="383">
        <f>SUMPRODUCT((③労働時間!$A$5:$A$353=作業体系表!$B26)*(③労働時間!$B$5:$B$353="3月中旬")*(③労働時間!$J$5:$J$353))</f>
        <v>0</v>
      </c>
      <c r="L26" s="383">
        <f>SUMPRODUCT((③労働時間!$A$5:$A$353=作業体系表!$B26)*(③労働時間!$B$5:$B$353="3月下旬")*(③労働時間!$J$5:$J$353))</f>
        <v>0</v>
      </c>
      <c r="M26" s="383">
        <f>SUMPRODUCT((③労働時間!$A$5:$A$353=作業体系表!$B26)*(③労働時間!$B$5:$B$353="4月上旬")*(③労働時間!$J$5:$J$353))</f>
        <v>0</v>
      </c>
      <c r="N26" s="383">
        <f>SUMPRODUCT((③労働時間!$A$5:$A$353=作業体系表!$B26)*(③労働時間!$B$5:$B$353="4月中旬")*(③労働時間!$J$5:$J$353))</f>
        <v>0</v>
      </c>
      <c r="O26" s="383">
        <f>SUMPRODUCT((③労働時間!$A$5:$A$353=作業体系表!$B26)*(③労働時間!$B$5:$B$353="4月下旬")*(③労働時間!$J$5:$J$353))</f>
        <v>0</v>
      </c>
      <c r="P26" s="384">
        <f>SUMPRODUCT((③労働時間!$A$5:$A$353=作業体系表!$B26)*(③労働時間!$B$5:$B$353="5月上旬")*(③労働時間!$J$5:$J$353))</f>
        <v>0</v>
      </c>
      <c r="Q26" s="383">
        <f>SUMPRODUCT((③労働時間!$A$5:$A$353=作業体系表!$B26)*(③労働時間!$B$5:$B$353="5月中旬")*(③労働時間!$J$5:$J$353))</f>
        <v>0</v>
      </c>
      <c r="R26" s="383">
        <f>SUMPRODUCT((③労働時間!$A$5:$A$353=作業体系表!$B26)*(③労働時間!$B$5:$B$353="5月下旬")*(③労働時間!$J$5:$J$353))</f>
        <v>0</v>
      </c>
      <c r="S26" s="383">
        <f>SUMPRODUCT((③労働時間!$A$5:$A$353=作業体系表!$B26)*(③労働時間!$B$5:$B$353="6月上旬")*(③労働時間!$J$5:$J$353))</f>
        <v>0</v>
      </c>
      <c r="T26" s="383">
        <f>SUMPRODUCT((③労働時間!$A$5:$A$353=作業体系表!$B26)*(③労働時間!$B$5:$B$353="6月中旬")*(③労働時間!$J$5:$J$353))</f>
        <v>0</v>
      </c>
      <c r="U26" s="383">
        <f>SUMPRODUCT((③労働時間!$A$5:$A$353=作業体系表!$B26)*(③労働時間!$B$5:$B$353="6月下旬")*(③労働時間!$J$5:$J$353))</f>
        <v>0</v>
      </c>
      <c r="V26" s="383">
        <f>SUMPRODUCT((③労働時間!$A$5:$A$353=作業体系表!$B26)*(③労働時間!$B$5:$B$353="7月上旬")*(③労働時間!$J$5:$J$353))</f>
        <v>0</v>
      </c>
      <c r="W26" s="383">
        <f>SUMPRODUCT((③労働時間!$A$5:$A$353=作業体系表!$B26)*(③労働時間!$B$5:$B$353="7月中旬")*(③労働時間!$J$5:$J$353))</f>
        <v>0</v>
      </c>
      <c r="X26" s="383">
        <f>SUMPRODUCT((③労働時間!$A$5:$A$353=作業体系表!$B26)*(③労働時間!$B$5:$B$353="7月下旬")*(③労働時間!$J$5:$J$353))</f>
        <v>0</v>
      </c>
      <c r="Y26" s="383">
        <f>SUMPRODUCT((③労働時間!$A$5:$A$353=作業体系表!$B26)*(③労働時間!$B$5:$B$353="8月上旬")*(③労働時間!$J$5:$J$353))</f>
        <v>0</v>
      </c>
      <c r="Z26" s="383">
        <f>SUMPRODUCT((③労働時間!$A$5:$A$353=作業体系表!$B26)*(③労働時間!$B$5:$B$353="8月中旬")*(③労働時間!$J$5:$J$353))</f>
        <v>0</v>
      </c>
      <c r="AA26" s="383">
        <f>SUMPRODUCT((③労働時間!$A$5:$A$353=作業体系表!$B26)*(③労働時間!$B$5:$B$353="8月下旬")*(③労働時間!$J$5:$J$353))</f>
        <v>0</v>
      </c>
      <c r="AB26" s="384">
        <f>SUMPRODUCT((③労働時間!$A$5:$A$353=作業体系表!$B26)*(③労働時間!$B$5:$B$353="9月上旬")*(③労働時間!$J$5:$J$353))</f>
        <v>0</v>
      </c>
      <c r="AC26" s="383">
        <f>SUMPRODUCT((③労働時間!$A$5:$A$353=作業体系表!$B26)*(③労働時間!$B$5:$B$353="9月中旬")*(③労働時間!$J$5:$J$353))</f>
        <v>0</v>
      </c>
      <c r="AD26" s="383">
        <f>SUMPRODUCT((③労働時間!$A$5:$A$353=作業体系表!$B26)*(③労働時間!$B$5:$B$353="9月下旬")*(③労働時間!$J$5:$J$353))</f>
        <v>0</v>
      </c>
      <c r="AE26" s="383">
        <f>SUMPRODUCT((③労働時間!$A$5:$A$353=作業体系表!$B26)*(③労働時間!$B$5:$B$353="10月上旬")*(③労働時間!$J$5:$J$353))</f>
        <v>0</v>
      </c>
      <c r="AF26" s="383">
        <f>SUMPRODUCT((③労働時間!$A$5:$A$353=作業体系表!$B26)*(③労働時間!$B$5:$B$353="10月中旬")*(③労働時間!$J$5:$J$353))</f>
        <v>0</v>
      </c>
      <c r="AG26" s="383">
        <f>SUMPRODUCT((③労働時間!$A$5:$A$353=作業体系表!$B26)*(③労働時間!$B$5:$B$353="10月下旬")*(③労働時間!$J$5:$J$353))</f>
        <v>0.1</v>
      </c>
      <c r="AH26" s="383">
        <f>SUMPRODUCT((③労働時間!$A$5:$A$353=作業体系表!$B26)*(③労働時間!$B$5:$B$353="11月上旬")*(③労働時間!$J$5:$J$353))</f>
        <v>0</v>
      </c>
      <c r="AI26" s="383">
        <f>SUMPRODUCT((③労働時間!$A$5:$A$353=作業体系表!$B26)*(③労働時間!$B$5:$B$353="11月中旬")*(③労働時間!$J$5:$J$353))</f>
        <v>0</v>
      </c>
      <c r="AJ26" s="383">
        <f>SUMPRODUCT((③労働時間!$A$5:$A$353=作業体系表!$B26)*(③労働時間!$B$5:$B$353="11月下旬")*(③労働時間!$J$5:$J$353))</f>
        <v>0</v>
      </c>
      <c r="AK26" s="383">
        <f>SUMPRODUCT((③労働時間!$A$5:$A$353=作業体系表!$B26)*(③労働時間!$B$5:$B$353="12月上旬")*(③労働時間!$J$5:$J$353))</f>
        <v>0</v>
      </c>
      <c r="AL26" s="383">
        <f>SUMPRODUCT((③労働時間!$A$5:$A$353=作業体系表!$B26)*(③労働時間!$B$5:$B$353="12月中旬")*(③労働時間!$J$5:$J$353))</f>
        <v>0</v>
      </c>
      <c r="AM26" s="385">
        <f>SUMPRODUCT((③労働時間!$A$5:$A$353=作業体系表!$B26)*(③労働時間!$B$5:$B$353="12月下旬")*(③労働時間!$J$5:$J$353))</f>
        <v>0</v>
      </c>
      <c r="AN26" s="386">
        <f t="shared" si="0"/>
        <v>0.1</v>
      </c>
    </row>
    <row r="27" spans="2:40" ht="15" customHeight="1">
      <c r="B27" s="737" t="str">
        <f>①技術体系!A24</f>
        <v>放牧管理(牧区3')</v>
      </c>
      <c r="C27" s="738"/>
      <c r="D27" s="383">
        <f>SUMPRODUCT((③労働時間!$A$5:$A$353=作業体系表!$B27)*(③労働時間!$B$5:$B$353="1月上旬")*(③労働時間!$J$5:$J$353))</f>
        <v>0</v>
      </c>
      <c r="E27" s="383">
        <f>SUMPRODUCT((③労働時間!$A$5:$A$353=作業体系表!$B27)*(③労働時間!$B$5:$B$353="1月中旬")*(③労働時間!$J$5:$J$353))</f>
        <v>0</v>
      </c>
      <c r="F27" s="383">
        <f>SUMPRODUCT((③労働時間!$A$5:$A$353=作業体系表!$B27)*(③労働時間!$B$5:$B$353="1月下旬")*(③労働時間!$J$5:$J$353))</f>
        <v>0</v>
      </c>
      <c r="G27" s="383">
        <f>SUMPRODUCT((③労働時間!$A$5:$A$353=作業体系表!$B27)*(③労働時間!$B$5:$B$353="2月上旬")*(③労働時間!$J$5:$J$353))</f>
        <v>0</v>
      </c>
      <c r="H27" s="383">
        <f>SUMPRODUCT((③労働時間!$A$5:$A$353=作業体系表!$B27)*(③労働時間!$B$5:$B$353="2月中旬")*(③労働時間!$J$5:$J$353))</f>
        <v>0</v>
      </c>
      <c r="I27" s="383">
        <f>SUMPRODUCT((③労働時間!$A$5:$A$353=作業体系表!$B27)*(③労働時間!$B$5:$B$353="2月下旬")*(③労働時間!$J$5:$J$353))</f>
        <v>0</v>
      </c>
      <c r="J27" s="383">
        <f>SUMPRODUCT((③労働時間!$A$5:$A$353=作業体系表!$B27)*(③労働時間!$B$5:$B$353="3月上旬")*(③労働時間!$J$5:$J$353))</f>
        <v>0</v>
      </c>
      <c r="K27" s="383">
        <f>SUMPRODUCT((③労働時間!$A$5:$A$353=作業体系表!$B27)*(③労働時間!$B$5:$B$353="3月中旬")*(③労働時間!$J$5:$J$353))</f>
        <v>0</v>
      </c>
      <c r="L27" s="383">
        <f>SUMPRODUCT((③労働時間!$A$5:$A$353=作業体系表!$B27)*(③労働時間!$B$5:$B$353="3月下旬")*(③労働時間!$J$5:$J$353))</f>
        <v>0</v>
      </c>
      <c r="M27" s="383">
        <f>SUMPRODUCT((③労働時間!$A$5:$A$353=作業体系表!$B27)*(③労働時間!$B$5:$B$353="4月上旬")*(③労働時間!$J$5:$J$353))</f>
        <v>0</v>
      </c>
      <c r="N27" s="383">
        <f>SUMPRODUCT((③労働時間!$A$5:$A$353=作業体系表!$B27)*(③労働時間!$B$5:$B$353="4月中旬")*(③労働時間!$J$5:$J$353))</f>
        <v>0</v>
      </c>
      <c r="O27" s="383">
        <f>SUMPRODUCT((③労働時間!$A$5:$A$353=作業体系表!$B27)*(③労働時間!$B$5:$B$353="4月下旬")*(③労働時間!$J$5:$J$353))</f>
        <v>0</v>
      </c>
      <c r="P27" s="384">
        <f>SUMPRODUCT((③労働時間!$A$5:$A$353=作業体系表!$B27)*(③労働時間!$B$5:$B$353="5月上旬")*(③労働時間!$J$5:$J$353))</f>
        <v>0</v>
      </c>
      <c r="Q27" s="383">
        <f>SUMPRODUCT((③労働時間!$A$5:$A$353=作業体系表!$B27)*(③労働時間!$B$5:$B$353="5月中旬")*(③労働時間!$J$5:$J$353))</f>
        <v>0</v>
      </c>
      <c r="R27" s="383">
        <f>SUMPRODUCT((③労働時間!$A$5:$A$353=作業体系表!$B27)*(③労働時間!$B$5:$B$353="5月下旬")*(③労働時間!$J$5:$J$353))</f>
        <v>0</v>
      </c>
      <c r="S27" s="383">
        <f>SUMPRODUCT((③労働時間!$A$5:$A$353=作業体系表!$B27)*(③労働時間!$B$5:$B$353="6月上旬")*(③労働時間!$J$5:$J$353))</f>
        <v>0</v>
      </c>
      <c r="T27" s="383">
        <f>SUMPRODUCT((③労働時間!$A$5:$A$353=作業体系表!$B27)*(③労働時間!$B$5:$B$353="6月中旬")*(③労働時間!$J$5:$J$353))</f>
        <v>0</v>
      </c>
      <c r="U27" s="383">
        <f>SUMPRODUCT((③労働時間!$A$5:$A$353=作業体系表!$B27)*(③労働時間!$B$5:$B$353="6月下旬")*(③労働時間!$J$5:$J$353))</f>
        <v>0</v>
      </c>
      <c r="V27" s="383">
        <f>SUMPRODUCT((③労働時間!$A$5:$A$353=作業体系表!$B27)*(③労働時間!$B$5:$B$353="7月上旬")*(③労働時間!$J$5:$J$353))</f>
        <v>0</v>
      </c>
      <c r="W27" s="383">
        <f>SUMPRODUCT((③労働時間!$A$5:$A$353=作業体系表!$B27)*(③労働時間!$B$5:$B$353="7月中旬")*(③労働時間!$J$5:$J$353))</f>
        <v>0</v>
      </c>
      <c r="X27" s="383">
        <f>SUMPRODUCT((③労働時間!$A$5:$A$353=作業体系表!$B27)*(③労働時間!$B$5:$B$353="7月下旬")*(③労働時間!$J$5:$J$353))</f>
        <v>0</v>
      </c>
      <c r="Y27" s="383">
        <f>SUMPRODUCT((③労働時間!$A$5:$A$353=作業体系表!$B27)*(③労働時間!$B$5:$B$353="8月上旬")*(③労働時間!$J$5:$J$353))</f>
        <v>0</v>
      </c>
      <c r="Z27" s="383">
        <f>SUMPRODUCT((③労働時間!$A$5:$A$353=作業体系表!$B27)*(③労働時間!$B$5:$B$353="8月中旬")*(③労働時間!$J$5:$J$353))</f>
        <v>0</v>
      </c>
      <c r="AA27" s="383">
        <f>SUMPRODUCT((③労働時間!$A$5:$A$353=作業体系表!$B27)*(③労働時間!$B$5:$B$353="8月下旬")*(③労働時間!$J$5:$J$353))</f>
        <v>0</v>
      </c>
      <c r="AB27" s="384">
        <f>SUMPRODUCT((③労働時間!$A$5:$A$353=作業体系表!$B27)*(③労働時間!$B$5:$B$353="9月上旬")*(③労働時間!$J$5:$J$353))</f>
        <v>0</v>
      </c>
      <c r="AC27" s="383">
        <f>SUMPRODUCT((③労働時間!$A$5:$A$353=作業体系表!$B27)*(③労働時間!$B$5:$B$353="9月中旬")*(③労働時間!$J$5:$J$353))</f>
        <v>0</v>
      </c>
      <c r="AD27" s="383">
        <f>SUMPRODUCT((③労働時間!$A$5:$A$353=作業体系表!$B27)*(③労働時間!$B$5:$B$353="9月下旬")*(③労働時間!$J$5:$J$353))</f>
        <v>0</v>
      </c>
      <c r="AE27" s="383">
        <f>SUMPRODUCT((③労働時間!$A$5:$A$353=作業体系表!$B27)*(③労働時間!$B$5:$B$353="10月上旬")*(③労働時間!$J$5:$J$353))</f>
        <v>0</v>
      </c>
      <c r="AF27" s="383">
        <f>SUMPRODUCT((③労働時間!$A$5:$A$353=作業体系表!$B27)*(③労働時間!$B$5:$B$353="10月中旬")*(③労働時間!$J$5:$J$353))</f>
        <v>0</v>
      </c>
      <c r="AG27" s="383">
        <f>SUMPRODUCT((③労働時間!$A$5:$A$353=作業体系表!$B27)*(③労働時間!$B$5:$B$353="10月下旬")*(③労働時間!$J$5:$J$353))</f>
        <v>0.5</v>
      </c>
      <c r="AH27" s="383">
        <f>SUMPRODUCT((③労働時間!$A$5:$A$353=作業体系表!$B27)*(③労働時間!$B$5:$B$353="11月上旬")*(③労働時間!$J$5:$J$353))</f>
        <v>0.5</v>
      </c>
      <c r="AI27" s="383">
        <f>SUMPRODUCT((③労働時間!$A$5:$A$353=作業体系表!$B27)*(③労働時間!$B$5:$B$353="11月中旬")*(③労働時間!$J$5:$J$353))</f>
        <v>0.5</v>
      </c>
      <c r="AJ27" s="383">
        <f>SUMPRODUCT((③労働時間!$A$5:$A$353=作業体系表!$B27)*(③労働時間!$B$5:$B$353="11月下旬")*(③労働時間!$J$5:$J$353))</f>
        <v>0</v>
      </c>
      <c r="AK27" s="383">
        <f>SUMPRODUCT((③労働時間!$A$5:$A$353=作業体系表!$B27)*(③労働時間!$B$5:$B$353="12月上旬")*(③労働時間!$J$5:$J$353))</f>
        <v>0</v>
      </c>
      <c r="AL27" s="383">
        <f>SUMPRODUCT((③労働時間!$A$5:$A$353=作業体系表!$B27)*(③労働時間!$B$5:$B$353="12月中旬")*(③労働時間!$J$5:$J$353))</f>
        <v>0</v>
      </c>
      <c r="AM27" s="385">
        <f>SUMPRODUCT((③労働時間!$A$5:$A$353=作業体系表!$B27)*(③労働時間!$B$5:$B$353="12月下旬")*(③労働時間!$J$5:$J$353))</f>
        <v>0</v>
      </c>
      <c r="AN27" s="386">
        <f t="shared" si="0"/>
        <v>1.5</v>
      </c>
    </row>
    <row r="28" spans="2:40" ht="15" customHeight="1">
      <c r="B28" s="737" t="str">
        <f>①技術体系!A25</f>
        <v>退牧・放牧牛販売</v>
      </c>
      <c r="C28" s="738"/>
      <c r="D28" s="383">
        <f>SUMPRODUCT((③労働時間!$A$5:$A$353=作業体系表!$B28)*(③労働時間!$B$5:$B$353="1月上旬")*(③労働時間!$J$5:$J$353))</f>
        <v>0</v>
      </c>
      <c r="E28" s="383">
        <f>SUMPRODUCT((③労働時間!$A$5:$A$353=作業体系表!$B28)*(③労働時間!$B$5:$B$353="1月中旬")*(③労働時間!$J$5:$J$353))</f>
        <v>0</v>
      </c>
      <c r="F28" s="383">
        <f>SUMPRODUCT((③労働時間!$A$5:$A$353=作業体系表!$B28)*(③労働時間!$B$5:$B$353="1月下旬")*(③労働時間!$J$5:$J$353))</f>
        <v>0</v>
      </c>
      <c r="G28" s="383">
        <f>SUMPRODUCT((③労働時間!$A$5:$A$353=作業体系表!$B28)*(③労働時間!$B$5:$B$353="2月上旬")*(③労働時間!$J$5:$J$353))</f>
        <v>0</v>
      </c>
      <c r="H28" s="383">
        <f>SUMPRODUCT((③労働時間!$A$5:$A$353=作業体系表!$B28)*(③労働時間!$B$5:$B$353="2月中旬")*(③労働時間!$J$5:$J$353))</f>
        <v>0</v>
      </c>
      <c r="I28" s="383">
        <f>SUMPRODUCT((③労働時間!$A$5:$A$353=作業体系表!$B28)*(③労働時間!$B$5:$B$353="2月下旬")*(③労働時間!$J$5:$J$353))</f>
        <v>0</v>
      </c>
      <c r="J28" s="383">
        <f>SUMPRODUCT((③労働時間!$A$5:$A$353=作業体系表!$B28)*(③労働時間!$B$5:$B$353="3月上旬")*(③労働時間!$J$5:$J$353))</f>
        <v>0</v>
      </c>
      <c r="K28" s="383">
        <f>SUMPRODUCT((③労働時間!$A$5:$A$353=作業体系表!$B28)*(③労働時間!$B$5:$B$353="3月中旬")*(③労働時間!$J$5:$J$353))</f>
        <v>0</v>
      </c>
      <c r="L28" s="383">
        <f>SUMPRODUCT((③労働時間!$A$5:$A$353=作業体系表!$B28)*(③労働時間!$B$5:$B$353="3月下旬")*(③労働時間!$J$5:$J$353))</f>
        <v>0</v>
      </c>
      <c r="M28" s="383">
        <f>SUMPRODUCT((③労働時間!$A$5:$A$353=作業体系表!$B28)*(③労働時間!$B$5:$B$353="4月上旬")*(③労働時間!$J$5:$J$353))</f>
        <v>0</v>
      </c>
      <c r="N28" s="383">
        <f>SUMPRODUCT((③労働時間!$A$5:$A$353=作業体系表!$B28)*(③労働時間!$B$5:$B$353="4月中旬")*(③労働時間!$J$5:$J$353))</f>
        <v>0</v>
      </c>
      <c r="O28" s="383">
        <f>SUMPRODUCT((③労働時間!$A$5:$A$353=作業体系表!$B28)*(③労働時間!$B$5:$B$353="4月下旬")*(③労働時間!$J$5:$J$353))</f>
        <v>0</v>
      </c>
      <c r="P28" s="384">
        <f>SUMPRODUCT((③労働時間!$A$5:$A$353=作業体系表!$B28)*(③労働時間!$B$5:$B$353="5月上旬")*(③労働時間!$J$5:$J$353))</f>
        <v>0</v>
      </c>
      <c r="Q28" s="383">
        <f>SUMPRODUCT((③労働時間!$A$5:$A$353=作業体系表!$B28)*(③労働時間!$B$5:$B$353="5月中旬")*(③労働時間!$J$5:$J$353))</f>
        <v>0</v>
      </c>
      <c r="R28" s="383">
        <f>SUMPRODUCT((③労働時間!$A$5:$A$353=作業体系表!$B28)*(③労働時間!$B$5:$B$353="5月下旬")*(③労働時間!$J$5:$J$353))</f>
        <v>0</v>
      </c>
      <c r="S28" s="383">
        <f>SUMPRODUCT((③労働時間!$A$5:$A$353=作業体系表!$B28)*(③労働時間!$B$5:$B$353="6月上旬")*(③労働時間!$J$5:$J$353))</f>
        <v>0</v>
      </c>
      <c r="T28" s="383">
        <f>SUMPRODUCT((③労働時間!$A$5:$A$353=作業体系表!$B28)*(③労働時間!$B$5:$B$353="6月中旬")*(③労働時間!$J$5:$J$353))</f>
        <v>0</v>
      </c>
      <c r="U28" s="383">
        <f>SUMPRODUCT((③労働時間!$A$5:$A$353=作業体系表!$B28)*(③労働時間!$B$5:$B$353="6月下旬")*(③労働時間!$J$5:$J$353))</f>
        <v>0</v>
      </c>
      <c r="V28" s="383">
        <f>SUMPRODUCT((③労働時間!$A$5:$A$353=作業体系表!$B28)*(③労働時間!$B$5:$B$353="7月上旬")*(③労働時間!$J$5:$J$353))</f>
        <v>0</v>
      </c>
      <c r="W28" s="383">
        <f>SUMPRODUCT((③労働時間!$A$5:$A$353=作業体系表!$B28)*(③労働時間!$B$5:$B$353="7月中旬")*(③労働時間!$J$5:$J$353))</f>
        <v>0</v>
      </c>
      <c r="X28" s="383">
        <f>SUMPRODUCT((③労働時間!$A$5:$A$353=作業体系表!$B28)*(③労働時間!$B$5:$B$353="7月下旬")*(③労働時間!$J$5:$J$353))</f>
        <v>0</v>
      </c>
      <c r="Y28" s="383">
        <f>SUMPRODUCT((③労働時間!$A$5:$A$353=作業体系表!$B28)*(③労働時間!$B$5:$B$353="8月上旬")*(③労働時間!$J$5:$J$353))</f>
        <v>0</v>
      </c>
      <c r="Z28" s="383">
        <f>SUMPRODUCT((③労働時間!$A$5:$A$353=作業体系表!$B28)*(③労働時間!$B$5:$B$353="8月中旬")*(③労働時間!$J$5:$J$353))</f>
        <v>0</v>
      </c>
      <c r="AA28" s="383">
        <f>SUMPRODUCT((③労働時間!$A$5:$A$353=作業体系表!$B28)*(③労働時間!$B$5:$B$353="8月下旬")*(③労働時間!$J$5:$J$353))</f>
        <v>0</v>
      </c>
      <c r="AB28" s="384">
        <f>SUMPRODUCT((③労働時間!$A$5:$A$353=作業体系表!$B28)*(③労働時間!$B$5:$B$353="9月上旬")*(③労働時間!$J$5:$J$353))</f>
        <v>0</v>
      </c>
      <c r="AC28" s="383">
        <f>SUMPRODUCT((③労働時間!$A$5:$A$353=作業体系表!$B28)*(③労働時間!$B$5:$B$353="9月中旬")*(③労働時間!$J$5:$J$353))</f>
        <v>0</v>
      </c>
      <c r="AD28" s="383">
        <f>SUMPRODUCT((③労働時間!$A$5:$A$353=作業体系表!$B28)*(③労働時間!$B$5:$B$353="9月下旬")*(③労働時間!$J$5:$J$353))</f>
        <v>0</v>
      </c>
      <c r="AE28" s="383">
        <f>SUMPRODUCT((③労働時間!$A$5:$A$353=作業体系表!$B28)*(③労働時間!$B$5:$B$353="10月上旬")*(③労働時間!$J$5:$J$353))</f>
        <v>0</v>
      </c>
      <c r="AF28" s="383">
        <f>SUMPRODUCT((③労働時間!$A$5:$A$353=作業体系表!$B28)*(③労働時間!$B$5:$B$353="10月中旬")*(③労働時間!$J$5:$J$353))</f>
        <v>0</v>
      </c>
      <c r="AG28" s="383">
        <f>SUMPRODUCT((③労働時間!$A$5:$A$353=作業体系表!$B28)*(③労働時間!$B$5:$B$353="10月下旬")*(③労働時間!$J$5:$J$353))</f>
        <v>0</v>
      </c>
      <c r="AH28" s="383">
        <f>SUMPRODUCT((③労働時間!$A$5:$A$353=作業体系表!$B28)*(③労働時間!$B$5:$B$353="11月上旬")*(③労働時間!$J$5:$J$353))</f>
        <v>0</v>
      </c>
      <c r="AI28" s="383">
        <f>SUMPRODUCT((③労働時間!$A$5:$A$353=作業体系表!$B28)*(③労働時間!$B$5:$B$353="11月中旬")*(③労働時間!$J$5:$J$353))</f>
        <v>0</v>
      </c>
      <c r="AJ28" s="383">
        <f>SUMPRODUCT((③労働時間!$A$5:$A$353=作業体系表!$B28)*(③労働時間!$B$5:$B$353="11月下旬")*(③労働時間!$J$5:$J$353))</f>
        <v>0.2</v>
      </c>
      <c r="AK28" s="383">
        <f>SUMPRODUCT((③労働時間!$A$5:$A$353=作業体系表!$B28)*(③労働時間!$B$5:$B$353="12月上旬")*(③労働時間!$J$5:$J$353))</f>
        <v>0</v>
      </c>
      <c r="AL28" s="383">
        <f>SUMPRODUCT((③労働時間!$A$5:$A$353=作業体系表!$B28)*(③労働時間!$B$5:$B$353="12月中旬")*(③労働時間!$J$5:$J$353))</f>
        <v>0</v>
      </c>
      <c r="AM28" s="385">
        <f>SUMPRODUCT((③労働時間!$A$5:$A$353=作業体系表!$B28)*(③労働時間!$B$5:$B$353="12月下旬")*(③労働時間!$J$5:$J$353))</f>
        <v>0</v>
      </c>
      <c r="AN28" s="387">
        <f t="shared" si="0"/>
        <v>0.2</v>
      </c>
    </row>
    <row r="29" spans="2:40" s="446" customFormat="1" ht="12" customHeight="1">
      <c r="B29" s="758" t="s">
        <v>132</v>
      </c>
      <c r="C29" s="445" t="s">
        <v>137</v>
      </c>
      <c r="D29" s="390">
        <f>SUMPRODUCT((③労働時間!$B$5:$B$353="1月上旬")*(③労働時間!$Q$5:$Q$353))</f>
        <v>0</v>
      </c>
      <c r="E29" s="391">
        <f>SUMPRODUCT((③労働時間!$B$5:$B$353="1月中旬")*(③労働時間!$Q$5:$Q$353))</f>
        <v>0</v>
      </c>
      <c r="F29" s="391">
        <f>SUMPRODUCT((③労働時間!$B$5:$B$353="1月下旬")*(③労働時間!$Q$5:$Q$353))</f>
        <v>0</v>
      </c>
      <c r="G29" s="391">
        <f>SUMPRODUCT((③労働時間!$B$5:$B$353="2月上旬")*(③労働時間!$Q$5:$Q$353))</f>
        <v>0</v>
      </c>
      <c r="H29" s="391">
        <f>SUMPRODUCT((③労働時間!$B$5:$B$353="2月中旬")*(③労働時間!$Q$5:$Q$353))</f>
        <v>0</v>
      </c>
      <c r="I29" s="391">
        <f>SUMPRODUCT((③労働時間!$B$5:$B$353="2月下旬")*(③労働時間!$Q$5:$Q$353))</f>
        <v>0</v>
      </c>
      <c r="J29" s="391">
        <f>SUMPRODUCT((③労働時間!$B$5:$B$353="3月上旬")*(③労働時間!$Q$5:$Q$353))</f>
        <v>0</v>
      </c>
      <c r="K29" s="391">
        <f>SUMPRODUCT((③労働時間!$B$5:$B$353="3月中旬")*(③労働時間!$Q$5:$Q$353))</f>
        <v>0</v>
      </c>
      <c r="L29" s="391">
        <f>SUMPRODUCT((③労働時間!$B$5:$B$353="3月下旬")*(③労働時間!$Q$5:$Q$353))</f>
        <v>0</v>
      </c>
      <c r="M29" s="391">
        <f>SUMPRODUCT((③労働時間!$B$5:$B$353="4月上旬")*(③労働時間!$Q$5:$Q$353))</f>
        <v>0</v>
      </c>
      <c r="N29" s="391">
        <f>SUMPRODUCT((③労働時間!$B$5:$B$353="4月中旬")*(③労働時間!$Q$5:$Q$353))</f>
        <v>0</v>
      </c>
      <c r="O29" s="391">
        <f>SUMPRODUCT((③労働時間!$B$5:$B$353="4月下旬")*(③労働時間!$Q$5:$Q$353))</f>
        <v>0</v>
      </c>
      <c r="P29" s="390">
        <f>SUMPRODUCT((③労働時間!$B$5:$B$353="5月上旬")*(③労働時間!$Q$5:$Q$353))</f>
        <v>0</v>
      </c>
      <c r="Q29" s="391">
        <f>SUMPRODUCT((③労働時間!$B$5:$B$353="5月中旬")*(③労働時間!$Q$5:$Q$353))</f>
        <v>0.40000640010240168</v>
      </c>
      <c r="R29" s="391">
        <f>SUMPRODUCT((③労働時間!$B$5:$B$353="5月下旬")*(③労働時間!$Q$5:$Q$353))</f>
        <v>0</v>
      </c>
      <c r="S29" s="391">
        <f>SUMPRODUCT((③労働時間!$B$5:$B$353="6月上旬")*(③労働時間!$Q$5:$Q$353))</f>
        <v>0</v>
      </c>
      <c r="T29" s="391">
        <f>SUMPRODUCT((③労働時間!$B$5:$B$353="6月中旬")*(③労働時間!$Q$5:$Q$353))</f>
        <v>0</v>
      </c>
      <c r="U29" s="391">
        <f>SUMPRODUCT((③労働時間!$B$5:$B$353="6月下旬")*(③労働時間!$Q$5:$Q$353))</f>
        <v>0.10000160002560042</v>
      </c>
      <c r="V29" s="391">
        <f>SUMPRODUCT((③労働時間!$B$5:$B$353="7月上旬")*(③労働時間!$Q$5:$Q$353))</f>
        <v>0</v>
      </c>
      <c r="W29" s="391">
        <f>SUMPRODUCT((③労働時間!$B$5:$B$353="7月中旬")*(③労働時間!$Q$5:$Q$353))</f>
        <v>0</v>
      </c>
      <c r="X29" s="391">
        <f>SUMPRODUCT((③労働時間!$B$5:$B$353="7月下旬")*(③労働時間!$Q$5:$Q$353))</f>
        <v>0.10000160002560042</v>
      </c>
      <c r="Y29" s="391">
        <f>SUMPRODUCT((③労働時間!$B$5:$B$353="8月上旬")*(③労働時間!$Q$5:$Q$353))</f>
        <v>0</v>
      </c>
      <c r="Z29" s="391">
        <f>SUMPRODUCT((③労働時間!$B$5:$B$353="8月中旬")*(③労働時間!$Q$5:$Q$353))</f>
        <v>0</v>
      </c>
      <c r="AA29" s="391">
        <f>SUMPRODUCT((③労働時間!$B$5:$B$353="8月下旬")*(③労働時間!$Q$5:$Q$353))</f>
        <v>0.10000160002560042</v>
      </c>
      <c r="AB29" s="390">
        <f>SUMPRODUCT((③労働時間!$B$5:$B$353="9月上旬")*(③労働時間!$Q$5:$Q$353))</f>
        <v>0</v>
      </c>
      <c r="AC29" s="391">
        <f>SUMPRODUCT((③労働時間!$B$5:$B$353="9月中旬")*(③労働時間!$Q$5:$Q$353))</f>
        <v>0</v>
      </c>
      <c r="AD29" s="391">
        <f>SUMPRODUCT((③労働時間!$B$5:$B$353="9月下旬")*(③労働時間!$Q$5:$Q$353))</f>
        <v>0</v>
      </c>
      <c r="AE29" s="391">
        <f>SUMPRODUCT((③労働時間!$B$5:$B$353="10月上旬")*(③労働時間!$Q$5:$Q$353))</f>
        <v>0</v>
      </c>
      <c r="AF29" s="391">
        <f>SUMPRODUCT((③労働時間!$B$5:$B$353="10月中旬")*(③労働時間!$Q$5:$Q$353))</f>
        <v>0</v>
      </c>
      <c r="AG29" s="391">
        <f>SUMPRODUCT((③労働時間!$B$5:$B$353="10月下旬")*(③労働時間!$Q$5:$Q$353))</f>
        <v>0</v>
      </c>
      <c r="AH29" s="391">
        <f>SUMPRODUCT((③労働時間!$B$5:$B$353="11月上旬")*(③労働時間!$Q$5:$Q$353))</f>
        <v>0</v>
      </c>
      <c r="AI29" s="391">
        <f>SUMPRODUCT((③労働時間!$B$5:$B$353="11月中旬")*(③労働時間!$Q$5:$Q$353))</f>
        <v>0</v>
      </c>
      <c r="AJ29" s="391">
        <f>SUMPRODUCT((③労働時間!$B$5:$B$353="11月下旬")*(③労働時間!$Q$5:$Q$353))</f>
        <v>0</v>
      </c>
      <c r="AK29" s="391">
        <f>SUMPRODUCT((③労働時間!$B$5:$B$353="12月上旬")*(③労働時間!$Q$5:$Q$353))</f>
        <v>0</v>
      </c>
      <c r="AL29" s="391">
        <f>SUMPRODUCT((③労働時間!$B$5:$B$353="12月中旬")*(③労働時間!$Q$5:$Q$353))</f>
        <v>0</v>
      </c>
      <c r="AM29" s="391">
        <f>SUMPRODUCT((③労働時間!$B$5:$B$353="12月下旬")*(③労働時間!$Q$5:$Q$353))</f>
        <v>0</v>
      </c>
      <c r="AN29" s="392">
        <f>SUM(D29:AM29)</f>
        <v>0.70001120017920293</v>
      </c>
    </row>
    <row r="30" spans="2:40" s="446" customFormat="1" ht="12" customHeight="1">
      <c r="B30" s="758"/>
      <c r="C30" s="447" t="s">
        <v>138</v>
      </c>
      <c r="D30" s="393">
        <f>SUMPRODUCT((③労働時間!$B$5:$B$353="1月上旬")*(③労働時間!$R$5:$R$353))</f>
        <v>0</v>
      </c>
      <c r="E30" s="394">
        <f>SUMPRODUCT((③労働時間!$B$5:$B$353="1月中旬")*(③労働時間!$R$5:$R$353))</f>
        <v>0</v>
      </c>
      <c r="F30" s="394">
        <f>SUMPRODUCT((③労働時間!$B$5:$B$353="1月下旬")*(③労働時間!$R$5:$R$353))</f>
        <v>0</v>
      </c>
      <c r="G30" s="394">
        <f>SUMPRODUCT((③労働時間!$B$5:$B$353="2月上旬")*(③労働時間!$R$5:$R$353))</f>
        <v>0</v>
      </c>
      <c r="H30" s="394">
        <f>SUMPRODUCT((③労働時間!$B$5:$B$353="2月中旬")*(③労働時間!$R$5:$R$353))</f>
        <v>0</v>
      </c>
      <c r="I30" s="394">
        <f>SUMPRODUCT((③労働時間!$B$5:$B$353="2月下旬")*(③労働時間!$R$5:$R$353))</f>
        <v>0</v>
      </c>
      <c r="J30" s="394">
        <f>SUMPRODUCT((③労働時間!$B$5:$B$353="3月上旬")*(③労働時間!$R$5:$R$353))</f>
        <v>0</v>
      </c>
      <c r="K30" s="394">
        <f>SUMPRODUCT((③労働時間!$B$5:$B$353="3月中旬")*(③労働時間!$R$5:$R$353))</f>
        <v>0</v>
      </c>
      <c r="L30" s="394">
        <f>SUMPRODUCT((③労働時間!$B$5:$B$353="3月下旬")*(③労働時間!$R$5:$R$353))</f>
        <v>0</v>
      </c>
      <c r="M30" s="394">
        <f>SUMPRODUCT((③労働時間!$B$5:$B$353="4月上旬")*(③労働時間!$R$5:$R$353))</f>
        <v>0</v>
      </c>
      <c r="N30" s="394">
        <f>SUMPRODUCT((③労働時間!$B$5:$B$353="4月中旬")*(③労働時間!$R$5:$R$353))</f>
        <v>0.2</v>
      </c>
      <c r="O30" s="394">
        <f>SUMPRODUCT((③労働時間!$B$5:$B$353="4月下旬")*(③労働時間!$R$5:$R$353))</f>
        <v>0</v>
      </c>
      <c r="P30" s="393">
        <f>SUMPRODUCT((③労働時間!$B$5:$B$353="5月上旬")*(③労働時間!$R$5:$R$353))</f>
        <v>0</v>
      </c>
      <c r="Q30" s="394">
        <f>SUMPRODUCT((③労働時間!$B$5:$B$353="5月中旬")*(③労働時間!$R$5:$R$353))</f>
        <v>1</v>
      </c>
      <c r="R30" s="394">
        <f>SUMPRODUCT((③労働時間!$B$5:$B$353="5月下旬")*(③労働時間!$R$5:$R$353))</f>
        <v>0.6</v>
      </c>
      <c r="S30" s="394">
        <f>SUMPRODUCT((③労働時間!$B$5:$B$353="6月上旬")*(③労働時間!$R$5:$R$353))</f>
        <v>0.5</v>
      </c>
      <c r="T30" s="394">
        <f>SUMPRODUCT((③労働時間!$B$5:$B$353="6月中旬")*(③労働時間!$R$5:$R$353))</f>
        <v>0.5</v>
      </c>
      <c r="U30" s="394">
        <f>SUMPRODUCT((③労働時間!$B$5:$B$353="6月下旬")*(③労働時間!$R$5:$R$353))</f>
        <v>0.6</v>
      </c>
      <c r="V30" s="394">
        <f>SUMPRODUCT((③労働時間!$B$5:$B$353="7月上旬")*(③労働時間!$R$5:$R$353))</f>
        <v>0.5</v>
      </c>
      <c r="W30" s="394">
        <f>SUMPRODUCT((③労働時間!$B$5:$B$353="7月中旬")*(③労働時間!$R$5:$R$353))</f>
        <v>0.5</v>
      </c>
      <c r="X30" s="394">
        <f>SUMPRODUCT((③労働時間!$B$5:$B$353="7月下旬")*(③労働時間!$R$5:$R$353))</f>
        <v>0.6</v>
      </c>
      <c r="Y30" s="394">
        <f>SUMPRODUCT((③労働時間!$B$5:$B$353="8月上旬")*(③労働時間!$R$5:$R$353))</f>
        <v>0.5</v>
      </c>
      <c r="Z30" s="394">
        <f>SUMPRODUCT((③労働時間!$B$5:$B$353="8月中旬")*(③労働時間!$R$5:$R$353))</f>
        <v>0.5</v>
      </c>
      <c r="AA30" s="394">
        <f>SUMPRODUCT((③労働時間!$B$5:$B$353="8月下旬")*(③労働時間!$R$5:$R$353))</f>
        <v>0.6</v>
      </c>
      <c r="AB30" s="393">
        <f>SUMPRODUCT((③労働時間!$B$5:$B$353="9月上旬")*(③労働時間!$R$5:$R$353))</f>
        <v>0.5</v>
      </c>
      <c r="AC30" s="394">
        <f>SUMPRODUCT((③労働時間!$B$5:$B$353="9月中旬")*(③労働時間!$R$5:$R$353))</f>
        <v>0.5</v>
      </c>
      <c r="AD30" s="394">
        <f>SUMPRODUCT((③労働時間!$B$5:$B$353="9月下旬")*(③労働時間!$R$5:$R$353))</f>
        <v>0.6</v>
      </c>
      <c r="AE30" s="394">
        <f>SUMPRODUCT((③労働時間!$B$5:$B$353="10月上旬")*(③労働時間!$R$5:$R$353))</f>
        <v>0.5</v>
      </c>
      <c r="AF30" s="394">
        <f>SUMPRODUCT((③労働時間!$B$5:$B$353="10月中旬")*(③労働時間!$R$5:$R$353))</f>
        <v>0.5</v>
      </c>
      <c r="AG30" s="394">
        <f>SUMPRODUCT((③労働時間!$B$5:$B$353="10月下旬")*(③労働時間!$R$5:$R$353))</f>
        <v>0.6</v>
      </c>
      <c r="AH30" s="394">
        <f>SUMPRODUCT((③労働時間!$B$5:$B$353="11月上旬")*(③労働時間!$R$5:$R$353))</f>
        <v>0.5</v>
      </c>
      <c r="AI30" s="394">
        <f>SUMPRODUCT((③労働時間!$B$5:$B$353="11月中旬")*(③労働時間!$R$5:$R$353))</f>
        <v>0.5</v>
      </c>
      <c r="AJ30" s="394">
        <f>SUMPRODUCT((③労働時間!$B$5:$B$353="11月下旬")*(③労働時間!$R$5:$R$353))</f>
        <v>0.2</v>
      </c>
      <c r="AK30" s="394">
        <f>SUMPRODUCT((③労働時間!$B$5:$B$353="12月上旬")*(③労働時間!$R$5:$R$353))</f>
        <v>0</v>
      </c>
      <c r="AL30" s="394">
        <f>SUMPRODUCT((③労働時間!$B$5:$B$353="12月中旬")*(③労働時間!$R$5:$R$353))</f>
        <v>0</v>
      </c>
      <c r="AM30" s="394">
        <f>SUMPRODUCT((③労働時間!$B$5:$B$353="12月下旬")*(③労働時間!$R$5:$R$353))</f>
        <v>0</v>
      </c>
      <c r="AN30" s="395">
        <f>SUM(D30:AM30)</f>
        <v>10.999999999999998</v>
      </c>
    </row>
    <row r="31" spans="2:40" ht="12" customHeight="1">
      <c r="B31" s="758"/>
      <c r="C31" s="448" t="s">
        <v>139</v>
      </c>
      <c r="D31" s="389">
        <f>SUM(D9:D28)</f>
        <v>0</v>
      </c>
      <c r="E31" s="388">
        <f t="shared" ref="E31:U31" si="1">SUM(E9:E28)</f>
        <v>0</v>
      </c>
      <c r="F31" s="388">
        <f t="shared" si="1"/>
        <v>0</v>
      </c>
      <c r="G31" s="388">
        <f t="shared" si="1"/>
        <v>0</v>
      </c>
      <c r="H31" s="388">
        <f t="shared" si="1"/>
        <v>0</v>
      </c>
      <c r="I31" s="388">
        <f t="shared" si="1"/>
        <v>0</v>
      </c>
      <c r="J31" s="388">
        <f t="shared" si="1"/>
        <v>0</v>
      </c>
      <c r="K31" s="388">
        <f t="shared" si="1"/>
        <v>0</v>
      </c>
      <c r="L31" s="388">
        <f t="shared" si="1"/>
        <v>0</v>
      </c>
      <c r="M31" s="388">
        <f t="shared" si="1"/>
        <v>0</v>
      </c>
      <c r="N31" s="388">
        <f t="shared" si="1"/>
        <v>0.2</v>
      </c>
      <c r="O31" s="388">
        <f t="shared" si="1"/>
        <v>0</v>
      </c>
      <c r="P31" s="389">
        <f t="shared" si="1"/>
        <v>0</v>
      </c>
      <c r="Q31" s="388">
        <f t="shared" si="1"/>
        <v>1.4000064001024017</v>
      </c>
      <c r="R31" s="388">
        <f t="shared" si="1"/>
        <v>0.6</v>
      </c>
      <c r="S31" s="388">
        <f t="shared" si="1"/>
        <v>0.5</v>
      </c>
      <c r="T31" s="388">
        <f t="shared" si="1"/>
        <v>0.5</v>
      </c>
      <c r="U31" s="388">
        <f t="shared" si="1"/>
        <v>0.70000160002560041</v>
      </c>
      <c r="V31" s="388">
        <f t="shared" ref="V31:AM31" si="2">SUM(V9:V28)</f>
        <v>0.5</v>
      </c>
      <c r="W31" s="388">
        <f t="shared" si="2"/>
        <v>0.5</v>
      </c>
      <c r="X31" s="388">
        <f t="shared" si="2"/>
        <v>0.70000160002560041</v>
      </c>
      <c r="Y31" s="388">
        <f t="shared" si="2"/>
        <v>0.5</v>
      </c>
      <c r="Z31" s="388">
        <f t="shared" si="2"/>
        <v>0.5</v>
      </c>
      <c r="AA31" s="388">
        <f t="shared" si="2"/>
        <v>0.70000160002560041</v>
      </c>
      <c r="AB31" s="389">
        <f t="shared" si="2"/>
        <v>0.5</v>
      </c>
      <c r="AC31" s="388">
        <f t="shared" si="2"/>
        <v>0.5</v>
      </c>
      <c r="AD31" s="388">
        <f t="shared" si="2"/>
        <v>0.6</v>
      </c>
      <c r="AE31" s="388">
        <f t="shared" si="2"/>
        <v>0.5</v>
      </c>
      <c r="AF31" s="388">
        <f t="shared" si="2"/>
        <v>0.5</v>
      </c>
      <c r="AG31" s="388">
        <f t="shared" si="2"/>
        <v>0.6</v>
      </c>
      <c r="AH31" s="388">
        <f t="shared" si="2"/>
        <v>0.5</v>
      </c>
      <c r="AI31" s="388">
        <f t="shared" si="2"/>
        <v>0.5</v>
      </c>
      <c r="AJ31" s="388">
        <f t="shared" si="2"/>
        <v>0.2</v>
      </c>
      <c r="AK31" s="388">
        <f t="shared" si="2"/>
        <v>0</v>
      </c>
      <c r="AL31" s="388">
        <f t="shared" si="2"/>
        <v>0</v>
      </c>
      <c r="AM31" s="388">
        <f t="shared" si="2"/>
        <v>0</v>
      </c>
      <c r="AN31" s="396">
        <f>SUM(D31:AM31)</f>
        <v>11.700011200179201</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9">
        <f>①技術体系!E2*100</f>
        <v>100</v>
      </c>
      <c r="D33" s="450" t="s">
        <v>379</v>
      </c>
      <c r="E33" s="47" t="s">
        <v>376</v>
      </c>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row>
    <row r="34" spans="2:40" s="47" customFormat="1" ht="20.100000000000001" customHeight="1" thickBot="1">
      <c r="B34" s="756" t="s">
        <v>377</v>
      </c>
      <c r="C34" s="757"/>
      <c r="D34" s="648">
        <f>D31*$C$33/10</f>
        <v>0</v>
      </c>
      <c r="E34" s="649">
        <f t="shared" ref="E34:AM34" si="3">E31*$C$33/10</f>
        <v>0</v>
      </c>
      <c r="F34" s="648">
        <f t="shared" si="3"/>
        <v>0</v>
      </c>
      <c r="G34" s="650">
        <f t="shared" si="3"/>
        <v>0</v>
      </c>
      <c r="H34" s="649">
        <f t="shared" si="3"/>
        <v>0</v>
      </c>
      <c r="I34" s="651">
        <f t="shared" si="3"/>
        <v>0</v>
      </c>
      <c r="J34" s="648">
        <f t="shared" si="3"/>
        <v>0</v>
      </c>
      <c r="K34" s="649">
        <f t="shared" si="3"/>
        <v>0</v>
      </c>
      <c r="L34" s="648">
        <f t="shared" si="3"/>
        <v>0</v>
      </c>
      <c r="M34" s="650">
        <f t="shared" si="3"/>
        <v>0</v>
      </c>
      <c r="N34" s="649">
        <f t="shared" si="3"/>
        <v>2</v>
      </c>
      <c r="O34" s="651">
        <f t="shared" si="3"/>
        <v>0</v>
      </c>
      <c r="P34" s="648">
        <f t="shared" si="3"/>
        <v>0</v>
      </c>
      <c r="Q34" s="649">
        <f t="shared" si="3"/>
        <v>14.000064001024018</v>
      </c>
      <c r="R34" s="648">
        <f t="shared" si="3"/>
        <v>6</v>
      </c>
      <c r="S34" s="650">
        <f t="shared" si="3"/>
        <v>5</v>
      </c>
      <c r="T34" s="649">
        <f t="shared" si="3"/>
        <v>5</v>
      </c>
      <c r="U34" s="651">
        <f t="shared" si="3"/>
        <v>7.0000160002560037</v>
      </c>
      <c r="V34" s="648">
        <f t="shared" si="3"/>
        <v>5</v>
      </c>
      <c r="W34" s="649">
        <f t="shared" si="3"/>
        <v>5</v>
      </c>
      <c r="X34" s="648">
        <f t="shared" si="3"/>
        <v>7.0000160002560037</v>
      </c>
      <c r="Y34" s="650">
        <f t="shared" si="3"/>
        <v>5</v>
      </c>
      <c r="Z34" s="649">
        <f t="shared" si="3"/>
        <v>5</v>
      </c>
      <c r="AA34" s="651">
        <f t="shared" si="3"/>
        <v>7.0000160002560037</v>
      </c>
      <c r="AB34" s="648">
        <f t="shared" si="3"/>
        <v>5</v>
      </c>
      <c r="AC34" s="649">
        <f t="shared" si="3"/>
        <v>5</v>
      </c>
      <c r="AD34" s="648">
        <f t="shared" si="3"/>
        <v>6</v>
      </c>
      <c r="AE34" s="650">
        <f t="shared" si="3"/>
        <v>5</v>
      </c>
      <c r="AF34" s="649">
        <f t="shared" si="3"/>
        <v>5</v>
      </c>
      <c r="AG34" s="651">
        <f t="shared" si="3"/>
        <v>6</v>
      </c>
      <c r="AH34" s="648">
        <f t="shared" si="3"/>
        <v>5</v>
      </c>
      <c r="AI34" s="649">
        <f t="shared" si="3"/>
        <v>5</v>
      </c>
      <c r="AJ34" s="648">
        <f t="shared" si="3"/>
        <v>2</v>
      </c>
      <c r="AK34" s="650">
        <f t="shared" si="3"/>
        <v>0</v>
      </c>
      <c r="AL34" s="649">
        <f t="shared" si="3"/>
        <v>0</v>
      </c>
      <c r="AM34" s="651">
        <f t="shared" si="3"/>
        <v>0</v>
      </c>
      <c r="AN34" s="652">
        <f t="shared" ref="AN34:AN36" si="4">SUM(D34:AM34)</f>
        <v>117.00011200179202</v>
      </c>
    </row>
    <row r="35" spans="2:40" s="47" customFormat="1" ht="20.100000000000001" customHeight="1" thickTop="1">
      <c r="B35" s="759" t="s">
        <v>400</v>
      </c>
      <c r="C35" s="452" t="s">
        <v>380</v>
      </c>
      <c r="D35" s="653">
        <v>150</v>
      </c>
      <c r="E35" s="654">
        <v>150</v>
      </c>
      <c r="F35" s="653">
        <v>150</v>
      </c>
      <c r="G35" s="655">
        <v>150</v>
      </c>
      <c r="H35" s="656">
        <v>150</v>
      </c>
      <c r="I35" s="657">
        <v>150</v>
      </c>
      <c r="J35" s="658">
        <v>150</v>
      </c>
      <c r="K35" s="656">
        <v>150</v>
      </c>
      <c r="L35" s="658">
        <v>150</v>
      </c>
      <c r="M35" s="655">
        <v>150</v>
      </c>
      <c r="N35" s="656">
        <v>150</v>
      </c>
      <c r="O35" s="657">
        <v>150</v>
      </c>
      <c r="P35" s="658">
        <v>150</v>
      </c>
      <c r="Q35" s="656">
        <v>150</v>
      </c>
      <c r="R35" s="658">
        <v>150</v>
      </c>
      <c r="S35" s="655">
        <v>150</v>
      </c>
      <c r="T35" s="656">
        <v>150</v>
      </c>
      <c r="U35" s="657">
        <v>150</v>
      </c>
      <c r="V35" s="653">
        <v>150</v>
      </c>
      <c r="W35" s="654">
        <v>150</v>
      </c>
      <c r="X35" s="653">
        <v>150</v>
      </c>
      <c r="Y35" s="659">
        <v>150</v>
      </c>
      <c r="Z35" s="654">
        <v>150</v>
      </c>
      <c r="AA35" s="660">
        <v>150</v>
      </c>
      <c r="AB35" s="653">
        <v>150</v>
      </c>
      <c r="AC35" s="654">
        <v>150</v>
      </c>
      <c r="AD35" s="653">
        <v>150</v>
      </c>
      <c r="AE35" s="659">
        <v>150</v>
      </c>
      <c r="AF35" s="654">
        <v>150</v>
      </c>
      <c r="AG35" s="660">
        <v>150</v>
      </c>
      <c r="AH35" s="653">
        <v>150</v>
      </c>
      <c r="AI35" s="654">
        <v>150</v>
      </c>
      <c r="AJ35" s="653">
        <v>150</v>
      </c>
      <c r="AK35" s="659">
        <v>150</v>
      </c>
      <c r="AL35" s="654">
        <v>150</v>
      </c>
      <c r="AM35" s="660">
        <v>150</v>
      </c>
      <c r="AN35" s="661">
        <f t="shared" si="4"/>
        <v>5400</v>
      </c>
    </row>
    <row r="36" spans="2:40" s="47" customFormat="1" ht="20.100000000000001" customHeight="1" thickBot="1">
      <c r="B36" s="760"/>
      <c r="C36" s="669" t="s">
        <v>662</v>
      </c>
      <c r="D36" s="655"/>
      <c r="E36" s="656"/>
      <c r="F36" s="657"/>
      <c r="G36" s="658"/>
      <c r="H36" s="656"/>
      <c r="I36" s="658"/>
      <c r="J36" s="655"/>
      <c r="K36" s="656"/>
      <c r="L36" s="657"/>
      <c r="M36" s="655"/>
      <c r="N36" s="656"/>
      <c r="O36" s="657"/>
      <c r="P36" s="658"/>
      <c r="Q36" s="656"/>
      <c r="R36" s="658"/>
      <c r="S36" s="655"/>
      <c r="T36" s="656"/>
      <c r="U36" s="657"/>
      <c r="V36" s="658"/>
      <c r="W36" s="656"/>
      <c r="X36" s="658"/>
      <c r="Y36" s="655"/>
      <c r="Z36" s="656"/>
      <c r="AA36" s="657"/>
      <c r="AB36" s="658"/>
      <c r="AC36" s="656"/>
      <c r="AD36" s="658"/>
      <c r="AE36" s="655"/>
      <c r="AF36" s="656"/>
      <c r="AG36" s="657"/>
      <c r="AH36" s="658"/>
      <c r="AI36" s="656"/>
      <c r="AJ36" s="658"/>
      <c r="AK36" s="655"/>
      <c r="AL36" s="656"/>
      <c r="AM36" s="657"/>
      <c r="AN36" s="662">
        <f t="shared" si="4"/>
        <v>0</v>
      </c>
    </row>
    <row r="37" spans="2:40" s="47" customFormat="1" ht="20.100000000000001" customHeight="1" thickBot="1">
      <c r="B37" s="761"/>
      <c r="C37" s="670" t="s">
        <v>378</v>
      </c>
      <c r="D37" s="663">
        <f>+D35+D36+-D34</f>
        <v>150</v>
      </c>
      <c r="E37" s="664">
        <f t="shared" ref="E37:AM37" si="5">+E35+E36+-E34</f>
        <v>150</v>
      </c>
      <c r="F37" s="665">
        <f t="shared" si="5"/>
        <v>150</v>
      </c>
      <c r="G37" s="663">
        <f t="shared" si="5"/>
        <v>150</v>
      </c>
      <c r="H37" s="664">
        <f t="shared" si="5"/>
        <v>150</v>
      </c>
      <c r="I37" s="666">
        <f t="shared" si="5"/>
        <v>150</v>
      </c>
      <c r="J37" s="667">
        <f t="shared" si="5"/>
        <v>150</v>
      </c>
      <c r="K37" s="664">
        <f t="shared" si="5"/>
        <v>150</v>
      </c>
      <c r="L37" s="665">
        <f t="shared" si="5"/>
        <v>150</v>
      </c>
      <c r="M37" s="663">
        <f t="shared" si="5"/>
        <v>150</v>
      </c>
      <c r="N37" s="664">
        <f t="shared" si="5"/>
        <v>148</v>
      </c>
      <c r="O37" s="666">
        <f t="shared" si="5"/>
        <v>150</v>
      </c>
      <c r="P37" s="667">
        <f t="shared" si="5"/>
        <v>150</v>
      </c>
      <c r="Q37" s="664">
        <f t="shared" si="5"/>
        <v>135.99993599897599</v>
      </c>
      <c r="R37" s="665">
        <f t="shared" si="5"/>
        <v>144</v>
      </c>
      <c r="S37" s="663">
        <f t="shared" si="5"/>
        <v>145</v>
      </c>
      <c r="T37" s="664">
        <f t="shared" si="5"/>
        <v>145</v>
      </c>
      <c r="U37" s="666">
        <f t="shared" si="5"/>
        <v>142.99998399974399</v>
      </c>
      <c r="V37" s="667">
        <f t="shared" si="5"/>
        <v>145</v>
      </c>
      <c r="W37" s="664">
        <f t="shared" si="5"/>
        <v>145</v>
      </c>
      <c r="X37" s="665">
        <f t="shared" si="5"/>
        <v>142.99998399974399</v>
      </c>
      <c r="Y37" s="663">
        <f t="shared" si="5"/>
        <v>145</v>
      </c>
      <c r="Z37" s="664">
        <f t="shared" si="5"/>
        <v>145</v>
      </c>
      <c r="AA37" s="666">
        <f t="shared" si="5"/>
        <v>142.99998399974399</v>
      </c>
      <c r="AB37" s="667">
        <f t="shared" si="5"/>
        <v>145</v>
      </c>
      <c r="AC37" s="664">
        <f t="shared" si="5"/>
        <v>145</v>
      </c>
      <c r="AD37" s="665">
        <f t="shared" si="5"/>
        <v>144</v>
      </c>
      <c r="AE37" s="663">
        <f t="shared" si="5"/>
        <v>145</v>
      </c>
      <c r="AF37" s="664">
        <f t="shared" si="5"/>
        <v>145</v>
      </c>
      <c r="AG37" s="666">
        <f t="shared" si="5"/>
        <v>144</v>
      </c>
      <c r="AH37" s="667">
        <f t="shared" si="5"/>
        <v>145</v>
      </c>
      <c r="AI37" s="664">
        <f t="shared" si="5"/>
        <v>145</v>
      </c>
      <c r="AJ37" s="665">
        <f t="shared" si="5"/>
        <v>148</v>
      </c>
      <c r="AK37" s="663">
        <f t="shared" si="5"/>
        <v>150</v>
      </c>
      <c r="AL37" s="664">
        <f t="shared" si="5"/>
        <v>150</v>
      </c>
      <c r="AM37" s="664">
        <f t="shared" si="5"/>
        <v>150</v>
      </c>
      <c r="AN37" s="668">
        <f t="shared" ref="AN37" si="6">SUM(D37:AM37)</f>
        <v>5282.9998879982086</v>
      </c>
    </row>
    <row r="38" spans="2:40" s="453" customFormat="1" ht="13.5" customHeight="1" thickBot="1">
      <c r="AN38" s="454"/>
    </row>
    <row r="39" spans="2:40" ht="28.5" customHeight="1">
      <c r="B39" s="46"/>
      <c r="C39" s="498" t="s">
        <v>403</v>
      </c>
      <c r="D39" s="752" t="s">
        <v>404</v>
      </c>
      <c r="E39" s="752"/>
      <c r="F39" s="753"/>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9">
        <v>753</v>
      </c>
      <c r="D40" s="754">
        <f>C40*AN36</f>
        <v>0</v>
      </c>
      <c r="E40" s="754"/>
      <c r="F40" s="755"/>
    </row>
  </sheetData>
  <sheetProtection sheet="1" objects="1" scenarios="1" selectLockedCells="1"/>
  <mergeCells count="41">
    <mergeCell ref="D39:F39"/>
    <mergeCell ref="D40:F40"/>
    <mergeCell ref="B26:C26"/>
    <mergeCell ref="B28:C28"/>
    <mergeCell ref="B34:C34"/>
    <mergeCell ref="B27:C27"/>
    <mergeCell ref="B29:B31"/>
    <mergeCell ref="B35:B37"/>
    <mergeCell ref="AN2:AN3"/>
    <mergeCell ref="Y2:AA2"/>
    <mergeCell ref="AB2:AD2"/>
    <mergeCell ref="AE2:AG2"/>
    <mergeCell ref="AH2:AJ2"/>
    <mergeCell ref="AK2:AM2"/>
    <mergeCell ref="B19:C19"/>
    <mergeCell ref="P2:R2"/>
    <mergeCell ref="C4:C8"/>
    <mergeCell ref="V2:X2"/>
    <mergeCell ref="B2:C3"/>
    <mergeCell ref="D2:F2"/>
    <mergeCell ref="G2:I2"/>
    <mergeCell ref="J2:L2"/>
    <mergeCell ref="S2:U2"/>
    <mergeCell ref="B4:B8"/>
    <mergeCell ref="M2:O2"/>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s>
  <phoneticPr fontId="14"/>
  <printOptions horizontalCentered="1" verticalCentered="1"/>
  <pageMargins left="0.78740157480314965" right="0.74803149606299213" top="1.1811023622047245" bottom="0.39370078740157483" header="0.78740157480314965" footer="0.51181102362204722"/>
  <pageSetup paperSize="9" scale="50" firstPageNumber="0" orientation="landscape" cellComments="asDisplayed" horizontalDpi="4294967293" verticalDpi="300" r:id="rId1"/>
  <headerFooter alignWithMargins="0">
    <oddHeader>&amp;L肉用牛（肥育）春から秋の耕作放棄地経産牛放牧（全域）</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15" zoomScale="110" zoomScaleNormal="110" zoomScalePageLayoutView="153" workbookViewId="0">
      <selection activeCell="C25" sqref="C25"/>
    </sheetView>
  </sheetViews>
  <sheetFormatPr defaultColWidth="10" defaultRowHeight="13.5"/>
  <cols>
    <col min="1" max="1" width="3.125" style="279" customWidth="1"/>
    <col min="2" max="2" width="17.875" style="279" customWidth="1"/>
    <col min="3" max="3" width="10" style="279" customWidth="1"/>
    <col min="4" max="4" width="2.375" style="279" customWidth="1"/>
    <col min="5" max="5" width="6.125" style="279" customWidth="1"/>
    <col min="6" max="6" width="7.125" style="279" customWidth="1"/>
    <col min="7" max="7" width="1.875" style="279" customWidth="1"/>
    <col min="8" max="9" width="7.125" style="279" customWidth="1"/>
    <col min="10" max="10" width="2.125" style="279" customWidth="1"/>
    <col min="11" max="11" width="12.125" style="279" customWidth="1"/>
    <col min="12" max="12" width="5.875" style="279" customWidth="1"/>
    <col min="13" max="13" width="5.5" style="279" customWidth="1"/>
    <col min="14" max="15" width="8.375" style="279" customWidth="1"/>
    <col min="16" max="256" width="10" style="279"/>
    <col min="257" max="257" width="3.125" style="279" customWidth="1"/>
    <col min="258" max="258" width="17.875" style="279" customWidth="1"/>
    <col min="259" max="259" width="10" style="279" customWidth="1"/>
    <col min="260" max="260" width="2.375" style="279" customWidth="1"/>
    <col min="261" max="261" width="6.125" style="279" customWidth="1"/>
    <col min="262" max="262" width="7.125" style="279" customWidth="1"/>
    <col min="263" max="263" width="1.875" style="279" customWidth="1"/>
    <col min="264" max="265" width="7.125" style="279" customWidth="1"/>
    <col min="266" max="266" width="2.125" style="279" customWidth="1"/>
    <col min="267" max="267" width="12.125" style="279" customWidth="1"/>
    <col min="268" max="268" width="5.875" style="279" customWidth="1"/>
    <col min="269" max="269" width="5.5" style="279" customWidth="1"/>
    <col min="270" max="271" width="8.375" style="279" customWidth="1"/>
    <col min="272" max="512" width="10" style="279"/>
    <col min="513" max="513" width="3.125" style="279" customWidth="1"/>
    <col min="514" max="514" width="17.875" style="279" customWidth="1"/>
    <col min="515" max="515" width="10" style="279" customWidth="1"/>
    <col min="516" max="516" width="2.375" style="279" customWidth="1"/>
    <col min="517" max="517" width="6.125" style="279" customWidth="1"/>
    <col min="518" max="518" width="7.125" style="279" customWidth="1"/>
    <col min="519" max="519" width="1.875" style="279" customWidth="1"/>
    <col min="520" max="521" width="7.125" style="279" customWidth="1"/>
    <col min="522" max="522" width="2.125" style="279" customWidth="1"/>
    <col min="523" max="523" width="12.125" style="279" customWidth="1"/>
    <col min="524" max="524" width="5.875" style="279" customWidth="1"/>
    <col min="525" max="525" width="5.5" style="279" customWidth="1"/>
    <col min="526" max="527" width="8.375" style="279" customWidth="1"/>
    <col min="528" max="768" width="10" style="279"/>
    <col min="769" max="769" width="3.125" style="279" customWidth="1"/>
    <col min="770" max="770" width="17.875" style="279" customWidth="1"/>
    <col min="771" max="771" width="10" style="279" customWidth="1"/>
    <col min="772" max="772" width="2.375" style="279" customWidth="1"/>
    <col min="773" max="773" width="6.125" style="279" customWidth="1"/>
    <col min="774" max="774" width="7.125" style="279" customWidth="1"/>
    <col min="775" max="775" width="1.875" style="279" customWidth="1"/>
    <col min="776" max="777" width="7.125" style="279" customWidth="1"/>
    <col min="778" max="778" width="2.125" style="279" customWidth="1"/>
    <col min="779" max="779" width="12.125" style="279" customWidth="1"/>
    <col min="780" max="780" width="5.875" style="279" customWidth="1"/>
    <col min="781" max="781" width="5.5" style="279" customWidth="1"/>
    <col min="782" max="783" width="8.375" style="279" customWidth="1"/>
    <col min="784" max="1024" width="10" style="279"/>
    <col min="1025" max="1025" width="3.125" style="279" customWidth="1"/>
    <col min="1026" max="1026" width="17.875" style="279" customWidth="1"/>
    <col min="1027" max="1027" width="10" style="279" customWidth="1"/>
    <col min="1028" max="1028" width="2.375" style="279" customWidth="1"/>
    <col min="1029" max="1029" width="6.125" style="279" customWidth="1"/>
    <col min="1030" max="1030" width="7.125" style="279" customWidth="1"/>
    <col min="1031" max="1031" width="1.875" style="279" customWidth="1"/>
    <col min="1032" max="1033" width="7.125" style="279" customWidth="1"/>
    <col min="1034" max="1034" width="2.125" style="279" customWidth="1"/>
    <col min="1035" max="1035" width="12.125" style="279" customWidth="1"/>
    <col min="1036" max="1036" width="5.875" style="279" customWidth="1"/>
    <col min="1037" max="1037" width="5.5" style="279" customWidth="1"/>
    <col min="1038" max="1039" width="8.375" style="279" customWidth="1"/>
    <col min="1040" max="1280" width="10" style="279"/>
    <col min="1281" max="1281" width="3.125" style="279" customWidth="1"/>
    <col min="1282" max="1282" width="17.875" style="279" customWidth="1"/>
    <col min="1283" max="1283" width="10" style="279" customWidth="1"/>
    <col min="1284" max="1284" width="2.375" style="279" customWidth="1"/>
    <col min="1285" max="1285" width="6.125" style="279" customWidth="1"/>
    <col min="1286" max="1286" width="7.125" style="279" customWidth="1"/>
    <col min="1287" max="1287" width="1.875" style="279" customWidth="1"/>
    <col min="1288" max="1289" width="7.125" style="279" customWidth="1"/>
    <col min="1290" max="1290" width="2.125" style="279" customWidth="1"/>
    <col min="1291" max="1291" width="12.125" style="279" customWidth="1"/>
    <col min="1292" max="1292" width="5.875" style="279" customWidth="1"/>
    <col min="1293" max="1293" width="5.5" style="279" customWidth="1"/>
    <col min="1294" max="1295" width="8.375" style="279" customWidth="1"/>
    <col min="1296" max="1536" width="10" style="279"/>
    <col min="1537" max="1537" width="3.125" style="279" customWidth="1"/>
    <col min="1538" max="1538" width="17.875" style="279" customWidth="1"/>
    <col min="1539" max="1539" width="10" style="279" customWidth="1"/>
    <col min="1540" max="1540" width="2.375" style="279" customWidth="1"/>
    <col min="1541" max="1541" width="6.125" style="279" customWidth="1"/>
    <col min="1542" max="1542" width="7.125" style="279" customWidth="1"/>
    <col min="1543" max="1543" width="1.875" style="279" customWidth="1"/>
    <col min="1544" max="1545" width="7.125" style="279" customWidth="1"/>
    <col min="1546" max="1546" width="2.125" style="279" customWidth="1"/>
    <col min="1547" max="1547" width="12.125" style="279" customWidth="1"/>
    <col min="1548" max="1548" width="5.875" style="279" customWidth="1"/>
    <col min="1549" max="1549" width="5.5" style="279" customWidth="1"/>
    <col min="1550" max="1551" width="8.375" style="279" customWidth="1"/>
    <col min="1552" max="1792" width="10" style="279"/>
    <col min="1793" max="1793" width="3.125" style="279" customWidth="1"/>
    <col min="1794" max="1794" width="17.875" style="279" customWidth="1"/>
    <col min="1795" max="1795" width="10" style="279" customWidth="1"/>
    <col min="1796" max="1796" width="2.375" style="279" customWidth="1"/>
    <col min="1797" max="1797" width="6.125" style="279" customWidth="1"/>
    <col min="1798" max="1798" width="7.125" style="279" customWidth="1"/>
    <col min="1799" max="1799" width="1.875" style="279" customWidth="1"/>
    <col min="1800" max="1801" width="7.125" style="279" customWidth="1"/>
    <col min="1802" max="1802" width="2.125" style="279" customWidth="1"/>
    <col min="1803" max="1803" width="12.125" style="279" customWidth="1"/>
    <col min="1804" max="1804" width="5.875" style="279" customWidth="1"/>
    <col min="1805" max="1805" width="5.5" style="279" customWidth="1"/>
    <col min="1806" max="1807" width="8.375" style="279" customWidth="1"/>
    <col min="1808" max="2048" width="10" style="279"/>
    <col min="2049" max="2049" width="3.125" style="279" customWidth="1"/>
    <col min="2050" max="2050" width="17.875" style="279" customWidth="1"/>
    <col min="2051" max="2051" width="10" style="279" customWidth="1"/>
    <col min="2052" max="2052" width="2.375" style="279" customWidth="1"/>
    <col min="2053" max="2053" width="6.125" style="279" customWidth="1"/>
    <col min="2054" max="2054" width="7.125" style="279" customWidth="1"/>
    <col min="2055" max="2055" width="1.875" style="279" customWidth="1"/>
    <col min="2056" max="2057" width="7.125" style="279" customWidth="1"/>
    <col min="2058" max="2058" width="2.125" style="279" customWidth="1"/>
    <col min="2059" max="2059" width="12.125" style="279" customWidth="1"/>
    <col min="2060" max="2060" width="5.875" style="279" customWidth="1"/>
    <col min="2061" max="2061" width="5.5" style="279" customWidth="1"/>
    <col min="2062" max="2063" width="8.375" style="279" customWidth="1"/>
    <col min="2064" max="2304" width="10" style="279"/>
    <col min="2305" max="2305" width="3.125" style="279" customWidth="1"/>
    <col min="2306" max="2306" width="17.875" style="279" customWidth="1"/>
    <col min="2307" max="2307" width="10" style="279" customWidth="1"/>
    <col min="2308" max="2308" width="2.375" style="279" customWidth="1"/>
    <col min="2309" max="2309" width="6.125" style="279" customWidth="1"/>
    <col min="2310" max="2310" width="7.125" style="279" customWidth="1"/>
    <col min="2311" max="2311" width="1.875" style="279" customWidth="1"/>
    <col min="2312" max="2313" width="7.125" style="279" customWidth="1"/>
    <col min="2314" max="2314" width="2.125" style="279" customWidth="1"/>
    <col min="2315" max="2315" width="12.125" style="279" customWidth="1"/>
    <col min="2316" max="2316" width="5.875" style="279" customWidth="1"/>
    <col min="2317" max="2317" width="5.5" style="279" customWidth="1"/>
    <col min="2318" max="2319" width="8.375" style="279" customWidth="1"/>
    <col min="2320" max="2560" width="10" style="279"/>
    <col min="2561" max="2561" width="3.125" style="279" customWidth="1"/>
    <col min="2562" max="2562" width="17.875" style="279" customWidth="1"/>
    <col min="2563" max="2563" width="10" style="279" customWidth="1"/>
    <col min="2564" max="2564" width="2.375" style="279" customWidth="1"/>
    <col min="2565" max="2565" width="6.125" style="279" customWidth="1"/>
    <col min="2566" max="2566" width="7.125" style="279" customWidth="1"/>
    <col min="2567" max="2567" width="1.875" style="279" customWidth="1"/>
    <col min="2568" max="2569" width="7.125" style="279" customWidth="1"/>
    <col min="2570" max="2570" width="2.125" style="279" customWidth="1"/>
    <col min="2571" max="2571" width="12.125" style="279" customWidth="1"/>
    <col min="2572" max="2572" width="5.875" style="279" customWidth="1"/>
    <col min="2573" max="2573" width="5.5" style="279" customWidth="1"/>
    <col min="2574" max="2575" width="8.375" style="279" customWidth="1"/>
    <col min="2576" max="2816" width="10" style="279"/>
    <col min="2817" max="2817" width="3.125" style="279" customWidth="1"/>
    <col min="2818" max="2818" width="17.875" style="279" customWidth="1"/>
    <col min="2819" max="2819" width="10" style="279" customWidth="1"/>
    <col min="2820" max="2820" width="2.375" style="279" customWidth="1"/>
    <col min="2821" max="2821" width="6.125" style="279" customWidth="1"/>
    <col min="2822" max="2822" width="7.125" style="279" customWidth="1"/>
    <col min="2823" max="2823" width="1.875" style="279" customWidth="1"/>
    <col min="2824" max="2825" width="7.125" style="279" customWidth="1"/>
    <col min="2826" max="2826" width="2.125" style="279" customWidth="1"/>
    <col min="2827" max="2827" width="12.125" style="279" customWidth="1"/>
    <col min="2828" max="2828" width="5.875" style="279" customWidth="1"/>
    <col min="2829" max="2829" width="5.5" style="279" customWidth="1"/>
    <col min="2830" max="2831" width="8.375" style="279" customWidth="1"/>
    <col min="2832" max="3072" width="10" style="279"/>
    <col min="3073" max="3073" width="3.125" style="279" customWidth="1"/>
    <col min="3074" max="3074" width="17.875" style="279" customWidth="1"/>
    <col min="3075" max="3075" width="10" style="279" customWidth="1"/>
    <col min="3076" max="3076" width="2.375" style="279" customWidth="1"/>
    <col min="3077" max="3077" width="6.125" style="279" customWidth="1"/>
    <col min="3078" max="3078" width="7.125" style="279" customWidth="1"/>
    <col min="3079" max="3079" width="1.875" style="279" customWidth="1"/>
    <col min="3080" max="3081" width="7.125" style="279" customWidth="1"/>
    <col min="3082" max="3082" width="2.125" style="279" customWidth="1"/>
    <col min="3083" max="3083" width="12.125" style="279" customWidth="1"/>
    <col min="3084" max="3084" width="5.875" style="279" customWidth="1"/>
    <col min="3085" max="3085" width="5.5" style="279" customWidth="1"/>
    <col min="3086" max="3087" width="8.375" style="279" customWidth="1"/>
    <col min="3088" max="3328" width="10" style="279"/>
    <col min="3329" max="3329" width="3.125" style="279" customWidth="1"/>
    <col min="3330" max="3330" width="17.875" style="279" customWidth="1"/>
    <col min="3331" max="3331" width="10" style="279" customWidth="1"/>
    <col min="3332" max="3332" width="2.375" style="279" customWidth="1"/>
    <col min="3333" max="3333" width="6.125" style="279" customWidth="1"/>
    <col min="3334" max="3334" width="7.125" style="279" customWidth="1"/>
    <col min="3335" max="3335" width="1.875" style="279" customWidth="1"/>
    <col min="3336" max="3337" width="7.125" style="279" customWidth="1"/>
    <col min="3338" max="3338" width="2.125" style="279" customWidth="1"/>
    <col min="3339" max="3339" width="12.125" style="279" customWidth="1"/>
    <col min="3340" max="3340" width="5.875" style="279" customWidth="1"/>
    <col min="3341" max="3341" width="5.5" style="279" customWidth="1"/>
    <col min="3342" max="3343" width="8.375" style="279" customWidth="1"/>
    <col min="3344" max="3584" width="10" style="279"/>
    <col min="3585" max="3585" width="3.125" style="279" customWidth="1"/>
    <col min="3586" max="3586" width="17.875" style="279" customWidth="1"/>
    <col min="3587" max="3587" width="10" style="279" customWidth="1"/>
    <col min="3588" max="3588" width="2.375" style="279" customWidth="1"/>
    <col min="3589" max="3589" width="6.125" style="279" customWidth="1"/>
    <col min="3590" max="3590" width="7.125" style="279" customWidth="1"/>
    <col min="3591" max="3591" width="1.875" style="279" customWidth="1"/>
    <col min="3592" max="3593" width="7.125" style="279" customWidth="1"/>
    <col min="3594" max="3594" width="2.125" style="279" customWidth="1"/>
    <col min="3595" max="3595" width="12.125" style="279" customWidth="1"/>
    <col min="3596" max="3596" width="5.875" style="279" customWidth="1"/>
    <col min="3597" max="3597" width="5.5" style="279" customWidth="1"/>
    <col min="3598" max="3599" width="8.375" style="279" customWidth="1"/>
    <col min="3600" max="3840" width="10" style="279"/>
    <col min="3841" max="3841" width="3.125" style="279" customWidth="1"/>
    <col min="3842" max="3842" width="17.875" style="279" customWidth="1"/>
    <col min="3843" max="3843" width="10" style="279" customWidth="1"/>
    <col min="3844" max="3844" width="2.375" style="279" customWidth="1"/>
    <col min="3845" max="3845" width="6.125" style="279" customWidth="1"/>
    <col min="3846" max="3846" width="7.125" style="279" customWidth="1"/>
    <col min="3847" max="3847" width="1.875" style="279" customWidth="1"/>
    <col min="3848" max="3849" width="7.125" style="279" customWidth="1"/>
    <col min="3850" max="3850" width="2.125" style="279" customWidth="1"/>
    <col min="3851" max="3851" width="12.125" style="279" customWidth="1"/>
    <col min="3852" max="3852" width="5.875" style="279" customWidth="1"/>
    <col min="3853" max="3853" width="5.5" style="279" customWidth="1"/>
    <col min="3854" max="3855" width="8.375" style="279" customWidth="1"/>
    <col min="3856" max="4096" width="10" style="279"/>
    <col min="4097" max="4097" width="3.125" style="279" customWidth="1"/>
    <col min="4098" max="4098" width="17.875" style="279" customWidth="1"/>
    <col min="4099" max="4099" width="10" style="279" customWidth="1"/>
    <col min="4100" max="4100" width="2.375" style="279" customWidth="1"/>
    <col min="4101" max="4101" width="6.125" style="279" customWidth="1"/>
    <col min="4102" max="4102" width="7.125" style="279" customWidth="1"/>
    <col min="4103" max="4103" width="1.875" style="279" customWidth="1"/>
    <col min="4104" max="4105" width="7.125" style="279" customWidth="1"/>
    <col min="4106" max="4106" width="2.125" style="279" customWidth="1"/>
    <col min="4107" max="4107" width="12.125" style="279" customWidth="1"/>
    <col min="4108" max="4108" width="5.875" style="279" customWidth="1"/>
    <col min="4109" max="4109" width="5.5" style="279" customWidth="1"/>
    <col min="4110" max="4111" width="8.375" style="279" customWidth="1"/>
    <col min="4112" max="4352" width="10" style="279"/>
    <col min="4353" max="4353" width="3.125" style="279" customWidth="1"/>
    <col min="4354" max="4354" width="17.875" style="279" customWidth="1"/>
    <col min="4355" max="4355" width="10" style="279" customWidth="1"/>
    <col min="4356" max="4356" width="2.375" style="279" customWidth="1"/>
    <col min="4357" max="4357" width="6.125" style="279" customWidth="1"/>
    <col min="4358" max="4358" width="7.125" style="279" customWidth="1"/>
    <col min="4359" max="4359" width="1.875" style="279" customWidth="1"/>
    <col min="4360" max="4361" width="7.125" style="279" customWidth="1"/>
    <col min="4362" max="4362" width="2.125" style="279" customWidth="1"/>
    <col min="4363" max="4363" width="12.125" style="279" customWidth="1"/>
    <col min="4364" max="4364" width="5.875" style="279" customWidth="1"/>
    <col min="4365" max="4365" width="5.5" style="279" customWidth="1"/>
    <col min="4366" max="4367" width="8.375" style="279" customWidth="1"/>
    <col min="4368" max="4608" width="10" style="279"/>
    <col min="4609" max="4609" width="3.125" style="279" customWidth="1"/>
    <col min="4610" max="4610" width="17.875" style="279" customWidth="1"/>
    <col min="4611" max="4611" width="10" style="279" customWidth="1"/>
    <col min="4612" max="4612" width="2.375" style="279" customWidth="1"/>
    <col min="4613" max="4613" width="6.125" style="279" customWidth="1"/>
    <col min="4614" max="4614" width="7.125" style="279" customWidth="1"/>
    <col min="4615" max="4615" width="1.875" style="279" customWidth="1"/>
    <col min="4616" max="4617" width="7.125" style="279" customWidth="1"/>
    <col min="4618" max="4618" width="2.125" style="279" customWidth="1"/>
    <col min="4619" max="4619" width="12.125" style="279" customWidth="1"/>
    <col min="4620" max="4620" width="5.875" style="279" customWidth="1"/>
    <col min="4621" max="4621" width="5.5" style="279" customWidth="1"/>
    <col min="4622" max="4623" width="8.375" style="279" customWidth="1"/>
    <col min="4624" max="4864" width="10" style="279"/>
    <col min="4865" max="4865" width="3.125" style="279" customWidth="1"/>
    <col min="4866" max="4866" width="17.875" style="279" customWidth="1"/>
    <col min="4867" max="4867" width="10" style="279" customWidth="1"/>
    <col min="4868" max="4868" width="2.375" style="279" customWidth="1"/>
    <col min="4869" max="4869" width="6.125" style="279" customWidth="1"/>
    <col min="4870" max="4870" width="7.125" style="279" customWidth="1"/>
    <col min="4871" max="4871" width="1.875" style="279" customWidth="1"/>
    <col min="4872" max="4873" width="7.125" style="279" customWidth="1"/>
    <col min="4874" max="4874" width="2.125" style="279" customWidth="1"/>
    <col min="4875" max="4875" width="12.125" style="279" customWidth="1"/>
    <col min="4876" max="4876" width="5.875" style="279" customWidth="1"/>
    <col min="4877" max="4877" width="5.5" style="279" customWidth="1"/>
    <col min="4878" max="4879" width="8.375" style="279" customWidth="1"/>
    <col min="4880" max="5120" width="10" style="279"/>
    <col min="5121" max="5121" width="3.125" style="279" customWidth="1"/>
    <col min="5122" max="5122" width="17.875" style="279" customWidth="1"/>
    <col min="5123" max="5123" width="10" style="279" customWidth="1"/>
    <col min="5124" max="5124" width="2.375" style="279" customWidth="1"/>
    <col min="5125" max="5125" width="6.125" style="279" customWidth="1"/>
    <col min="5126" max="5126" width="7.125" style="279" customWidth="1"/>
    <col min="5127" max="5127" width="1.875" style="279" customWidth="1"/>
    <col min="5128" max="5129" width="7.125" style="279" customWidth="1"/>
    <col min="5130" max="5130" width="2.125" style="279" customWidth="1"/>
    <col min="5131" max="5131" width="12.125" style="279" customWidth="1"/>
    <col min="5132" max="5132" width="5.875" style="279" customWidth="1"/>
    <col min="5133" max="5133" width="5.5" style="279" customWidth="1"/>
    <col min="5134" max="5135" width="8.375" style="279" customWidth="1"/>
    <col min="5136" max="5376" width="10" style="279"/>
    <col min="5377" max="5377" width="3.125" style="279" customWidth="1"/>
    <col min="5378" max="5378" width="17.875" style="279" customWidth="1"/>
    <col min="5379" max="5379" width="10" style="279" customWidth="1"/>
    <col min="5380" max="5380" width="2.375" style="279" customWidth="1"/>
    <col min="5381" max="5381" width="6.125" style="279" customWidth="1"/>
    <col min="5382" max="5382" width="7.125" style="279" customWidth="1"/>
    <col min="5383" max="5383" width="1.875" style="279" customWidth="1"/>
    <col min="5384" max="5385" width="7.125" style="279" customWidth="1"/>
    <col min="5386" max="5386" width="2.125" style="279" customWidth="1"/>
    <col min="5387" max="5387" width="12.125" style="279" customWidth="1"/>
    <col min="5388" max="5388" width="5.875" style="279" customWidth="1"/>
    <col min="5389" max="5389" width="5.5" style="279" customWidth="1"/>
    <col min="5390" max="5391" width="8.375" style="279" customWidth="1"/>
    <col min="5392" max="5632" width="10" style="279"/>
    <col min="5633" max="5633" width="3.125" style="279" customWidth="1"/>
    <col min="5634" max="5634" width="17.875" style="279" customWidth="1"/>
    <col min="5635" max="5635" width="10" style="279" customWidth="1"/>
    <col min="5636" max="5636" width="2.375" style="279" customWidth="1"/>
    <col min="5637" max="5637" width="6.125" style="279" customWidth="1"/>
    <col min="5638" max="5638" width="7.125" style="279" customWidth="1"/>
    <col min="5639" max="5639" width="1.875" style="279" customWidth="1"/>
    <col min="5640" max="5641" width="7.125" style="279" customWidth="1"/>
    <col min="5642" max="5642" width="2.125" style="279" customWidth="1"/>
    <col min="5643" max="5643" width="12.125" style="279" customWidth="1"/>
    <col min="5644" max="5644" width="5.875" style="279" customWidth="1"/>
    <col min="5645" max="5645" width="5.5" style="279" customWidth="1"/>
    <col min="5646" max="5647" width="8.375" style="279" customWidth="1"/>
    <col min="5648" max="5888" width="10" style="279"/>
    <col min="5889" max="5889" width="3.125" style="279" customWidth="1"/>
    <col min="5890" max="5890" width="17.875" style="279" customWidth="1"/>
    <col min="5891" max="5891" width="10" style="279" customWidth="1"/>
    <col min="5892" max="5892" width="2.375" style="279" customWidth="1"/>
    <col min="5893" max="5893" width="6.125" style="279" customWidth="1"/>
    <col min="5894" max="5894" width="7.125" style="279" customWidth="1"/>
    <col min="5895" max="5895" width="1.875" style="279" customWidth="1"/>
    <col min="5896" max="5897" width="7.125" style="279" customWidth="1"/>
    <col min="5898" max="5898" width="2.125" style="279" customWidth="1"/>
    <col min="5899" max="5899" width="12.125" style="279" customWidth="1"/>
    <col min="5900" max="5900" width="5.875" style="279" customWidth="1"/>
    <col min="5901" max="5901" width="5.5" style="279" customWidth="1"/>
    <col min="5902" max="5903" width="8.375" style="279" customWidth="1"/>
    <col min="5904" max="6144" width="10" style="279"/>
    <col min="6145" max="6145" width="3.125" style="279" customWidth="1"/>
    <col min="6146" max="6146" width="17.875" style="279" customWidth="1"/>
    <col min="6147" max="6147" width="10" style="279" customWidth="1"/>
    <col min="6148" max="6148" width="2.375" style="279" customWidth="1"/>
    <col min="6149" max="6149" width="6.125" style="279" customWidth="1"/>
    <col min="6150" max="6150" width="7.125" style="279" customWidth="1"/>
    <col min="6151" max="6151" width="1.875" style="279" customWidth="1"/>
    <col min="6152" max="6153" width="7.125" style="279" customWidth="1"/>
    <col min="6154" max="6154" width="2.125" style="279" customWidth="1"/>
    <col min="6155" max="6155" width="12.125" style="279" customWidth="1"/>
    <col min="6156" max="6156" width="5.875" style="279" customWidth="1"/>
    <col min="6157" max="6157" width="5.5" style="279" customWidth="1"/>
    <col min="6158" max="6159" width="8.375" style="279" customWidth="1"/>
    <col min="6160" max="6400" width="10" style="279"/>
    <col min="6401" max="6401" width="3.125" style="279" customWidth="1"/>
    <col min="6402" max="6402" width="17.875" style="279" customWidth="1"/>
    <col min="6403" max="6403" width="10" style="279" customWidth="1"/>
    <col min="6404" max="6404" width="2.375" style="279" customWidth="1"/>
    <col min="6405" max="6405" width="6.125" style="279" customWidth="1"/>
    <col min="6406" max="6406" width="7.125" style="279" customWidth="1"/>
    <col min="6407" max="6407" width="1.875" style="279" customWidth="1"/>
    <col min="6408" max="6409" width="7.125" style="279" customWidth="1"/>
    <col min="6410" max="6410" width="2.125" style="279" customWidth="1"/>
    <col min="6411" max="6411" width="12.125" style="279" customWidth="1"/>
    <col min="6412" max="6412" width="5.875" style="279" customWidth="1"/>
    <col min="6413" max="6413" width="5.5" style="279" customWidth="1"/>
    <col min="6414" max="6415" width="8.375" style="279" customWidth="1"/>
    <col min="6416" max="6656" width="10" style="279"/>
    <col min="6657" max="6657" width="3.125" style="279" customWidth="1"/>
    <col min="6658" max="6658" width="17.875" style="279" customWidth="1"/>
    <col min="6659" max="6659" width="10" style="279" customWidth="1"/>
    <col min="6660" max="6660" width="2.375" style="279" customWidth="1"/>
    <col min="6661" max="6661" width="6.125" style="279" customWidth="1"/>
    <col min="6662" max="6662" width="7.125" style="279" customWidth="1"/>
    <col min="6663" max="6663" width="1.875" style="279" customWidth="1"/>
    <col min="6664" max="6665" width="7.125" style="279" customWidth="1"/>
    <col min="6666" max="6666" width="2.125" style="279" customWidth="1"/>
    <col min="6667" max="6667" width="12.125" style="279" customWidth="1"/>
    <col min="6668" max="6668" width="5.875" style="279" customWidth="1"/>
    <col min="6669" max="6669" width="5.5" style="279" customWidth="1"/>
    <col min="6670" max="6671" width="8.375" style="279" customWidth="1"/>
    <col min="6672" max="6912" width="10" style="279"/>
    <col min="6913" max="6913" width="3.125" style="279" customWidth="1"/>
    <col min="6914" max="6914" width="17.875" style="279" customWidth="1"/>
    <col min="6915" max="6915" width="10" style="279" customWidth="1"/>
    <col min="6916" max="6916" width="2.375" style="279" customWidth="1"/>
    <col min="6917" max="6917" width="6.125" style="279" customWidth="1"/>
    <col min="6918" max="6918" width="7.125" style="279" customWidth="1"/>
    <col min="6919" max="6919" width="1.875" style="279" customWidth="1"/>
    <col min="6920" max="6921" width="7.125" style="279" customWidth="1"/>
    <col min="6922" max="6922" width="2.125" style="279" customWidth="1"/>
    <col min="6923" max="6923" width="12.125" style="279" customWidth="1"/>
    <col min="6924" max="6924" width="5.875" style="279" customWidth="1"/>
    <col min="6925" max="6925" width="5.5" style="279" customWidth="1"/>
    <col min="6926" max="6927" width="8.375" style="279" customWidth="1"/>
    <col min="6928" max="7168" width="10" style="279"/>
    <col min="7169" max="7169" width="3.125" style="279" customWidth="1"/>
    <col min="7170" max="7170" width="17.875" style="279" customWidth="1"/>
    <col min="7171" max="7171" width="10" style="279" customWidth="1"/>
    <col min="7172" max="7172" width="2.375" style="279" customWidth="1"/>
    <col min="7173" max="7173" width="6.125" style="279" customWidth="1"/>
    <col min="7174" max="7174" width="7.125" style="279" customWidth="1"/>
    <col min="7175" max="7175" width="1.875" style="279" customWidth="1"/>
    <col min="7176" max="7177" width="7.125" style="279" customWidth="1"/>
    <col min="7178" max="7178" width="2.125" style="279" customWidth="1"/>
    <col min="7179" max="7179" width="12.125" style="279" customWidth="1"/>
    <col min="7180" max="7180" width="5.875" style="279" customWidth="1"/>
    <col min="7181" max="7181" width="5.5" style="279" customWidth="1"/>
    <col min="7182" max="7183" width="8.375" style="279" customWidth="1"/>
    <col min="7184" max="7424" width="10" style="279"/>
    <col min="7425" max="7425" width="3.125" style="279" customWidth="1"/>
    <col min="7426" max="7426" width="17.875" style="279" customWidth="1"/>
    <col min="7427" max="7427" width="10" style="279" customWidth="1"/>
    <col min="7428" max="7428" width="2.375" style="279" customWidth="1"/>
    <col min="7429" max="7429" width="6.125" style="279" customWidth="1"/>
    <col min="7430" max="7430" width="7.125" style="279" customWidth="1"/>
    <col min="7431" max="7431" width="1.875" style="279" customWidth="1"/>
    <col min="7432" max="7433" width="7.125" style="279" customWidth="1"/>
    <col min="7434" max="7434" width="2.125" style="279" customWidth="1"/>
    <col min="7435" max="7435" width="12.125" style="279" customWidth="1"/>
    <col min="7436" max="7436" width="5.875" style="279" customWidth="1"/>
    <col min="7437" max="7437" width="5.5" style="279" customWidth="1"/>
    <col min="7438" max="7439" width="8.375" style="279" customWidth="1"/>
    <col min="7440" max="7680" width="10" style="279"/>
    <col min="7681" max="7681" width="3.125" style="279" customWidth="1"/>
    <col min="7682" max="7682" width="17.875" style="279" customWidth="1"/>
    <col min="7683" max="7683" width="10" style="279" customWidth="1"/>
    <col min="7684" max="7684" width="2.375" style="279" customWidth="1"/>
    <col min="7685" max="7685" width="6.125" style="279" customWidth="1"/>
    <col min="7686" max="7686" width="7.125" style="279" customWidth="1"/>
    <col min="7687" max="7687" width="1.875" style="279" customWidth="1"/>
    <col min="7688" max="7689" width="7.125" style="279" customWidth="1"/>
    <col min="7690" max="7690" width="2.125" style="279" customWidth="1"/>
    <col min="7691" max="7691" width="12.125" style="279" customWidth="1"/>
    <col min="7692" max="7692" width="5.875" style="279" customWidth="1"/>
    <col min="7693" max="7693" width="5.5" style="279" customWidth="1"/>
    <col min="7694" max="7695" width="8.375" style="279" customWidth="1"/>
    <col min="7696" max="7936" width="10" style="279"/>
    <col min="7937" max="7937" width="3.125" style="279" customWidth="1"/>
    <col min="7938" max="7938" width="17.875" style="279" customWidth="1"/>
    <col min="7939" max="7939" width="10" style="279" customWidth="1"/>
    <col min="7940" max="7940" width="2.375" style="279" customWidth="1"/>
    <col min="7941" max="7941" width="6.125" style="279" customWidth="1"/>
    <col min="7942" max="7942" width="7.125" style="279" customWidth="1"/>
    <col min="7943" max="7943" width="1.875" style="279" customWidth="1"/>
    <col min="7944" max="7945" width="7.125" style="279" customWidth="1"/>
    <col min="7946" max="7946" width="2.125" style="279" customWidth="1"/>
    <col min="7947" max="7947" width="12.125" style="279" customWidth="1"/>
    <col min="7948" max="7948" width="5.875" style="279" customWidth="1"/>
    <col min="7949" max="7949" width="5.5" style="279" customWidth="1"/>
    <col min="7950" max="7951" width="8.375" style="279" customWidth="1"/>
    <col min="7952" max="8192" width="10" style="279"/>
    <col min="8193" max="8193" width="3.125" style="279" customWidth="1"/>
    <col min="8194" max="8194" width="17.875" style="279" customWidth="1"/>
    <col min="8195" max="8195" width="10" style="279" customWidth="1"/>
    <col min="8196" max="8196" width="2.375" style="279" customWidth="1"/>
    <col min="8197" max="8197" width="6.125" style="279" customWidth="1"/>
    <col min="8198" max="8198" width="7.125" style="279" customWidth="1"/>
    <col min="8199" max="8199" width="1.875" style="279" customWidth="1"/>
    <col min="8200" max="8201" width="7.125" style="279" customWidth="1"/>
    <col min="8202" max="8202" width="2.125" style="279" customWidth="1"/>
    <col min="8203" max="8203" width="12.125" style="279" customWidth="1"/>
    <col min="8204" max="8204" width="5.875" style="279" customWidth="1"/>
    <col min="8205" max="8205" width="5.5" style="279" customWidth="1"/>
    <col min="8206" max="8207" width="8.375" style="279" customWidth="1"/>
    <col min="8208" max="8448" width="10" style="279"/>
    <col min="8449" max="8449" width="3.125" style="279" customWidth="1"/>
    <col min="8450" max="8450" width="17.875" style="279" customWidth="1"/>
    <col min="8451" max="8451" width="10" style="279" customWidth="1"/>
    <col min="8452" max="8452" width="2.375" style="279" customWidth="1"/>
    <col min="8453" max="8453" width="6.125" style="279" customWidth="1"/>
    <col min="8454" max="8454" width="7.125" style="279" customWidth="1"/>
    <col min="8455" max="8455" width="1.875" style="279" customWidth="1"/>
    <col min="8456" max="8457" width="7.125" style="279" customWidth="1"/>
    <col min="8458" max="8458" width="2.125" style="279" customWidth="1"/>
    <col min="8459" max="8459" width="12.125" style="279" customWidth="1"/>
    <col min="8460" max="8460" width="5.875" style="279" customWidth="1"/>
    <col min="8461" max="8461" width="5.5" style="279" customWidth="1"/>
    <col min="8462" max="8463" width="8.375" style="279" customWidth="1"/>
    <col min="8464" max="8704" width="10" style="279"/>
    <col min="8705" max="8705" width="3.125" style="279" customWidth="1"/>
    <col min="8706" max="8706" width="17.875" style="279" customWidth="1"/>
    <col min="8707" max="8707" width="10" style="279" customWidth="1"/>
    <col min="8708" max="8708" width="2.375" style="279" customWidth="1"/>
    <col min="8709" max="8709" width="6.125" style="279" customWidth="1"/>
    <col min="8710" max="8710" width="7.125" style="279" customWidth="1"/>
    <col min="8711" max="8711" width="1.875" style="279" customWidth="1"/>
    <col min="8712" max="8713" width="7.125" style="279" customWidth="1"/>
    <col min="8714" max="8714" width="2.125" style="279" customWidth="1"/>
    <col min="8715" max="8715" width="12.125" style="279" customWidth="1"/>
    <col min="8716" max="8716" width="5.875" style="279" customWidth="1"/>
    <col min="8717" max="8717" width="5.5" style="279" customWidth="1"/>
    <col min="8718" max="8719" width="8.375" style="279" customWidth="1"/>
    <col min="8720" max="8960" width="10" style="279"/>
    <col min="8961" max="8961" width="3.125" style="279" customWidth="1"/>
    <col min="8962" max="8962" width="17.875" style="279" customWidth="1"/>
    <col min="8963" max="8963" width="10" style="279" customWidth="1"/>
    <col min="8964" max="8964" width="2.375" style="279" customWidth="1"/>
    <col min="8965" max="8965" width="6.125" style="279" customWidth="1"/>
    <col min="8966" max="8966" width="7.125" style="279" customWidth="1"/>
    <col min="8967" max="8967" width="1.875" style="279" customWidth="1"/>
    <col min="8968" max="8969" width="7.125" style="279" customWidth="1"/>
    <col min="8970" max="8970" width="2.125" style="279" customWidth="1"/>
    <col min="8971" max="8971" width="12.125" style="279" customWidth="1"/>
    <col min="8972" max="8972" width="5.875" style="279" customWidth="1"/>
    <col min="8973" max="8973" width="5.5" style="279" customWidth="1"/>
    <col min="8974" max="8975" width="8.375" style="279" customWidth="1"/>
    <col min="8976" max="9216" width="10" style="279"/>
    <col min="9217" max="9217" width="3.125" style="279" customWidth="1"/>
    <col min="9218" max="9218" width="17.875" style="279" customWidth="1"/>
    <col min="9219" max="9219" width="10" style="279" customWidth="1"/>
    <col min="9220" max="9220" width="2.375" style="279" customWidth="1"/>
    <col min="9221" max="9221" width="6.125" style="279" customWidth="1"/>
    <col min="9222" max="9222" width="7.125" style="279" customWidth="1"/>
    <col min="9223" max="9223" width="1.875" style="279" customWidth="1"/>
    <col min="9224" max="9225" width="7.125" style="279" customWidth="1"/>
    <col min="9226" max="9226" width="2.125" style="279" customWidth="1"/>
    <col min="9227" max="9227" width="12.125" style="279" customWidth="1"/>
    <col min="9228" max="9228" width="5.875" style="279" customWidth="1"/>
    <col min="9229" max="9229" width="5.5" style="279" customWidth="1"/>
    <col min="9230" max="9231" width="8.375" style="279" customWidth="1"/>
    <col min="9232" max="9472" width="10" style="279"/>
    <col min="9473" max="9473" width="3.125" style="279" customWidth="1"/>
    <col min="9474" max="9474" width="17.875" style="279" customWidth="1"/>
    <col min="9475" max="9475" width="10" style="279" customWidth="1"/>
    <col min="9476" max="9476" width="2.375" style="279" customWidth="1"/>
    <col min="9477" max="9477" width="6.125" style="279" customWidth="1"/>
    <col min="9478" max="9478" width="7.125" style="279" customWidth="1"/>
    <col min="9479" max="9479" width="1.875" style="279" customWidth="1"/>
    <col min="9480" max="9481" width="7.125" style="279" customWidth="1"/>
    <col min="9482" max="9482" width="2.125" style="279" customWidth="1"/>
    <col min="9483" max="9483" width="12.125" style="279" customWidth="1"/>
    <col min="9484" max="9484" width="5.875" style="279" customWidth="1"/>
    <col min="9485" max="9485" width="5.5" style="279" customWidth="1"/>
    <col min="9486" max="9487" width="8.375" style="279" customWidth="1"/>
    <col min="9488" max="9728" width="10" style="279"/>
    <col min="9729" max="9729" width="3.125" style="279" customWidth="1"/>
    <col min="9730" max="9730" width="17.875" style="279" customWidth="1"/>
    <col min="9731" max="9731" width="10" style="279" customWidth="1"/>
    <col min="9732" max="9732" width="2.375" style="279" customWidth="1"/>
    <col min="9733" max="9733" width="6.125" style="279" customWidth="1"/>
    <col min="9734" max="9734" width="7.125" style="279" customWidth="1"/>
    <col min="9735" max="9735" width="1.875" style="279" customWidth="1"/>
    <col min="9736" max="9737" width="7.125" style="279" customWidth="1"/>
    <col min="9738" max="9738" width="2.125" style="279" customWidth="1"/>
    <col min="9739" max="9739" width="12.125" style="279" customWidth="1"/>
    <col min="9740" max="9740" width="5.875" style="279" customWidth="1"/>
    <col min="9741" max="9741" width="5.5" style="279" customWidth="1"/>
    <col min="9742" max="9743" width="8.375" style="279" customWidth="1"/>
    <col min="9744" max="9984" width="10" style="279"/>
    <col min="9985" max="9985" width="3.125" style="279" customWidth="1"/>
    <col min="9986" max="9986" width="17.875" style="279" customWidth="1"/>
    <col min="9987" max="9987" width="10" style="279" customWidth="1"/>
    <col min="9988" max="9988" width="2.375" style="279" customWidth="1"/>
    <col min="9989" max="9989" width="6.125" style="279" customWidth="1"/>
    <col min="9990" max="9990" width="7.125" style="279" customWidth="1"/>
    <col min="9991" max="9991" width="1.875" style="279" customWidth="1"/>
    <col min="9992" max="9993" width="7.125" style="279" customWidth="1"/>
    <col min="9994" max="9994" width="2.125" style="279" customWidth="1"/>
    <col min="9995" max="9995" width="12.125" style="279" customWidth="1"/>
    <col min="9996" max="9996" width="5.875" style="279" customWidth="1"/>
    <col min="9997" max="9997" width="5.5" style="279" customWidth="1"/>
    <col min="9998" max="9999" width="8.375" style="279" customWidth="1"/>
    <col min="10000" max="10240" width="10" style="279"/>
    <col min="10241" max="10241" width="3.125" style="279" customWidth="1"/>
    <col min="10242" max="10242" width="17.875" style="279" customWidth="1"/>
    <col min="10243" max="10243" width="10" style="279" customWidth="1"/>
    <col min="10244" max="10244" width="2.375" style="279" customWidth="1"/>
    <col min="10245" max="10245" width="6.125" style="279" customWidth="1"/>
    <col min="10246" max="10246" width="7.125" style="279" customWidth="1"/>
    <col min="10247" max="10247" width="1.875" style="279" customWidth="1"/>
    <col min="10248" max="10249" width="7.125" style="279" customWidth="1"/>
    <col min="10250" max="10250" width="2.125" style="279" customWidth="1"/>
    <col min="10251" max="10251" width="12.125" style="279" customWidth="1"/>
    <col min="10252" max="10252" width="5.875" style="279" customWidth="1"/>
    <col min="10253" max="10253" width="5.5" style="279" customWidth="1"/>
    <col min="10254" max="10255" width="8.375" style="279" customWidth="1"/>
    <col min="10256" max="10496" width="10" style="279"/>
    <col min="10497" max="10497" width="3.125" style="279" customWidth="1"/>
    <col min="10498" max="10498" width="17.875" style="279" customWidth="1"/>
    <col min="10499" max="10499" width="10" style="279" customWidth="1"/>
    <col min="10500" max="10500" width="2.375" style="279" customWidth="1"/>
    <col min="10501" max="10501" width="6.125" style="279" customWidth="1"/>
    <col min="10502" max="10502" width="7.125" style="279" customWidth="1"/>
    <col min="10503" max="10503" width="1.875" style="279" customWidth="1"/>
    <col min="10504" max="10505" width="7.125" style="279" customWidth="1"/>
    <col min="10506" max="10506" width="2.125" style="279" customWidth="1"/>
    <col min="10507" max="10507" width="12.125" style="279" customWidth="1"/>
    <col min="10508" max="10508" width="5.875" style="279" customWidth="1"/>
    <col min="10509" max="10509" width="5.5" style="279" customWidth="1"/>
    <col min="10510" max="10511" width="8.375" style="279" customWidth="1"/>
    <col min="10512" max="10752" width="10" style="279"/>
    <col min="10753" max="10753" width="3.125" style="279" customWidth="1"/>
    <col min="10754" max="10754" width="17.875" style="279" customWidth="1"/>
    <col min="10755" max="10755" width="10" style="279" customWidth="1"/>
    <col min="10756" max="10756" width="2.375" style="279" customWidth="1"/>
    <col min="10757" max="10757" width="6.125" style="279" customWidth="1"/>
    <col min="10758" max="10758" width="7.125" style="279" customWidth="1"/>
    <col min="10759" max="10759" width="1.875" style="279" customWidth="1"/>
    <col min="10760" max="10761" width="7.125" style="279" customWidth="1"/>
    <col min="10762" max="10762" width="2.125" style="279" customWidth="1"/>
    <col min="10763" max="10763" width="12.125" style="279" customWidth="1"/>
    <col min="10764" max="10764" width="5.875" style="279" customWidth="1"/>
    <col min="10765" max="10765" width="5.5" style="279" customWidth="1"/>
    <col min="10766" max="10767" width="8.375" style="279" customWidth="1"/>
    <col min="10768" max="11008" width="10" style="279"/>
    <col min="11009" max="11009" width="3.125" style="279" customWidth="1"/>
    <col min="11010" max="11010" width="17.875" style="279" customWidth="1"/>
    <col min="11011" max="11011" width="10" style="279" customWidth="1"/>
    <col min="11012" max="11012" width="2.375" style="279" customWidth="1"/>
    <col min="11013" max="11013" width="6.125" style="279" customWidth="1"/>
    <col min="11014" max="11014" width="7.125" style="279" customWidth="1"/>
    <col min="11015" max="11015" width="1.875" style="279" customWidth="1"/>
    <col min="11016" max="11017" width="7.125" style="279" customWidth="1"/>
    <col min="11018" max="11018" width="2.125" style="279" customWidth="1"/>
    <col min="11019" max="11019" width="12.125" style="279" customWidth="1"/>
    <col min="11020" max="11020" width="5.875" style="279" customWidth="1"/>
    <col min="11021" max="11021" width="5.5" style="279" customWidth="1"/>
    <col min="11022" max="11023" width="8.375" style="279" customWidth="1"/>
    <col min="11024" max="11264" width="10" style="279"/>
    <col min="11265" max="11265" width="3.125" style="279" customWidth="1"/>
    <col min="11266" max="11266" width="17.875" style="279" customWidth="1"/>
    <col min="11267" max="11267" width="10" style="279" customWidth="1"/>
    <col min="11268" max="11268" width="2.375" style="279" customWidth="1"/>
    <col min="11269" max="11269" width="6.125" style="279" customWidth="1"/>
    <col min="11270" max="11270" width="7.125" style="279" customWidth="1"/>
    <col min="11271" max="11271" width="1.875" style="279" customWidth="1"/>
    <col min="11272" max="11273" width="7.125" style="279" customWidth="1"/>
    <col min="11274" max="11274" width="2.125" style="279" customWidth="1"/>
    <col min="11275" max="11275" width="12.125" style="279" customWidth="1"/>
    <col min="11276" max="11276" width="5.875" style="279" customWidth="1"/>
    <col min="11277" max="11277" width="5.5" style="279" customWidth="1"/>
    <col min="11278" max="11279" width="8.375" style="279" customWidth="1"/>
    <col min="11280" max="11520" width="10" style="279"/>
    <col min="11521" max="11521" width="3.125" style="279" customWidth="1"/>
    <col min="11522" max="11522" width="17.875" style="279" customWidth="1"/>
    <col min="11523" max="11523" width="10" style="279" customWidth="1"/>
    <col min="11524" max="11524" width="2.375" style="279" customWidth="1"/>
    <col min="11525" max="11525" width="6.125" style="279" customWidth="1"/>
    <col min="11526" max="11526" width="7.125" style="279" customWidth="1"/>
    <col min="11527" max="11527" width="1.875" style="279" customWidth="1"/>
    <col min="11528" max="11529" width="7.125" style="279" customWidth="1"/>
    <col min="11530" max="11530" width="2.125" style="279" customWidth="1"/>
    <col min="11531" max="11531" width="12.125" style="279" customWidth="1"/>
    <col min="11532" max="11532" width="5.875" style="279" customWidth="1"/>
    <col min="11533" max="11533" width="5.5" style="279" customWidth="1"/>
    <col min="11534" max="11535" width="8.375" style="279" customWidth="1"/>
    <col min="11536" max="11776" width="10" style="279"/>
    <col min="11777" max="11777" width="3.125" style="279" customWidth="1"/>
    <col min="11778" max="11778" width="17.875" style="279" customWidth="1"/>
    <col min="11779" max="11779" width="10" style="279" customWidth="1"/>
    <col min="11780" max="11780" width="2.375" style="279" customWidth="1"/>
    <col min="11781" max="11781" width="6.125" style="279" customWidth="1"/>
    <col min="11782" max="11782" width="7.125" style="279" customWidth="1"/>
    <col min="11783" max="11783" width="1.875" style="279" customWidth="1"/>
    <col min="11784" max="11785" width="7.125" style="279" customWidth="1"/>
    <col min="11786" max="11786" width="2.125" style="279" customWidth="1"/>
    <col min="11787" max="11787" width="12.125" style="279" customWidth="1"/>
    <col min="11788" max="11788" width="5.875" style="279" customWidth="1"/>
    <col min="11789" max="11789" width="5.5" style="279" customWidth="1"/>
    <col min="11790" max="11791" width="8.375" style="279" customWidth="1"/>
    <col min="11792" max="12032" width="10" style="279"/>
    <col min="12033" max="12033" width="3.125" style="279" customWidth="1"/>
    <col min="12034" max="12034" width="17.875" style="279" customWidth="1"/>
    <col min="12035" max="12035" width="10" style="279" customWidth="1"/>
    <col min="12036" max="12036" width="2.375" style="279" customWidth="1"/>
    <col min="12037" max="12037" width="6.125" style="279" customWidth="1"/>
    <col min="12038" max="12038" width="7.125" style="279" customWidth="1"/>
    <col min="12039" max="12039" width="1.875" style="279" customWidth="1"/>
    <col min="12040" max="12041" width="7.125" style="279" customWidth="1"/>
    <col min="12042" max="12042" width="2.125" style="279" customWidth="1"/>
    <col min="12043" max="12043" width="12.125" style="279" customWidth="1"/>
    <col min="12044" max="12044" width="5.875" style="279" customWidth="1"/>
    <col min="12045" max="12045" width="5.5" style="279" customWidth="1"/>
    <col min="12046" max="12047" width="8.375" style="279" customWidth="1"/>
    <col min="12048" max="12288" width="10" style="279"/>
    <col min="12289" max="12289" width="3.125" style="279" customWidth="1"/>
    <col min="12290" max="12290" width="17.875" style="279" customWidth="1"/>
    <col min="12291" max="12291" width="10" style="279" customWidth="1"/>
    <col min="12292" max="12292" width="2.375" style="279" customWidth="1"/>
    <col min="12293" max="12293" width="6.125" style="279" customWidth="1"/>
    <col min="12294" max="12294" width="7.125" style="279" customWidth="1"/>
    <col min="12295" max="12295" width="1.875" style="279" customWidth="1"/>
    <col min="12296" max="12297" width="7.125" style="279" customWidth="1"/>
    <col min="12298" max="12298" width="2.125" style="279" customWidth="1"/>
    <col min="12299" max="12299" width="12.125" style="279" customWidth="1"/>
    <col min="12300" max="12300" width="5.875" style="279" customWidth="1"/>
    <col min="12301" max="12301" width="5.5" style="279" customWidth="1"/>
    <col min="12302" max="12303" width="8.375" style="279" customWidth="1"/>
    <col min="12304" max="12544" width="10" style="279"/>
    <col min="12545" max="12545" width="3.125" style="279" customWidth="1"/>
    <col min="12546" max="12546" width="17.875" style="279" customWidth="1"/>
    <col min="12547" max="12547" width="10" style="279" customWidth="1"/>
    <col min="12548" max="12548" width="2.375" style="279" customWidth="1"/>
    <col min="12549" max="12549" width="6.125" style="279" customWidth="1"/>
    <col min="12550" max="12550" width="7.125" style="279" customWidth="1"/>
    <col min="12551" max="12551" width="1.875" style="279" customWidth="1"/>
    <col min="12552" max="12553" width="7.125" style="279" customWidth="1"/>
    <col min="12554" max="12554" width="2.125" style="279" customWidth="1"/>
    <col min="12555" max="12555" width="12.125" style="279" customWidth="1"/>
    <col min="12556" max="12556" width="5.875" style="279" customWidth="1"/>
    <col min="12557" max="12557" width="5.5" style="279" customWidth="1"/>
    <col min="12558" max="12559" width="8.375" style="279" customWidth="1"/>
    <col min="12560" max="12800" width="10" style="279"/>
    <col min="12801" max="12801" width="3.125" style="279" customWidth="1"/>
    <col min="12802" max="12802" width="17.875" style="279" customWidth="1"/>
    <col min="12803" max="12803" width="10" style="279" customWidth="1"/>
    <col min="12804" max="12804" width="2.375" style="279" customWidth="1"/>
    <col min="12805" max="12805" width="6.125" style="279" customWidth="1"/>
    <col min="12806" max="12806" width="7.125" style="279" customWidth="1"/>
    <col min="12807" max="12807" width="1.875" style="279" customWidth="1"/>
    <col min="12808" max="12809" width="7.125" style="279" customWidth="1"/>
    <col min="12810" max="12810" width="2.125" style="279" customWidth="1"/>
    <col min="12811" max="12811" width="12.125" style="279" customWidth="1"/>
    <col min="12812" max="12812" width="5.875" style="279" customWidth="1"/>
    <col min="12813" max="12813" width="5.5" style="279" customWidth="1"/>
    <col min="12814" max="12815" width="8.375" style="279" customWidth="1"/>
    <col min="12816" max="13056" width="10" style="279"/>
    <col min="13057" max="13057" width="3.125" style="279" customWidth="1"/>
    <col min="13058" max="13058" width="17.875" style="279" customWidth="1"/>
    <col min="13059" max="13059" width="10" style="279" customWidth="1"/>
    <col min="13060" max="13060" width="2.375" style="279" customWidth="1"/>
    <col min="13061" max="13061" width="6.125" style="279" customWidth="1"/>
    <col min="13062" max="13062" width="7.125" style="279" customWidth="1"/>
    <col min="13063" max="13063" width="1.875" style="279" customWidth="1"/>
    <col min="13064" max="13065" width="7.125" style="279" customWidth="1"/>
    <col min="13066" max="13066" width="2.125" style="279" customWidth="1"/>
    <col min="13067" max="13067" width="12.125" style="279" customWidth="1"/>
    <col min="13068" max="13068" width="5.875" style="279" customWidth="1"/>
    <col min="13069" max="13069" width="5.5" style="279" customWidth="1"/>
    <col min="13070" max="13071" width="8.375" style="279" customWidth="1"/>
    <col min="13072" max="13312" width="10" style="279"/>
    <col min="13313" max="13313" width="3.125" style="279" customWidth="1"/>
    <col min="13314" max="13314" width="17.875" style="279" customWidth="1"/>
    <col min="13315" max="13315" width="10" style="279" customWidth="1"/>
    <col min="13316" max="13316" width="2.375" style="279" customWidth="1"/>
    <col min="13317" max="13317" width="6.125" style="279" customWidth="1"/>
    <col min="13318" max="13318" width="7.125" style="279" customWidth="1"/>
    <col min="13319" max="13319" width="1.875" style="279" customWidth="1"/>
    <col min="13320" max="13321" width="7.125" style="279" customWidth="1"/>
    <col min="13322" max="13322" width="2.125" style="279" customWidth="1"/>
    <col min="13323" max="13323" width="12.125" style="279" customWidth="1"/>
    <col min="13324" max="13324" width="5.875" style="279" customWidth="1"/>
    <col min="13325" max="13325" width="5.5" style="279" customWidth="1"/>
    <col min="13326" max="13327" width="8.375" style="279" customWidth="1"/>
    <col min="13328" max="13568" width="10" style="279"/>
    <col min="13569" max="13569" width="3.125" style="279" customWidth="1"/>
    <col min="13570" max="13570" width="17.875" style="279" customWidth="1"/>
    <col min="13571" max="13571" width="10" style="279" customWidth="1"/>
    <col min="13572" max="13572" width="2.375" style="279" customWidth="1"/>
    <col min="13573" max="13573" width="6.125" style="279" customWidth="1"/>
    <col min="13574" max="13574" width="7.125" style="279" customWidth="1"/>
    <col min="13575" max="13575" width="1.875" style="279" customWidth="1"/>
    <col min="13576" max="13577" width="7.125" style="279" customWidth="1"/>
    <col min="13578" max="13578" width="2.125" style="279" customWidth="1"/>
    <col min="13579" max="13579" width="12.125" style="279" customWidth="1"/>
    <col min="13580" max="13580" width="5.875" style="279" customWidth="1"/>
    <col min="13581" max="13581" width="5.5" style="279" customWidth="1"/>
    <col min="13582" max="13583" width="8.375" style="279" customWidth="1"/>
    <col min="13584" max="13824" width="10" style="279"/>
    <col min="13825" max="13825" width="3.125" style="279" customWidth="1"/>
    <col min="13826" max="13826" width="17.875" style="279" customWidth="1"/>
    <col min="13827" max="13827" width="10" style="279" customWidth="1"/>
    <col min="13828" max="13828" width="2.375" style="279" customWidth="1"/>
    <col min="13829" max="13829" width="6.125" style="279" customWidth="1"/>
    <col min="13830" max="13830" width="7.125" style="279" customWidth="1"/>
    <col min="13831" max="13831" width="1.875" style="279" customWidth="1"/>
    <col min="13832" max="13833" width="7.125" style="279" customWidth="1"/>
    <col min="13834" max="13834" width="2.125" style="279" customWidth="1"/>
    <col min="13835" max="13835" width="12.125" style="279" customWidth="1"/>
    <col min="13836" max="13836" width="5.875" style="279" customWidth="1"/>
    <col min="13837" max="13837" width="5.5" style="279" customWidth="1"/>
    <col min="13838" max="13839" width="8.375" style="279" customWidth="1"/>
    <col min="13840" max="14080" width="10" style="279"/>
    <col min="14081" max="14081" width="3.125" style="279" customWidth="1"/>
    <col min="14082" max="14082" width="17.875" style="279" customWidth="1"/>
    <col min="14083" max="14083" width="10" style="279" customWidth="1"/>
    <col min="14084" max="14084" width="2.375" style="279" customWidth="1"/>
    <col min="14085" max="14085" width="6.125" style="279" customWidth="1"/>
    <col min="14086" max="14086" width="7.125" style="279" customWidth="1"/>
    <col min="14087" max="14087" width="1.875" style="279" customWidth="1"/>
    <col min="14088" max="14089" width="7.125" style="279" customWidth="1"/>
    <col min="14090" max="14090" width="2.125" style="279" customWidth="1"/>
    <col min="14091" max="14091" width="12.125" style="279" customWidth="1"/>
    <col min="14092" max="14092" width="5.875" style="279" customWidth="1"/>
    <col min="14093" max="14093" width="5.5" style="279" customWidth="1"/>
    <col min="14094" max="14095" width="8.375" style="279" customWidth="1"/>
    <col min="14096" max="14336" width="10" style="279"/>
    <col min="14337" max="14337" width="3.125" style="279" customWidth="1"/>
    <col min="14338" max="14338" width="17.875" style="279" customWidth="1"/>
    <col min="14339" max="14339" width="10" style="279" customWidth="1"/>
    <col min="14340" max="14340" width="2.375" style="279" customWidth="1"/>
    <col min="14341" max="14341" width="6.125" style="279" customWidth="1"/>
    <col min="14342" max="14342" width="7.125" style="279" customWidth="1"/>
    <col min="14343" max="14343" width="1.875" style="279" customWidth="1"/>
    <col min="14344" max="14345" width="7.125" style="279" customWidth="1"/>
    <col min="14346" max="14346" width="2.125" style="279" customWidth="1"/>
    <col min="14347" max="14347" width="12.125" style="279" customWidth="1"/>
    <col min="14348" max="14348" width="5.875" style="279" customWidth="1"/>
    <col min="14349" max="14349" width="5.5" style="279" customWidth="1"/>
    <col min="14350" max="14351" width="8.375" style="279" customWidth="1"/>
    <col min="14352" max="14592" width="10" style="279"/>
    <col min="14593" max="14593" width="3.125" style="279" customWidth="1"/>
    <col min="14594" max="14594" width="17.875" style="279" customWidth="1"/>
    <col min="14595" max="14595" width="10" style="279" customWidth="1"/>
    <col min="14596" max="14596" width="2.375" style="279" customWidth="1"/>
    <col min="14597" max="14597" width="6.125" style="279" customWidth="1"/>
    <col min="14598" max="14598" width="7.125" style="279" customWidth="1"/>
    <col min="14599" max="14599" width="1.875" style="279" customWidth="1"/>
    <col min="14600" max="14601" width="7.125" style="279" customWidth="1"/>
    <col min="14602" max="14602" width="2.125" style="279" customWidth="1"/>
    <col min="14603" max="14603" width="12.125" style="279" customWidth="1"/>
    <col min="14604" max="14604" width="5.875" style="279" customWidth="1"/>
    <col min="14605" max="14605" width="5.5" style="279" customWidth="1"/>
    <col min="14606" max="14607" width="8.375" style="279" customWidth="1"/>
    <col min="14608" max="14848" width="10" style="279"/>
    <col min="14849" max="14849" width="3.125" style="279" customWidth="1"/>
    <col min="14850" max="14850" width="17.875" style="279" customWidth="1"/>
    <col min="14851" max="14851" width="10" style="279" customWidth="1"/>
    <col min="14852" max="14852" width="2.375" style="279" customWidth="1"/>
    <col min="14853" max="14853" width="6.125" style="279" customWidth="1"/>
    <col min="14854" max="14854" width="7.125" style="279" customWidth="1"/>
    <col min="14855" max="14855" width="1.875" style="279" customWidth="1"/>
    <col min="14856" max="14857" width="7.125" style="279" customWidth="1"/>
    <col min="14858" max="14858" width="2.125" style="279" customWidth="1"/>
    <col min="14859" max="14859" width="12.125" style="279" customWidth="1"/>
    <col min="14860" max="14860" width="5.875" style="279" customWidth="1"/>
    <col min="14861" max="14861" width="5.5" style="279" customWidth="1"/>
    <col min="14862" max="14863" width="8.375" style="279" customWidth="1"/>
    <col min="14864" max="15104" width="10" style="279"/>
    <col min="15105" max="15105" width="3.125" style="279" customWidth="1"/>
    <col min="15106" max="15106" width="17.875" style="279" customWidth="1"/>
    <col min="15107" max="15107" width="10" style="279" customWidth="1"/>
    <col min="15108" max="15108" width="2.375" style="279" customWidth="1"/>
    <col min="15109" max="15109" width="6.125" style="279" customWidth="1"/>
    <col min="15110" max="15110" width="7.125" style="279" customWidth="1"/>
    <col min="15111" max="15111" width="1.875" style="279" customWidth="1"/>
    <col min="15112" max="15113" width="7.125" style="279" customWidth="1"/>
    <col min="15114" max="15114" width="2.125" style="279" customWidth="1"/>
    <col min="15115" max="15115" width="12.125" style="279" customWidth="1"/>
    <col min="15116" max="15116" width="5.875" style="279" customWidth="1"/>
    <col min="15117" max="15117" width="5.5" style="279" customWidth="1"/>
    <col min="15118" max="15119" width="8.375" style="279" customWidth="1"/>
    <col min="15120" max="15360" width="10" style="279"/>
    <col min="15361" max="15361" width="3.125" style="279" customWidth="1"/>
    <col min="15362" max="15362" width="17.875" style="279" customWidth="1"/>
    <col min="15363" max="15363" width="10" style="279" customWidth="1"/>
    <col min="15364" max="15364" width="2.375" style="279" customWidth="1"/>
    <col min="15365" max="15365" width="6.125" style="279" customWidth="1"/>
    <col min="15366" max="15366" width="7.125" style="279" customWidth="1"/>
    <col min="15367" max="15367" width="1.875" style="279" customWidth="1"/>
    <col min="15368" max="15369" width="7.125" style="279" customWidth="1"/>
    <col min="15370" max="15370" width="2.125" style="279" customWidth="1"/>
    <col min="15371" max="15371" width="12.125" style="279" customWidth="1"/>
    <col min="15372" max="15372" width="5.875" style="279" customWidth="1"/>
    <col min="15373" max="15373" width="5.5" style="279" customWidth="1"/>
    <col min="15374" max="15375" width="8.375" style="279" customWidth="1"/>
    <col min="15376" max="15616" width="10" style="279"/>
    <col min="15617" max="15617" width="3.125" style="279" customWidth="1"/>
    <col min="15618" max="15618" width="17.875" style="279" customWidth="1"/>
    <col min="15619" max="15619" width="10" style="279" customWidth="1"/>
    <col min="15620" max="15620" width="2.375" style="279" customWidth="1"/>
    <col min="15621" max="15621" width="6.125" style="279" customWidth="1"/>
    <col min="15622" max="15622" width="7.125" style="279" customWidth="1"/>
    <col min="15623" max="15623" width="1.875" style="279" customWidth="1"/>
    <col min="15624" max="15625" width="7.125" style="279" customWidth="1"/>
    <col min="15626" max="15626" width="2.125" style="279" customWidth="1"/>
    <col min="15627" max="15627" width="12.125" style="279" customWidth="1"/>
    <col min="15628" max="15628" width="5.875" style="279" customWidth="1"/>
    <col min="15629" max="15629" width="5.5" style="279" customWidth="1"/>
    <col min="15630" max="15631" width="8.375" style="279" customWidth="1"/>
    <col min="15632" max="15872" width="10" style="279"/>
    <col min="15873" max="15873" width="3.125" style="279" customWidth="1"/>
    <col min="15874" max="15874" width="17.875" style="279" customWidth="1"/>
    <col min="15875" max="15875" width="10" style="279" customWidth="1"/>
    <col min="15876" max="15876" width="2.375" style="279" customWidth="1"/>
    <col min="15877" max="15877" width="6.125" style="279" customWidth="1"/>
    <col min="15878" max="15878" width="7.125" style="279" customWidth="1"/>
    <col min="15879" max="15879" width="1.875" style="279" customWidth="1"/>
    <col min="15880" max="15881" width="7.125" style="279" customWidth="1"/>
    <col min="15882" max="15882" width="2.125" style="279" customWidth="1"/>
    <col min="15883" max="15883" width="12.125" style="279" customWidth="1"/>
    <col min="15884" max="15884" width="5.875" style="279" customWidth="1"/>
    <col min="15885" max="15885" width="5.5" style="279" customWidth="1"/>
    <col min="15886" max="15887" width="8.375" style="279" customWidth="1"/>
    <col min="15888" max="16128" width="10" style="279"/>
    <col min="16129" max="16129" width="3.125" style="279" customWidth="1"/>
    <col min="16130" max="16130" width="17.875" style="279" customWidth="1"/>
    <col min="16131" max="16131" width="10" style="279" customWidth="1"/>
    <col min="16132" max="16132" width="2.375" style="279" customWidth="1"/>
    <col min="16133" max="16133" width="6.125" style="279" customWidth="1"/>
    <col min="16134" max="16134" width="7.125" style="279" customWidth="1"/>
    <col min="16135" max="16135" width="1.875" style="279" customWidth="1"/>
    <col min="16136" max="16137" width="7.125" style="279" customWidth="1"/>
    <col min="16138" max="16138" width="2.125" style="279" customWidth="1"/>
    <col min="16139" max="16139" width="12.125" style="279" customWidth="1"/>
    <col min="16140" max="16140" width="5.875" style="279" customWidth="1"/>
    <col min="16141" max="16141" width="5.5" style="279" customWidth="1"/>
    <col min="16142" max="16143" width="8.375" style="279" customWidth="1"/>
    <col min="16144" max="16384" width="10" style="279"/>
  </cols>
  <sheetData>
    <row r="1" spans="1:15" ht="14.25" customHeight="1">
      <c r="A1" s="277" t="s">
        <v>297</v>
      </c>
      <c r="B1" s="278"/>
      <c r="N1" s="280" t="s">
        <v>298</v>
      </c>
      <c r="O1" s="280" t="s">
        <v>299</v>
      </c>
    </row>
    <row r="2" spans="1:15" ht="14.25" customHeight="1">
      <c r="A2" s="281" t="s">
        <v>300</v>
      </c>
      <c r="B2" s="282" t="s">
        <v>301</v>
      </c>
    </row>
    <row r="3" spans="1:15" ht="14.25" customHeight="1">
      <c r="B3" s="283" t="s">
        <v>302</v>
      </c>
      <c r="C3" s="764">
        <v>2</v>
      </c>
      <c r="D3" s="765"/>
      <c r="E3" s="765"/>
      <c r="F3" s="766"/>
      <c r="G3" s="277"/>
    </row>
    <row r="4" spans="1:15" ht="14.25" customHeight="1">
      <c r="B4" s="284" t="s">
        <v>303</v>
      </c>
      <c r="C4" s="767" t="str">
        <f>①技術体系!D2</f>
        <v>県全域</v>
      </c>
      <c r="D4" s="768"/>
      <c r="E4" s="768"/>
      <c r="F4" s="763"/>
    </row>
    <row r="5" spans="1:15" ht="14.25" customHeight="1">
      <c r="B5" s="285" t="s">
        <v>304</v>
      </c>
      <c r="C5" s="769" t="str">
        <f>①技術体系!A2</f>
        <v>放牧牛肉</v>
      </c>
      <c r="D5" s="768"/>
      <c r="E5" s="768"/>
      <c r="F5" s="763"/>
    </row>
    <row r="6" spans="1:15" ht="14.25" customHeight="1">
      <c r="B6" s="770" t="s">
        <v>305</v>
      </c>
      <c r="C6" s="773" t="str">
        <f>①技術体系!B2&amp;"　、"&amp;①技術体系!C2&amp;"、"&amp;④収入!B3&amp;④収入!C3&amp;④収入!D3&amp;"、"&amp;④収入!F2&amp;④収入!F3*100&amp;"%"</f>
        <v>春から秋の耕作放棄地経産牛放牧　、黒毛和種、飼養頭数0.2頭、商品化率80%</v>
      </c>
      <c r="D6" s="774"/>
      <c r="E6" s="774"/>
      <c r="F6" s="775"/>
    </row>
    <row r="7" spans="1:15" ht="14.25" customHeight="1">
      <c r="B7" s="771"/>
      <c r="C7" s="776"/>
      <c r="D7" s="776"/>
      <c r="E7" s="776"/>
      <c r="F7" s="777"/>
    </row>
    <row r="8" spans="1:15" ht="14.25" customHeight="1">
      <c r="B8" s="771"/>
      <c r="C8" s="776"/>
      <c r="D8" s="776"/>
      <c r="E8" s="776"/>
      <c r="F8" s="777"/>
    </row>
    <row r="9" spans="1:15">
      <c r="B9" s="772"/>
      <c r="C9" s="778"/>
      <c r="D9" s="778"/>
      <c r="E9" s="778"/>
      <c r="F9" s="778"/>
    </row>
    <row r="10" spans="1:15" ht="14.25" customHeight="1">
      <c r="B10" s="282" t="s">
        <v>306</v>
      </c>
      <c r="E10" s="282" t="s">
        <v>307</v>
      </c>
      <c r="K10" s="282" t="s">
        <v>308</v>
      </c>
      <c r="M10" s="286"/>
    </row>
    <row r="11" spans="1:15" ht="14.25" customHeight="1">
      <c r="B11" s="283" t="s">
        <v>309</v>
      </c>
      <c r="C11" s="287">
        <f>④収入!B21</f>
        <v>0.2</v>
      </c>
      <c r="E11" s="283" t="s">
        <v>310</v>
      </c>
      <c r="F11" s="288">
        <f>作業体系表!D31</f>
        <v>0</v>
      </c>
      <c r="H11" s="283" t="s">
        <v>311</v>
      </c>
      <c r="I11" s="288">
        <f>作業体系表!V31</f>
        <v>0.5</v>
      </c>
      <c r="K11" s="285" t="s">
        <v>312</v>
      </c>
      <c r="L11" s="779" t="s">
        <v>668</v>
      </c>
      <c r="M11" s="763"/>
    </row>
    <row r="12" spans="1:15" ht="14.25" customHeight="1">
      <c r="B12" s="283" t="s">
        <v>313</v>
      </c>
      <c r="C12" s="287">
        <f>④収入!C21</f>
        <v>256000</v>
      </c>
      <c r="E12" s="283" t="s">
        <v>314</v>
      </c>
      <c r="F12" s="288">
        <f>作業体系表!E31</f>
        <v>0</v>
      </c>
      <c r="H12" s="283" t="s">
        <v>315</v>
      </c>
      <c r="I12" s="288">
        <f>作業体系表!W31</f>
        <v>0.5</v>
      </c>
      <c r="K12" s="285" t="s">
        <v>316</v>
      </c>
      <c r="L12" s="780" t="s">
        <v>669</v>
      </c>
      <c r="M12" s="763"/>
    </row>
    <row r="13" spans="1:15" ht="14.25" customHeight="1">
      <c r="B13" s="284" t="s">
        <v>317</v>
      </c>
      <c r="C13" s="287">
        <f>④収入!E21+④収入!F21</f>
        <v>0</v>
      </c>
      <c r="E13" s="283" t="s">
        <v>318</v>
      </c>
      <c r="F13" s="288">
        <f>作業体系表!F31</f>
        <v>0</v>
      </c>
      <c r="H13" s="283" t="s">
        <v>319</v>
      </c>
      <c r="I13" s="288">
        <f>作業体系表!X31</f>
        <v>0.70000160002560041</v>
      </c>
      <c r="K13" s="289" t="s">
        <v>320</v>
      </c>
      <c r="L13" s="290">
        <v>5</v>
      </c>
      <c r="M13" s="291" t="s">
        <v>134</v>
      </c>
    </row>
    <row r="14" spans="1:15" ht="14.25" customHeight="1">
      <c r="B14" s="284" t="s">
        <v>321</v>
      </c>
      <c r="C14" s="292">
        <f>C11*C12+C13</f>
        <v>51200</v>
      </c>
      <c r="E14" s="283" t="s">
        <v>322</v>
      </c>
      <c r="F14" s="288">
        <f>作業体系表!G31</f>
        <v>0</v>
      </c>
      <c r="H14" s="283" t="s">
        <v>323</v>
      </c>
      <c r="I14" s="288">
        <f>作業体系表!Y31</f>
        <v>0.5</v>
      </c>
      <c r="K14" s="289" t="s">
        <v>324</v>
      </c>
      <c r="L14" s="290">
        <v>11</v>
      </c>
      <c r="M14" s="291" t="s">
        <v>135</v>
      </c>
    </row>
    <row r="15" spans="1:15" ht="14.25" customHeight="1">
      <c r="B15" s="282" t="s">
        <v>325</v>
      </c>
      <c r="E15" s="283" t="s">
        <v>326</v>
      </c>
      <c r="F15" s="288">
        <f>作業体系表!H31</f>
        <v>0</v>
      </c>
      <c r="H15" s="283" t="s">
        <v>327</v>
      </c>
      <c r="I15" s="288">
        <f>作業体系表!Z31</f>
        <v>0.5</v>
      </c>
      <c r="K15" s="284" t="s">
        <v>328</v>
      </c>
      <c r="L15" s="762"/>
      <c r="M15" s="763"/>
    </row>
    <row r="16" spans="1:15" ht="14.25" customHeight="1">
      <c r="B16" s="284" t="s">
        <v>329</v>
      </c>
      <c r="C16" s="287">
        <f>経営収支!E7</f>
        <v>0</v>
      </c>
      <c r="E16" s="283" t="s">
        <v>330</v>
      </c>
      <c r="F16" s="288">
        <f>作業体系表!I31</f>
        <v>0</v>
      </c>
      <c r="H16" s="283" t="s">
        <v>331</v>
      </c>
      <c r="I16" s="288">
        <f>作業体系表!AA31</f>
        <v>0.70000160002560041</v>
      </c>
      <c r="K16" s="284" t="s">
        <v>332</v>
      </c>
      <c r="L16" s="762"/>
      <c r="M16" s="763"/>
    </row>
    <row r="17" spans="2:13" ht="14.25" customHeight="1">
      <c r="B17" s="284" t="s">
        <v>333</v>
      </c>
      <c r="C17" s="287">
        <f>経営収支!E8</f>
        <v>0</v>
      </c>
      <c r="E17" s="283" t="s">
        <v>334</v>
      </c>
      <c r="F17" s="288">
        <f>作業体系表!J31</f>
        <v>0</v>
      </c>
      <c r="H17" s="283" t="s">
        <v>335</v>
      </c>
      <c r="I17" s="288">
        <f>作業体系表!AB31</f>
        <v>0.5</v>
      </c>
      <c r="K17" s="286"/>
      <c r="L17" s="293"/>
      <c r="M17" s="294"/>
    </row>
    <row r="18" spans="2:13" ht="14.25" customHeight="1">
      <c r="B18" s="284" t="s">
        <v>336</v>
      </c>
      <c r="C18" s="287">
        <f>経営収支!E9</f>
        <v>0</v>
      </c>
      <c r="E18" s="283" t="s">
        <v>337</v>
      </c>
      <c r="F18" s="288">
        <f>作業体系表!K31</f>
        <v>0</v>
      </c>
      <c r="H18" s="283" t="s">
        <v>338</v>
      </c>
      <c r="I18" s="288">
        <f>作業体系表!AC31</f>
        <v>0.5</v>
      </c>
      <c r="K18" s="286"/>
      <c r="L18" s="293"/>
      <c r="M18" s="293"/>
    </row>
    <row r="19" spans="2:13" ht="14.25" customHeight="1">
      <c r="B19" s="284" t="s">
        <v>339</v>
      </c>
      <c r="C19" s="287">
        <f>経営収支!E10</f>
        <v>144</v>
      </c>
      <c r="E19" s="283" t="s">
        <v>340</v>
      </c>
      <c r="F19" s="288">
        <f>作業体系表!L31</f>
        <v>0</v>
      </c>
      <c r="H19" s="283" t="s">
        <v>341</v>
      </c>
      <c r="I19" s="288">
        <f>作業体系表!AD31</f>
        <v>0.6</v>
      </c>
      <c r="K19" s="286"/>
      <c r="L19" s="293"/>
      <c r="M19" s="293"/>
    </row>
    <row r="20" spans="2:13" ht="14.25" customHeight="1">
      <c r="B20" s="284" t="s">
        <v>342</v>
      </c>
      <c r="C20" s="287">
        <f>経営収支!E11</f>
        <v>59279</v>
      </c>
      <c r="E20" s="283" t="s">
        <v>343</v>
      </c>
      <c r="F20" s="288">
        <f>作業体系表!M31</f>
        <v>0</v>
      </c>
      <c r="H20" s="283" t="s">
        <v>344</v>
      </c>
      <c r="I20" s="288">
        <f>作業体系表!AE31</f>
        <v>0.5</v>
      </c>
      <c r="K20" s="286"/>
      <c r="L20" s="293"/>
      <c r="M20" s="293"/>
    </row>
    <row r="21" spans="2:13" ht="14.25" customHeight="1">
      <c r="B21" s="284" t="s">
        <v>345</v>
      </c>
      <c r="C21" s="287">
        <f>経営収支!E13</f>
        <v>0</v>
      </c>
      <c r="E21" s="283" t="s">
        <v>346</v>
      </c>
      <c r="F21" s="288">
        <f>作業体系表!N31</f>
        <v>0.2</v>
      </c>
      <c r="H21" s="283" t="s">
        <v>347</v>
      </c>
      <c r="I21" s="288">
        <f>作業体系表!AF31</f>
        <v>0.5</v>
      </c>
      <c r="K21" s="286"/>
      <c r="L21" s="293"/>
      <c r="M21" s="293"/>
    </row>
    <row r="22" spans="2:13" ht="14.25" customHeight="1">
      <c r="B22" s="284" t="s">
        <v>348</v>
      </c>
      <c r="C22" s="287">
        <f>経営収支!E14</f>
        <v>3000</v>
      </c>
      <c r="E22" s="283" t="s">
        <v>349</v>
      </c>
      <c r="F22" s="288">
        <f>作業体系表!O31</f>
        <v>0</v>
      </c>
      <c r="H22" s="283" t="s">
        <v>350</v>
      </c>
      <c r="I22" s="288">
        <f>作業体系表!AG31</f>
        <v>0.6</v>
      </c>
      <c r="K22" s="286"/>
      <c r="L22" s="293"/>
      <c r="M22" s="293"/>
    </row>
    <row r="23" spans="2:13" ht="14.25" customHeight="1">
      <c r="B23" s="284" t="s">
        <v>351</v>
      </c>
      <c r="C23" s="287">
        <f>経営収支!E29</f>
        <v>14144</v>
      </c>
      <c r="E23" s="283" t="s">
        <v>352</v>
      </c>
      <c r="F23" s="288">
        <f>作業体系表!P31</f>
        <v>0</v>
      </c>
      <c r="H23" s="283" t="s">
        <v>353</v>
      </c>
      <c r="I23" s="288">
        <f>作業体系表!AH31</f>
        <v>0.5</v>
      </c>
      <c r="K23" s="286"/>
      <c r="L23" s="293"/>
      <c r="M23" s="293"/>
    </row>
    <row r="24" spans="2:13" ht="14.25" customHeight="1">
      <c r="B24" s="284" t="s">
        <v>354</v>
      </c>
      <c r="C24" s="695">
        <f>経営収支!E12</f>
        <v>0</v>
      </c>
      <c r="E24" s="283" t="s">
        <v>355</v>
      </c>
      <c r="F24" s="288">
        <f>作業体系表!Q31</f>
        <v>1.4000064001024017</v>
      </c>
      <c r="H24" s="283" t="s">
        <v>356</v>
      </c>
      <c r="I24" s="288">
        <f>作業体系表!AI31</f>
        <v>0.5</v>
      </c>
      <c r="K24" s="286"/>
      <c r="L24" s="293"/>
      <c r="M24" s="293"/>
    </row>
    <row r="25" spans="2:13" ht="14.25" customHeight="1">
      <c r="B25" s="284" t="s">
        <v>321</v>
      </c>
      <c r="C25" s="292">
        <f>SUM(C16:C24)</f>
        <v>76567</v>
      </c>
      <c r="E25" s="283" t="s">
        <v>357</v>
      </c>
      <c r="F25" s="288">
        <f>作業体系表!R31</f>
        <v>0.6</v>
      </c>
      <c r="H25" s="283" t="s">
        <v>358</v>
      </c>
      <c r="I25" s="288">
        <f>作業体系表!AJ31</f>
        <v>0.2</v>
      </c>
      <c r="M25" s="293"/>
    </row>
    <row r="26" spans="2:13" ht="14.25" customHeight="1">
      <c r="B26" s="295"/>
      <c r="C26" s="286"/>
      <c r="E26" s="283" t="s">
        <v>359</v>
      </c>
      <c r="F26" s="288">
        <f>作業体系表!S31</f>
        <v>0.5</v>
      </c>
      <c r="H26" s="283" t="s">
        <v>360</v>
      </c>
      <c r="I26" s="288">
        <f>作業体系表!AK31</f>
        <v>0</v>
      </c>
      <c r="K26" s="286"/>
      <c r="L26" s="293"/>
      <c r="M26" s="293"/>
    </row>
    <row r="27" spans="2:13" ht="14.25" customHeight="1">
      <c r="B27" s="284" t="s">
        <v>361</v>
      </c>
      <c r="C27" s="296">
        <f>C14-C25</f>
        <v>-25367</v>
      </c>
      <c r="E27" s="283" t="s">
        <v>362</v>
      </c>
      <c r="F27" s="288">
        <f>作業体系表!T31</f>
        <v>0.5</v>
      </c>
      <c r="H27" s="283" t="s">
        <v>363</v>
      </c>
      <c r="I27" s="288">
        <f>作業体系表!AL31</f>
        <v>0</v>
      </c>
      <c r="K27" s="297"/>
      <c r="L27" s="298" t="s">
        <v>364</v>
      </c>
      <c r="M27" s="293"/>
    </row>
    <row r="28" spans="2:13">
      <c r="E28" s="283" t="s">
        <v>365</v>
      </c>
      <c r="F28" s="288">
        <f>作業体系表!U31</f>
        <v>0.70000160002560041</v>
      </c>
      <c r="H28" s="283" t="s">
        <v>366</v>
      </c>
      <c r="I28" s="288">
        <f>作業体系表!AM31</f>
        <v>0</v>
      </c>
      <c r="K28" s="299"/>
      <c r="L28" s="300">
        <v>1</v>
      </c>
      <c r="M28" s="286"/>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B9" sqref="B9"/>
    </sheetView>
  </sheetViews>
  <sheetFormatPr defaultRowHeight="13.5" zeroHeight="1"/>
  <cols>
    <col min="1" max="1" width="13.5" style="90" bestFit="1" customWidth="1"/>
    <col min="2" max="2" width="32.375" style="90" customWidth="1"/>
    <col min="3" max="3" width="14.125" style="90" bestFit="1" customWidth="1"/>
    <col min="4" max="4" width="39" style="90" bestFit="1" customWidth="1"/>
    <col min="5" max="5" width="25.875" style="90" bestFit="1" customWidth="1"/>
    <col min="6" max="6" width="3.125" style="89" customWidth="1"/>
    <col min="7" max="24" width="9" style="89"/>
    <col min="25" max="16384" width="9" style="90"/>
  </cols>
  <sheetData>
    <row r="1" spans="1:24" s="87" customFormat="1">
      <c r="A1" s="85" t="s">
        <v>0</v>
      </c>
      <c r="B1" s="85" t="s">
        <v>274</v>
      </c>
      <c r="C1" s="85" t="s">
        <v>1</v>
      </c>
      <c r="D1" s="85" t="s">
        <v>2</v>
      </c>
      <c r="E1" s="324" t="s">
        <v>394</v>
      </c>
      <c r="F1" s="86"/>
      <c r="G1" s="86"/>
      <c r="H1" s="86"/>
      <c r="I1" s="86"/>
      <c r="J1" s="86"/>
      <c r="K1" s="86"/>
      <c r="L1" s="86"/>
      <c r="M1" s="86"/>
      <c r="N1" s="86"/>
      <c r="O1" s="86"/>
      <c r="P1" s="86"/>
      <c r="Q1" s="86"/>
      <c r="R1" s="86"/>
      <c r="S1" s="86"/>
      <c r="T1" s="86"/>
      <c r="U1" s="86"/>
      <c r="V1" s="86"/>
      <c r="W1" s="86"/>
      <c r="X1" s="86"/>
    </row>
    <row r="2" spans="1:24">
      <c r="A2" s="416" t="s">
        <v>439</v>
      </c>
      <c r="B2" s="88" t="s">
        <v>440</v>
      </c>
      <c r="C2" s="270" t="s">
        <v>441</v>
      </c>
      <c r="D2" s="377" t="s">
        <v>442</v>
      </c>
      <c r="E2" s="378">
        <v>1</v>
      </c>
    </row>
    <row r="3" spans="1:24" ht="9.75" customHeight="1">
      <c r="A3" s="417"/>
      <c r="B3" s="417"/>
      <c r="C3" s="417"/>
      <c r="D3" s="417"/>
      <c r="E3" s="417"/>
    </row>
    <row r="4" spans="1:24">
      <c r="A4" s="417" t="s">
        <v>3</v>
      </c>
      <c r="B4" s="417"/>
      <c r="C4" s="417"/>
      <c r="D4" s="417"/>
      <c r="E4" s="417"/>
    </row>
    <row r="5" spans="1:24" ht="21.95" customHeight="1">
      <c r="A5" s="91" t="s">
        <v>4</v>
      </c>
      <c r="B5" s="85" t="s">
        <v>5</v>
      </c>
      <c r="C5" s="85" t="s">
        <v>6</v>
      </c>
      <c r="D5" s="92" t="s">
        <v>7</v>
      </c>
      <c r="E5" s="85" t="s">
        <v>8</v>
      </c>
    </row>
    <row r="6" spans="1:24" ht="24" customHeight="1">
      <c r="A6" s="474" t="s">
        <v>443</v>
      </c>
      <c r="B6" s="369" t="s">
        <v>444</v>
      </c>
      <c r="C6" s="369" t="s">
        <v>445</v>
      </c>
      <c r="D6" s="370" t="s">
        <v>446</v>
      </c>
      <c r="E6" s="371"/>
    </row>
    <row r="7" spans="1:24" ht="24" customHeight="1">
      <c r="A7" s="374" t="s">
        <v>447</v>
      </c>
      <c r="B7" s="372" t="s">
        <v>448</v>
      </c>
      <c r="C7" s="372" t="s">
        <v>449</v>
      </c>
      <c r="D7" s="373" t="s">
        <v>450</v>
      </c>
      <c r="E7" s="372" t="s">
        <v>451</v>
      </c>
    </row>
    <row r="8" spans="1:24" ht="24" customHeight="1">
      <c r="A8" s="374" t="s">
        <v>452</v>
      </c>
      <c r="B8" s="372" t="s">
        <v>453</v>
      </c>
      <c r="C8" s="372" t="s">
        <v>454</v>
      </c>
      <c r="D8" s="373" t="s">
        <v>455</v>
      </c>
      <c r="E8" s="372"/>
    </row>
    <row r="9" spans="1:24" ht="24" customHeight="1">
      <c r="A9" s="374" t="s">
        <v>456</v>
      </c>
      <c r="B9" s="372" t="s">
        <v>457</v>
      </c>
      <c r="C9" s="372" t="s">
        <v>223</v>
      </c>
      <c r="D9" s="373" t="s">
        <v>458</v>
      </c>
      <c r="E9" s="372"/>
    </row>
    <row r="10" spans="1:24" ht="24" customHeight="1">
      <c r="A10" s="374" t="s">
        <v>459</v>
      </c>
      <c r="B10" s="372" t="s">
        <v>460</v>
      </c>
      <c r="C10" s="372" t="s">
        <v>461</v>
      </c>
      <c r="D10" s="373" t="s">
        <v>462</v>
      </c>
      <c r="E10" s="372" t="s">
        <v>463</v>
      </c>
    </row>
    <row r="11" spans="1:24" ht="24" customHeight="1">
      <c r="A11" s="374" t="s">
        <v>464</v>
      </c>
      <c r="B11" s="372" t="s">
        <v>465</v>
      </c>
      <c r="C11" s="372" t="s">
        <v>466</v>
      </c>
      <c r="D11" s="373" t="s">
        <v>467</v>
      </c>
      <c r="E11" s="372" t="s">
        <v>468</v>
      </c>
    </row>
    <row r="12" spans="1:24" ht="24" customHeight="1">
      <c r="A12" s="374" t="s">
        <v>469</v>
      </c>
      <c r="B12" s="372" t="s">
        <v>470</v>
      </c>
      <c r="C12" s="372" t="s">
        <v>471</v>
      </c>
      <c r="D12" s="373" t="s">
        <v>472</v>
      </c>
      <c r="E12" s="372" t="s">
        <v>468</v>
      </c>
    </row>
    <row r="13" spans="1:24" ht="24" customHeight="1">
      <c r="A13" s="374" t="s">
        <v>473</v>
      </c>
      <c r="B13" s="372" t="s">
        <v>465</v>
      </c>
      <c r="C13" s="372" t="s">
        <v>474</v>
      </c>
      <c r="D13" s="373" t="s">
        <v>467</v>
      </c>
      <c r="E13" s="372" t="s">
        <v>468</v>
      </c>
    </row>
    <row r="14" spans="1:24" ht="24" customHeight="1">
      <c r="A14" s="374" t="s">
        <v>475</v>
      </c>
      <c r="B14" s="372" t="s">
        <v>476</v>
      </c>
      <c r="C14" s="372" t="s">
        <v>471</v>
      </c>
      <c r="D14" s="373" t="s">
        <v>455</v>
      </c>
      <c r="E14" s="372" t="s">
        <v>468</v>
      </c>
    </row>
    <row r="15" spans="1:24" ht="24" customHeight="1">
      <c r="A15" s="374" t="s">
        <v>477</v>
      </c>
      <c r="B15" s="372" t="s">
        <v>470</v>
      </c>
      <c r="C15" s="372" t="s">
        <v>478</v>
      </c>
      <c r="D15" s="373" t="s">
        <v>472</v>
      </c>
      <c r="E15" s="372" t="s">
        <v>468</v>
      </c>
    </row>
    <row r="16" spans="1:24" ht="24" customHeight="1">
      <c r="A16" s="374" t="s">
        <v>479</v>
      </c>
      <c r="B16" s="372" t="s">
        <v>465</v>
      </c>
      <c r="C16" s="372" t="s">
        <v>480</v>
      </c>
      <c r="D16" s="373" t="s">
        <v>467</v>
      </c>
      <c r="E16" s="372" t="s">
        <v>468</v>
      </c>
    </row>
    <row r="17" spans="1:5" ht="24" customHeight="1">
      <c r="A17" s="374" t="s">
        <v>481</v>
      </c>
      <c r="B17" s="372" t="s">
        <v>476</v>
      </c>
      <c r="C17" s="372" t="s">
        <v>478</v>
      </c>
      <c r="D17" s="373" t="s">
        <v>455</v>
      </c>
      <c r="E17" s="372" t="s">
        <v>468</v>
      </c>
    </row>
    <row r="18" spans="1:5" ht="24" customHeight="1">
      <c r="A18" s="374" t="s">
        <v>482</v>
      </c>
      <c r="B18" s="372" t="s">
        <v>470</v>
      </c>
      <c r="C18" s="372" t="s">
        <v>483</v>
      </c>
      <c r="D18" s="373" t="s">
        <v>472</v>
      </c>
      <c r="E18" s="372" t="s">
        <v>468</v>
      </c>
    </row>
    <row r="19" spans="1:5" ht="24" customHeight="1">
      <c r="A19" s="374" t="s">
        <v>484</v>
      </c>
      <c r="B19" s="372" t="s">
        <v>465</v>
      </c>
      <c r="C19" s="372" t="s">
        <v>485</v>
      </c>
      <c r="D19" s="373" t="s">
        <v>467</v>
      </c>
      <c r="E19" s="372" t="s">
        <v>468</v>
      </c>
    </row>
    <row r="20" spans="1:5" ht="24" customHeight="1">
      <c r="A20" s="374" t="s">
        <v>486</v>
      </c>
      <c r="B20" s="372" t="s">
        <v>476</v>
      </c>
      <c r="C20" s="372" t="s">
        <v>483</v>
      </c>
      <c r="D20" s="373" t="s">
        <v>455</v>
      </c>
      <c r="E20" s="372" t="s">
        <v>468</v>
      </c>
    </row>
    <row r="21" spans="1:5" ht="24" customHeight="1">
      <c r="A21" s="374" t="s">
        <v>487</v>
      </c>
      <c r="B21" s="372" t="s">
        <v>470</v>
      </c>
      <c r="C21" s="372" t="s">
        <v>488</v>
      </c>
      <c r="D21" s="373" t="s">
        <v>472</v>
      </c>
      <c r="E21" s="372" t="s">
        <v>468</v>
      </c>
    </row>
    <row r="22" spans="1:5" ht="24" customHeight="1">
      <c r="A22" s="374" t="s">
        <v>489</v>
      </c>
      <c r="B22" s="372" t="s">
        <v>465</v>
      </c>
      <c r="C22" s="372" t="s">
        <v>490</v>
      </c>
      <c r="D22" s="373" t="s">
        <v>467</v>
      </c>
      <c r="E22" s="372" t="s">
        <v>468</v>
      </c>
    </row>
    <row r="23" spans="1:5" ht="24" customHeight="1">
      <c r="A23" s="374" t="s">
        <v>491</v>
      </c>
      <c r="B23" s="372" t="s">
        <v>470</v>
      </c>
      <c r="C23" s="372" t="s">
        <v>245</v>
      </c>
      <c r="D23" s="373" t="s">
        <v>472</v>
      </c>
      <c r="E23" s="372" t="s">
        <v>468</v>
      </c>
    </row>
    <row r="24" spans="1:5" ht="24" customHeight="1">
      <c r="A24" s="375" t="s">
        <v>492</v>
      </c>
      <c r="B24" s="375" t="s">
        <v>465</v>
      </c>
      <c r="C24" s="375" t="s">
        <v>493</v>
      </c>
      <c r="D24" s="375" t="s">
        <v>467</v>
      </c>
      <c r="E24" s="375" t="s">
        <v>468</v>
      </c>
    </row>
    <row r="25" spans="1:5" ht="24" customHeight="1">
      <c r="A25" s="376" t="s">
        <v>494</v>
      </c>
      <c r="B25" s="376" t="s">
        <v>495</v>
      </c>
      <c r="C25" s="376" t="s">
        <v>247</v>
      </c>
      <c r="D25" s="376" t="s">
        <v>450</v>
      </c>
      <c r="E25" s="376"/>
    </row>
    <row r="26" spans="1:5">
      <c r="A26" s="89"/>
      <c r="B26" s="89"/>
      <c r="C26" s="89"/>
      <c r="D26" s="89"/>
      <c r="E26" s="89"/>
    </row>
    <row r="27" spans="1:5">
      <c r="A27" s="89"/>
      <c r="B27" s="89"/>
      <c r="C27" s="89"/>
      <c r="D27" s="89"/>
      <c r="E27" s="89"/>
    </row>
    <row r="28" spans="1:5">
      <c r="A28" s="89"/>
      <c r="B28" s="89"/>
      <c r="C28" s="89"/>
      <c r="D28" s="89"/>
      <c r="E28" s="89"/>
    </row>
    <row r="29" spans="1:5">
      <c r="A29" s="89"/>
      <c r="B29" s="89"/>
      <c r="C29" s="89"/>
      <c r="D29" s="89"/>
      <c r="E29" s="89"/>
    </row>
    <row r="30" spans="1:5">
      <c r="A30" s="89"/>
      <c r="B30" s="89"/>
      <c r="C30" s="89"/>
      <c r="D30" s="89"/>
      <c r="E30" s="89"/>
    </row>
    <row r="31" spans="1:5">
      <c r="A31" s="89"/>
      <c r="B31" s="89"/>
      <c r="C31" s="89"/>
      <c r="D31" s="89"/>
      <c r="E31" s="89"/>
    </row>
    <row r="32" spans="1:5">
      <c r="A32" s="89"/>
      <c r="B32" s="89"/>
      <c r="C32" s="89"/>
      <c r="D32" s="89"/>
      <c r="E32" s="89"/>
    </row>
    <row r="33" spans="1:5">
      <c r="A33" s="89"/>
      <c r="B33" s="89"/>
      <c r="C33" s="89"/>
      <c r="D33" s="89"/>
      <c r="E33" s="89"/>
    </row>
    <row r="34" spans="1:5">
      <c r="A34" s="89"/>
      <c r="B34" s="89"/>
      <c r="C34" s="89"/>
      <c r="D34" s="89"/>
      <c r="E34" s="89"/>
    </row>
    <row r="35" spans="1:5">
      <c r="A35" s="89"/>
      <c r="B35" s="89"/>
      <c r="C35" s="89"/>
      <c r="D35" s="89"/>
      <c r="E35" s="89"/>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78740157480314965" top="1.1811023622047245" bottom="0.39370078740157483" header="0.78740157480314965" footer="0.51181102362204722"/>
  <pageSetup paperSize="9" scale="85" firstPageNumber="0" orientation="landscape" cellComments="asDisplayed" horizontalDpi="4294967293" verticalDpi="300" r:id="rId1"/>
  <headerFooter alignWithMargins="0">
    <oddHeader>&amp;L肉用牛（肥育）春から秋の耕作放棄地経産牛放牧（全域）</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9"/>
  <sheetViews>
    <sheetView showGridLines="0" workbookViewId="0">
      <pane xSplit="1" ySplit="4" topLeftCell="B8" activePane="bottomRight" state="frozen"/>
      <selection pane="topRight" activeCell="B1" sqref="B1"/>
      <selection pane="bottomLeft" activeCell="A5" sqref="A5"/>
      <selection pane="bottomRight" activeCell="G5" sqref="G5"/>
    </sheetView>
  </sheetViews>
  <sheetFormatPr defaultRowHeight="12" zeroHeight="1"/>
  <cols>
    <col min="1" max="1" width="3.875" style="97" customWidth="1"/>
    <col min="2" max="2" width="2.875" style="97" customWidth="1"/>
    <col min="3" max="3" width="19.375" style="97" customWidth="1"/>
    <col min="4" max="4" width="27.125" style="97" customWidth="1"/>
    <col min="5" max="5" width="3.625" style="97" customWidth="1"/>
    <col min="6" max="6" width="2.625" style="97" bestFit="1" customWidth="1"/>
    <col min="7" max="8" width="3.375" style="97" customWidth="1"/>
    <col min="9" max="9" width="5.25" style="97" customWidth="1"/>
    <col min="10" max="12" width="12.25" style="97" customWidth="1"/>
    <col min="13" max="13" width="5.75" style="98" customWidth="1"/>
    <col min="14" max="15" width="11.25" style="98" customWidth="1"/>
    <col min="16" max="16" width="11.25" style="159" customWidth="1"/>
    <col min="17" max="19" width="11.25" style="97" customWidth="1"/>
    <col min="20" max="20" width="27.25" style="97" bestFit="1" customWidth="1"/>
    <col min="21" max="21" width="4.5" style="97" customWidth="1"/>
    <col min="22" max="22" width="15.125" style="97" customWidth="1"/>
    <col min="23" max="23" width="11.5" style="97" customWidth="1"/>
    <col min="24" max="24" width="12.125" style="97" customWidth="1"/>
    <col min="25" max="25" width="7.875" style="97" customWidth="1"/>
    <col min="26" max="26" width="8.875" style="97" customWidth="1"/>
    <col min="27" max="27" width="4.875" style="97" customWidth="1"/>
    <col min="28" max="28" width="16.25" style="97" customWidth="1"/>
    <col min="29" max="29" width="11.875" style="97" customWidth="1"/>
    <col min="30" max="30" width="8.25" style="97" customWidth="1"/>
    <col min="31" max="31" width="6.125" style="97" customWidth="1"/>
    <col min="32" max="32" width="6.625" style="97" customWidth="1"/>
    <col min="33" max="33" width="12.5" style="97" customWidth="1"/>
    <col min="34" max="16384" width="9" style="97"/>
  </cols>
  <sheetData>
    <row r="1" spans="1:85" ht="16.5" customHeight="1">
      <c r="A1" s="441" t="s">
        <v>9</v>
      </c>
      <c r="B1" s="93"/>
      <c r="C1" s="93"/>
      <c r="D1" s="94" t="s">
        <v>10</v>
      </c>
      <c r="E1" s="805">
        <f>①技術体系!E2*100</f>
        <v>100</v>
      </c>
      <c r="F1" s="805"/>
      <c r="G1" s="95" t="s">
        <v>11</v>
      </c>
      <c r="H1" s="96"/>
      <c r="I1" s="96"/>
      <c r="J1" s="96"/>
      <c r="P1" s="98"/>
      <c r="Q1" s="99" t="str">
        <f>①技術体系!A2</f>
        <v>放牧牛肉</v>
      </c>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row>
    <row r="2" spans="1:85" ht="18.75" customHeight="1">
      <c r="A2" s="799" t="s">
        <v>12</v>
      </c>
      <c r="B2" s="799"/>
      <c r="C2" s="799"/>
      <c r="D2" s="101" t="s">
        <v>13</v>
      </c>
      <c r="E2" s="806" t="s">
        <v>14</v>
      </c>
      <c r="F2" s="806" t="s">
        <v>15</v>
      </c>
      <c r="G2" s="806" t="s">
        <v>16</v>
      </c>
      <c r="H2" s="798" t="s">
        <v>17</v>
      </c>
      <c r="I2" s="798" t="s">
        <v>18</v>
      </c>
      <c r="J2" s="205" t="s">
        <v>19</v>
      </c>
      <c r="K2" s="205" t="s">
        <v>20</v>
      </c>
      <c r="L2" s="101" t="s">
        <v>21</v>
      </c>
      <c r="M2" s="800" t="s">
        <v>22</v>
      </c>
      <c r="N2" s="801"/>
      <c r="O2" s="801"/>
      <c r="P2" s="801"/>
      <c r="Q2" s="801"/>
      <c r="R2" s="801"/>
      <c r="S2" s="802"/>
      <c r="T2" s="205"/>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row>
    <row r="3" spans="1:85" ht="17.25" customHeight="1">
      <c r="A3" s="102"/>
      <c r="B3" s="103"/>
      <c r="C3" s="104"/>
      <c r="D3" s="104"/>
      <c r="E3" s="806"/>
      <c r="F3" s="806"/>
      <c r="G3" s="806"/>
      <c r="H3" s="798"/>
      <c r="I3" s="798"/>
      <c r="J3" s="105"/>
      <c r="K3" s="105" t="s">
        <v>23</v>
      </c>
      <c r="L3" s="104" t="s">
        <v>20</v>
      </c>
      <c r="M3" s="803" t="s">
        <v>24</v>
      </c>
      <c r="N3" s="104" t="s">
        <v>25</v>
      </c>
      <c r="O3" s="104" t="s">
        <v>26</v>
      </c>
      <c r="P3" s="104" t="s">
        <v>27</v>
      </c>
      <c r="Q3" s="104" t="s">
        <v>28</v>
      </c>
      <c r="R3" s="104" t="s">
        <v>28</v>
      </c>
      <c r="S3" s="104" t="s">
        <v>29</v>
      </c>
      <c r="T3" s="104" t="s">
        <v>30</v>
      </c>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row>
    <row r="4" spans="1:85" ht="18" customHeight="1">
      <c r="A4" s="106"/>
      <c r="B4" s="107"/>
      <c r="C4" s="108"/>
      <c r="D4" s="108"/>
      <c r="E4" s="806"/>
      <c r="F4" s="806"/>
      <c r="G4" s="806"/>
      <c r="H4" s="798"/>
      <c r="I4" s="798"/>
      <c r="J4" s="109"/>
      <c r="K4" s="109"/>
      <c r="L4" s="108"/>
      <c r="M4" s="803"/>
      <c r="N4" s="108"/>
      <c r="O4" s="108"/>
      <c r="P4" s="108"/>
      <c r="Q4" s="108"/>
      <c r="R4" s="110" t="s">
        <v>31</v>
      </c>
      <c r="S4" s="110" t="s">
        <v>31</v>
      </c>
      <c r="T4" s="108"/>
      <c r="U4" s="100"/>
      <c r="V4" s="23"/>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row>
    <row r="5" spans="1:85" ht="14.1" customHeight="1">
      <c r="A5" s="111"/>
      <c r="B5" s="789"/>
      <c r="C5" s="790"/>
      <c r="D5" s="112"/>
      <c r="E5" s="113"/>
      <c r="F5" s="113"/>
      <c r="G5" s="114"/>
      <c r="H5" s="113"/>
      <c r="I5" s="124"/>
      <c r="J5" s="115"/>
      <c r="K5" s="397">
        <f>J5*E5</f>
        <v>0</v>
      </c>
      <c r="L5" s="398">
        <f>IF(I5="",K5,I5*K5)</f>
        <v>0</v>
      </c>
      <c r="M5" s="114"/>
      <c r="N5" s="407">
        <f>IF(I5="",INT(K5*M5),INT(K5*I5*M5))</f>
        <v>0</v>
      </c>
      <c r="O5" s="407">
        <f>N5*(G5)</f>
        <v>0</v>
      </c>
      <c r="P5" s="408">
        <f>N5-O5</f>
        <v>0</v>
      </c>
      <c r="Q5" s="407">
        <f>IF(H5="",0,ROUND(P5/H5,0))</f>
        <v>0</v>
      </c>
      <c r="R5" s="407">
        <f>IF(Q5=0,0,INT(Q5/$E$1*10))</f>
        <v>0</v>
      </c>
      <c r="S5" s="407">
        <f>IF(R5=0,0,$D$42*K5*M5/$E$1*10)</f>
        <v>0</v>
      </c>
      <c r="T5" s="327"/>
      <c r="U5" s="203"/>
      <c r="V5" s="204"/>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row>
    <row r="6" spans="1:85" ht="14.1" customHeight="1">
      <c r="A6" s="116" t="s">
        <v>32</v>
      </c>
      <c r="B6" s="783"/>
      <c r="C6" s="784"/>
      <c r="D6" s="112"/>
      <c r="E6" s="113"/>
      <c r="F6" s="113"/>
      <c r="G6" s="114"/>
      <c r="H6" s="113"/>
      <c r="I6" s="124"/>
      <c r="J6" s="117"/>
      <c r="K6" s="397">
        <f>J6*E6</f>
        <v>0</v>
      </c>
      <c r="L6" s="399">
        <f>IF(I6="",K6,I6*K6)</f>
        <v>0</v>
      </c>
      <c r="M6" s="114"/>
      <c r="N6" s="407">
        <f>IF(I6="",INT(K6*M6),INT(K6*I6*M6))</f>
        <v>0</v>
      </c>
      <c r="O6" s="407">
        <f>N6*(G6)</f>
        <v>0</v>
      </c>
      <c r="P6" s="408">
        <f>N6-O6</f>
        <v>0</v>
      </c>
      <c r="Q6" s="407">
        <f>IF(H6="",0,ROUND(P6/H6,0))</f>
        <v>0</v>
      </c>
      <c r="R6" s="407">
        <f t="shared" ref="R6:R18" si="0">IF(Q6=0,0,INT(Q6/$E$1*10))</f>
        <v>0</v>
      </c>
      <c r="S6" s="407">
        <f>IF(R6=0,0,$D$42*K6*M6/$E$1*10)</f>
        <v>0</v>
      </c>
      <c r="T6" s="328"/>
      <c r="U6" s="100"/>
      <c r="V6" s="1"/>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row>
    <row r="7" spans="1:85" ht="14.1" customHeight="1">
      <c r="A7" s="116" t="s">
        <v>33</v>
      </c>
      <c r="B7" s="783"/>
      <c r="C7" s="784"/>
      <c r="D7" s="112"/>
      <c r="E7" s="113"/>
      <c r="F7" s="113"/>
      <c r="G7" s="114"/>
      <c r="H7" s="113"/>
      <c r="I7" s="124"/>
      <c r="J7" s="118"/>
      <c r="K7" s="397">
        <f>J7*E7</f>
        <v>0</v>
      </c>
      <c r="L7" s="399">
        <f>IF(I7="",K7,I7*K7)</f>
        <v>0</v>
      </c>
      <c r="M7" s="114"/>
      <c r="N7" s="407">
        <f>IF(I7="",INT(K7*M7),INT(K7*I7*M7))</f>
        <v>0</v>
      </c>
      <c r="O7" s="407">
        <f>N7*(G7)</f>
        <v>0</v>
      </c>
      <c r="P7" s="408">
        <f>N7-O7</f>
        <v>0</v>
      </c>
      <c r="Q7" s="407">
        <f>IF(H7="",0,ROUND(P7/H7,0))</f>
        <v>0</v>
      </c>
      <c r="R7" s="407">
        <f t="shared" si="0"/>
        <v>0</v>
      </c>
      <c r="S7" s="407">
        <f>IF(R7=0,0,$D$42*K7*M7/$E$1*10)</f>
        <v>0</v>
      </c>
      <c r="T7" s="328"/>
      <c r="U7" s="100"/>
      <c r="V7" s="1"/>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row>
    <row r="8" spans="1:85" ht="14.1" customHeight="1">
      <c r="A8" s="119"/>
      <c r="B8" s="785"/>
      <c r="C8" s="786"/>
      <c r="D8" s="429"/>
      <c r="E8" s="430"/>
      <c r="F8" s="430"/>
      <c r="G8" s="431"/>
      <c r="H8" s="430"/>
      <c r="I8" s="432"/>
      <c r="J8" s="433"/>
      <c r="K8" s="400">
        <f>SUM(K5:K7)</f>
        <v>0</v>
      </c>
      <c r="L8" s="401">
        <f>SUM(L5:L7)</f>
        <v>0</v>
      </c>
      <c r="M8" s="431"/>
      <c r="N8" s="404">
        <f t="shared" ref="N8:S8" si="1">SUM(N5:N7)</f>
        <v>0</v>
      </c>
      <c r="O8" s="404">
        <f t="shared" si="1"/>
        <v>0</v>
      </c>
      <c r="P8" s="404">
        <f t="shared" si="1"/>
        <v>0</v>
      </c>
      <c r="Q8" s="404">
        <f t="shared" si="1"/>
        <v>0</v>
      </c>
      <c r="R8" s="404">
        <f t="shared" si="1"/>
        <v>0</v>
      </c>
      <c r="S8" s="404">
        <f t="shared" si="1"/>
        <v>0</v>
      </c>
      <c r="T8" s="120"/>
      <c r="U8" s="100"/>
      <c r="V8" s="1"/>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row>
    <row r="9" spans="1:85" ht="14.1" customHeight="1">
      <c r="A9" s="116"/>
      <c r="B9" s="789"/>
      <c r="C9" s="790"/>
      <c r="D9" s="112"/>
      <c r="E9" s="113"/>
      <c r="F9" s="113"/>
      <c r="G9" s="114"/>
      <c r="H9" s="113"/>
      <c r="I9" s="562"/>
      <c r="J9" s="118"/>
      <c r="K9" s="397">
        <f>J9*E9</f>
        <v>0</v>
      </c>
      <c r="L9" s="399">
        <f t="shared" ref="L9:L16" si="2">IF(I9="",K9,I9*K9)</f>
        <v>0</v>
      </c>
      <c r="M9" s="563"/>
      <c r="N9" s="407">
        <f t="shared" ref="N9:N16" si="3">IF(I9="",INT(K9*M9),INT(K9*I9*M9))</f>
        <v>0</v>
      </c>
      <c r="O9" s="407">
        <f t="shared" ref="O9:O16" si="4">N9*(G9)</f>
        <v>0</v>
      </c>
      <c r="P9" s="408">
        <f t="shared" ref="P9:P16" si="5">N9-O9</f>
        <v>0</v>
      </c>
      <c r="Q9" s="407">
        <f t="shared" ref="Q9:Q16" si="6">IF(H9="",0,ROUND(P9/H9,0))</f>
        <v>0</v>
      </c>
      <c r="R9" s="407">
        <f t="shared" si="0"/>
        <v>0</v>
      </c>
      <c r="S9" s="407">
        <f>IF(R9=0,0,$D$42*K9*M9/$E$1*10)</f>
        <v>0</v>
      </c>
      <c r="T9" s="328"/>
      <c r="U9" s="100"/>
      <c r="V9" s="1"/>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row>
    <row r="10" spans="1:85" ht="14.1" customHeight="1">
      <c r="A10" s="116"/>
      <c r="B10" s="783"/>
      <c r="C10" s="784"/>
      <c r="D10" s="112"/>
      <c r="E10" s="113"/>
      <c r="F10" s="113"/>
      <c r="G10" s="114"/>
      <c r="H10" s="113"/>
      <c r="I10" s="124"/>
      <c r="J10" s="202"/>
      <c r="K10" s="397">
        <f t="shared" ref="K10:K16" si="7">J10*E10</f>
        <v>0</v>
      </c>
      <c r="L10" s="399">
        <f t="shared" si="2"/>
        <v>0</v>
      </c>
      <c r="M10" s="114"/>
      <c r="N10" s="407">
        <f t="shared" si="3"/>
        <v>0</v>
      </c>
      <c r="O10" s="407">
        <f t="shared" si="4"/>
        <v>0</v>
      </c>
      <c r="P10" s="408">
        <f t="shared" si="5"/>
        <v>0</v>
      </c>
      <c r="Q10" s="407">
        <f t="shared" si="6"/>
        <v>0</v>
      </c>
      <c r="R10" s="407">
        <f t="shared" si="0"/>
        <v>0</v>
      </c>
      <c r="S10" s="407">
        <f>IF(R10=0,0,$D$42*K10*M10/$E$1*10)</f>
        <v>0</v>
      </c>
      <c r="T10" s="327"/>
      <c r="U10" s="100"/>
      <c r="V10" s="1"/>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row>
    <row r="11" spans="1:85" ht="14.1" customHeight="1">
      <c r="A11" s="121" t="s">
        <v>34</v>
      </c>
      <c r="B11" s="783"/>
      <c r="C11" s="784"/>
      <c r="D11" s="475"/>
      <c r="E11" s="113"/>
      <c r="F11" s="113"/>
      <c r="G11" s="114"/>
      <c r="H11" s="113"/>
      <c r="I11" s="124"/>
      <c r="J11" s="202"/>
      <c r="K11" s="397">
        <f t="shared" si="7"/>
        <v>0</v>
      </c>
      <c r="L11" s="399">
        <f t="shared" si="2"/>
        <v>0</v>
      </c>
      <c r="M11" s="114"/>
      <c r="N11" s="407">
        <f t="shared" si="3"/>
        <v>0</v>
      </c>
      <c r="O11" s="407">
        <f t="shared" si="4"/>
        <v>0</v>
      </c>
      <c r="P11" s="408">
        <f t="shared" si="5"/>
        <v>0</v>
      </c>
      <c r="Q11" s="407">
        <f t="shared" si="6"/>
        <v>0</v>
      </c>
      <c r="R11" s="407">
        <f t="shared" si="0"/>
        <v>0</v>
      </c>
      <c r="S11" s="407">
        <f>IF(R11=0,0,$D$42*K11*M11/$E$1*10)</f>
        <v>0</v>
      </c>
      <c r="T11" s="327"/>
      <c r="U11" s="100"/>
      <c r="V11" s="1"/>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row>
    <row r="12" spans="1:85" ht="14.1" customHeight="1">
      <c r="A12" s="121"/>
      <c r="B12" s="783"/>
      <c r="C12" s="784"/>
      <c r="D12" s="475"/>
      <c r="E12" s="113"/>
      <c r="F12" s="113"/>
      <c r="G12" s="114"/>
      <c r="H12" s="113"/>
      <c r="I12" s="124"/>
      <c r="J12" s="202"/>
      <c r="K12" s="397">
        <f t="shared" si="7"/>
        <v>0</v>
      </c>
      <c r="L12" s="399">
        <f t="shared" si="2"/>
        <v>0</v>
      </c>
      <c r="M12" s="114"/>
      <c r="N12" s="407">
        <f t="shared" si="3"/>
        <v>0</v>
      </c>
      <c r="O12" s="407">
        <f t="shared" si="4"/>
        <v>0</v>
      </c>
      <c r="P12" s="408">
        <f t="shared" si="5"/>
        <v>0</v>
      </c>
      <c r="Q12" s="407">
        <f t="shared" si="6"/>
        <v>0</v>
      </c>
      <c r="R12" s="407">
        <f t="shared" si="0"/>
        <v>0</v>
      </c>
      <c r="S12" s="407">
        <f>IF(R12=0,0,$D$42*K12*M12/$E$1*10)</f>
        <v>0</v>
      </c>
      <c r="T12" s="327"/>
      <c r="U12" s="100"/>
      <c r="V12" s="1"/>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row>
    <row r="13" spans="1:85" ht="14.1" customHeight="1">
      <c r="A13" s="121" t="s">
        <v>35</v>
      </c>
      <c r="B13" s="783"/>
      <c r="C13" s="784"/>
      <c r="D13" s="112"/>
      <c r="E13" s="113"/>
      <c r="F13" s="113"/>
      <c r="G13" s="114"/>
      <c r="H13" s="113"/>
      <c r="I13" s="124"/>
      <c r="J13" s="476"/>
      <c r="K13" s="397">
        <f t="shared" si="7"/>
        <v>0</v>
      </c>
      <c r="L13" s="399">
        <f t="shared" si="2"/>
        <v>0</v>
      </c>
      <c r="M13" s="114"/>
      <c r="N13" s="407">
        <f t="shared" si="3"/>
        <v>0</v>
      </c>
      <c r="O13" s="407">
        <f t="shared" si="4"/>
        <v>0</v>
      </c>
      <c r="P13" s="408">
        <f t="shared" si="5"/>
        <v>0</v>
      </c>
      <c r="Q13" s="407">
        <f t="shared" si="6"/>
        <v>0</v>
      </c>
      <c r="R13" s="407">
        <f t="shared" si="0"/>
        <v>0</v>
      </c>
      <c r="S13" s="407">
        <f>IF(R13=0,0,$D$42*K13*M13/$E$1*10)</f>
        <v>0</v>
      </c>
      <c r="T13" s="327"/>
      <c r="U13" s="100"/>
      <c r="V13" s="1"/>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row>
    <row r="14" spans="1:85" ht="14.1" customHeight="1">
      <c r="A14" s="121"/>
      <c r="B14" s="783"/>
      <c r="C14" s="784"/>
      <c r="D14" s="112"/>
      <c r="E14" s="113"/>
      <c r="F14" s="113"/>
      <c r="G14" s="123"/>
      <c r="H14" s="113"/>
      <c r="I14" s="124"/>
      <c r="J14" s="118"/>
      <c r="K14" s="402">
        <f t="shared" si="7"/>
        <v>0</v>
      </c>
      <c r="L14" s="403">
        <f t="shared" si="2"/>
        <v>0</v>
      </c>
      <c r="M14" s="114"/>
      <c r="N14" s="407">
        <f t="shared" si="3"/>
        <v>0</v>
      </c>
      <c r="O14" s="407">
        <f t="shared" si="4"/>
        <v>0</v>
      </c>
      <c r="P14" s="408">
        <f t="shared" si="5"/>
        <v>0</v>
      </c>
      <c r="Q14" s="407">
        <f t="shared" si="6"/>
        <v>0</v>
      </c>
      <c r="R14" s="407">
        <f t="shared" si="0"/>
        <v>0</v>
      </c>
      <c r="S14" s="407">
        <f>IF(R14=0,0,$D$43*K14*M14/$E$1*10)</f>
        <v>0</v>
      </c>
      <c r="T14" s="328"/>
      <c r="U14" s="100"/>
      <c r="V14" s="1"/>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row>
    <row r="15" spans="1:85" ht="14.1" customHeight="1">
      <c r="A15" s="121"/>
      <c r="B15" s="783"/>
      <c r="C15" s="784"/>
      <c r="D15" s="112"/>
      <c r="E15" s="113"/>
      <c r="F15" s="113"/>
      <c r="G15" s="123"/>
      <c r="H15" s="113"/>
      <c r="I15" s="124"/>
      <c r="J15" s="118"/>
      <c r="K15" s="402">
        <f t="shared" si="7"/>
        <v>0</v>
      </c>
      <c r="L15" s="403">
        <f t="shared" si="2"/>
        <v>0</v>
      </c>
      <c r="M15" s="114"/>
      <c r="N15" s="407">
        <f t="shared" si="3"/>
        <v>0</v>
      </c>
      <c r="O15" s="407">
        <f t="shared" si="4"/>
        <v>0</v>
      </c>
      <c r="P15" s="408">
        <f t="shared" si="5"/>
        <v>0</v>
      </c>
      <c r="Q15" s="407">
        <f t="shared" si="6"/>
        <v>0</v>
      </c>
      <c r="R15" s="407">
        <f t="shared" si="0"/>
        <v>0</v>
      </c>
      <c r="S15" s="407">
        <f>IF(R15=0,0,$D$43*K15*M15/$E$1*10)</f>
        <v>0</v>
      </c>
      <c r="T15" s="328"/>
      <c r="U15" s="100"/>
      <c r="V15" s="1"/>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row>
    <row r="16" spans="1:85" ht="14.1" customHeight="1">
      <c r="A16" s="121"/>
      <c r="B16" s="783"/>
      <c r="C16" s="784"/>
      <c r="D16" s="112"/>
      <c r="E16" s="113"/>
      <c r="F16" s="113"/>
      <c r="G16" s="114"/>
      <c r="H16" s="113"/>
      <c r="I16" s="124"/>
      <c r="J16" s="201"/>
      <c r="K16" s="397">
        <f t="shared" si="7"/>
        <v>0</v>
      </c>
      <c r="L16" s="399">
        <f t="shared" si="2"/>
        <v>0</v>
      </c>
      <c r="M16" s="114"/>
      <c r="N16" s="407">
        <f t="shared" si="3"/>
        <v>0</v>
      </c>
      <c r="O16" s="407">
        <f t="shared" si="4"/>
        <v>0</v>
      </c>
      <c r="P16" s="408">
        <f t="shared" si="5"/>
        <v>0</v>
      </c>
      <c r="Q16" s="407">
        <f t="shared" si="6"/>
        <v>0</v>
      </c>
      <c r="R16" s="407">
        <f t="shared" si="0"/>
        <v>0</v>
      </c>
      <c r="S16" s="407">
        <f>IF(R16=0,0,$D$42*K16*M16/$E$1*10)</f>
        <v>0</v>
      </c>
      <c r="T16" s="328"/>
      <c r="U16" s="100"/>
      <c r="V16" s="1"/>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row>
    <row r="17" spans="1:84" ht="14.1" customHeight="1">
      <c r="A17" s="121"/>
      <c r="B17" s="783"/>
      <c r="C17" s="784"/>
      <c r="D17" s="112"/>
      <c r="E17" s="113"/>
      <c r="F17" s="113"/>
      <c r="G17" s="114"/>
      <c r="H17" s="113"/>
      <c r="I17" s="124"/>
      <c r="J17" s="201"/>
      <c r="K17" s="397">
        <f>J17*E17</f>
        <v>0</v>
      </c>
      <c r="L17" s="399">
        <f>IF(I17="",K17,I17*K17)</f>
        <v>0</v>
      </c>
      <c r="M17" s="114"/>
      <c r="N17" s="407">
        <f>IF(I17="",INT(K17*M17),INT(K17*I17*M17))</f>
        <v>0</v>
      </c>
      <c r="O17" s="407">
        <f>N17*(G17)</f>
        <v>0</v>
      </c>
      <c r="P17" s="408">
        <f>N17-O17</f>
        <v>0</v>
      </c>
      <c r="Q17" s="407">
        <f>IF(H17="",0,ROUND(P17/H17,0))</f>
        <v>0</v>
      </c>
      <c r="R17" s="407">
        <f t="shared" si="0"/>
        <v>0</v>
      </c>
      <c r="S17" s="407">
        <f>IF(R17=0,0,$D$42*K17*M17/$E$1*10)</f>
        <v>0</v>
      </c>
      <c r="T17" s="328"/>
      <c r="U17" s="100"/>
      <c r="V17" s="1"/>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row>
    <row r="18" spans="1:84" ht="14.1" customHeight="1">
      <c r="A18" s="121"/>
      <c r="B18" s="783"/>
      <c r="C18" s="784"/>
      <c r="D18" s="112"/>
      <c r="E18" s="113"/>
      <c r="F18" s="113"/>
      <c r="G18" s="114"/>
      <c r="H18" s="113"/>
      <c r="I18" s="124"/>
      <c r="J18" s="201"/>
      <c r="K18" s="397">
        <f>J18*E18</f>
        <v>0</v>
      </c>
      <c r="L18" s="399">
        <f>IF(I18="",K18,I18*K18)</f>
        <v>0</v>
      </c>
      <c r="M18" s="114"/>
      <c r="N18" s="407">
        <f>IF(I18="",INT(K18*M18),INT(K18*I18*M18))</f>
        <v>0</v>
      </c>
      <c r="O18" s="407">
        <f>N18*(G18)</f>
        <v>0</v>
      </c>
      <c r="P18" s="408">
        <f>N18-O18</f>
        <v>0</v>
      </c>
      <c r="Q18" s="407">
        <f>IF(H18="",0,ROUND(P18/H18,0))</f>
        <v>0</v>
      </c>
      <c r="R18" s="407">
        <f t="shared" si="0"/>
        <v>0</v>
      </c>
      <c r="S18" s="407">
        <f>IF(R18=0,0,$D$42*K18*M18/$E$1*10)</f>
        <v>0</v>
      </c>
      <c r="T18" s="328"/>
      <c r="U18" s="100"/>
      <c r="V18" s="1"/>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row>
    <row r="19" spans="1:84" ht="14.1" customHeight="1">
      <c r="A19" s="122"/>
      <c r="B19" s="787"/>
      <c r="C19" s="788"/>
      <c r="D19" s="429"/>
      <c r="E19" s="430"/>
      <c r="F19" s="430"/>
      <c r="G19" s="429"/>
      <c r="H19" s="434"/>
      <c r="I19" s="435"/>
      <c r="J19" s="436"/>
      <c r="K19" s="400">
        <f>SUM(K9:K18)</f>
        <v>0</v>
      </c>
      <c r="L19" s="404">
        <f>SUM(L9:L18)</f>
        <v>0</v>
      </c>
      <c r="M19" s="429"/>
      <c r="N19" s="404">
        <f t="shared" ref="N19:S19" si="8">SUM(N9:N18)</f>
        <v>0</v>
      </c>
      <c r="O19" s="404">
        <f t="shared" si="8"/>
        <v>0</v>
      </c>
      <c r="P19" s="404">
        <f t="shared" si="8"/>
        <v>0</v>
      </c>
      <c r="Q19" s="404">
        <f t="shared" si="8"/>
        <v>0</v>
      </c>
      <c r="R19" s="404">
        <f t="shared" si="8"/>
        <v>0</v>
      </c>
      <c r="S19" s="404">
        <f t="shared" si="8"/>
        <v>0</v>
      </c>
      <c r="T19" s="120"/>
      <c r="U19" s="100"/>
      <c r="V19" s="1"/>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row>
    <row r="20" spans="1:84" ht="14.1" customHeight="1">
      <c r="A20" s="791" t="s">
        <v>287</v>
      </c>
      <c r="B20" s="789" t="s">
        <v>498</v>
      </c>
      <c r="C20" s="790"/>
      <c r="D20" s="112"/>
      <c r="E20" s="113">
        <v>1</v>
      </c>
      <c r="F20" s="113" t="s">
        <v>497</v>
      </c>
      <c r="G20" s="123">
        <v>0</v>
      </c>
      <c r="H20" s="113">
        <v>10</v>
      </c>
      <c r="I20" s="124">
        <v>1</v>
      </c>
      <c r="J20" s="202">
        <v>35000</v>
      </c>
      <c r="K20" s="397">
        <f>J20*E20</f>
        <v>35000</v>
      </c>
      <c r="L20" s="399">
        <f>IF(I20="",K20,I20*K20)</f>
        <v>35000</v>
      </c>
      <c r="M20" s="124">
        <v>1</v>
      </c>
      <c r="N20" s="407">
        <f t="shared" ref="N20:N21" si="9">IF(I20="",INT(K20*M20),INT(K20*I20*M20))</f>
        <v>35000</v>
      </c>
      <c r="O20" s="407">
        <f t="shared" ref="O20:O21" si="10">N20*(G20)</f>
        <v>0</v>
      </c>
      <c r="P20" s="408">
        <f t="shared" ref="P20:P21" si="11">N20-O20</f>
        <v>35000</v>
      </c>
      <c r="Q20" s="407">
        <f t="shared" ref="Q20:Q21" si="12">IF(H20="",0,ROUND(P20/H20,0))</f>
        <v>3500</v>
      </c>
      <c r="R20" s="407">
        <f>IF(Q20=0,0,INT(Q20/$E$1*10))</f>
        <v>350</v>
      </c>
      <c r="S20" s="409">
        <f t="shared" ref="S20:S33" si="13">IF(R20=0,0,$D$43*K20*M20/$E$1*10)</f>
        <v>140</v>
      </c>
      <c r="T20" s="328"/>
      <c r="U20" s="100"/>
      <c r="V20" s="1"/>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row>
    <row r="21" spans="1:84" ht="14.1" customHeight="1">
      <c r="A21" s="792"/>
      <c r="B21" s="783"/>
      <c r="C21" s="784"/>
      <c r="D21" s="112"/>
      <c r="E21" s="113"/>
      <c r="F21" s="113"/>
      <c r="G21" s="123"/>
      <c r="H21" s="113"/>
      <c r="I21" s="124"/>
      <c r="J21" s="202"/>
      <c r="K21" s="397">
        <f>J21*E21</f>
        <v>0</v>
      </c>
      <c r="L21" s="399">
        <f>IF(I21="",K21,I21*K21)</f>
        <v>0</v>
      </c>
      <c r="M21" s="124"/>
      <c r="N21" s="407">
        <f t="shared" si="9"/>
        <v>0</v>
      </c>
      <c r="O21" s="407">
        <f t="shared" si="10"/>
        <v>0</v>
      </c>
      <c r="P21" s="408">
        <f t="shared" si="11"/>
        <v>0</v>
      </c>
      <c r="Q21" s="407">
        <f t="shared" si="12"/>
        <v>0</v>
      </c>
      <c r="R21" s="407">
        <f t="shared" ref="R21" si="14">IF(Q21=0,0,INT(Q21/$E$1*10))</f>
        <v>0</v>
      </c>
      <c r="S21" s="407">
        <f t="shared" si="13"/>
        <v>0</v>
      </c>
      <c r="T21" s="328"/>
      <c r="U21" s="100"/>
      <c r="V21" s="1"/>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row>
    <row r="22" spans="1:84" ht="14.1" customHeight="1">
      <c r="A22" s="793"/>
      <c r="B22" s="783"/>
      <c r="C22" s="784"/>
      <c r="D22" s="112"/>
      <c r="E22" s="113"/>
      <c r="F22" s="113"/>
      <c r="G22" s="123"/>
      <c r="H22" s="113"/>
      <c r="I22" s="124"/>
      <c r="J22" s="202"/>
      <c r="K22" s="397">
        <f t="shared" ref="K22:K31" si="15">J22*E22</f>
        <v>0</v>
      </c>
      <c r="L22" s="399">
        <f t="shared" ref="L22:L31" si="16">IF(I22="",K22,I22*K22)</f>
        <v>0</v>
      </c>
      <c r="M22" s="124"/>
      <c r="N22" s="407">
        <f t="shared" ref="N22:N30" si="17">IF(I22="",INT(K22*M22),INT(K22*I22*M22))</f>
        <v>0</v>
      </c>
      <c r="O22" s="407">
        <f t="shared" ref="O22:O30" si="18">N22*(G22)</f>
        <v>0</v>
      </c>
      <c r="P22" s="408">
        <f t="shared" ref="P22:P30" si="19">N22-O22</f>
        <v>0</v>
      </c>
      <c r="Q22" s="407">
        <f t="shared" ref="Q22:Q30" si="20">IF(H22="",0,ROUND(P22/H22,0))</f>
        <v>0</v>
      </c>
      <c r="R22" s="407">
        <f t="shared" ref="R22:R30" si="21">IF(Q22=0,0,INT(Q22/$E$1*10))</f>
        <v>0</v>
      </c>
      <c r="S22" s="407">
        <f t="shared" ref="S22:S30" si="22">IF(R22=0,0,$D$43*K22*M22/$E$1*10)</f>
        <v>0</v>
      </c>
      <c r="T22" s="328"/>
      <c r="U22" s="100"/>
      <c r="V22" s="1"/>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row>
    <row r="23" spans="1:84" ht="14.1" customHeight="1">
      <c r="A23" s="793"/>
      <c r="B23" s="783"/>
      <c r="C23" s="784"/>
      <c r="D23" s="112"/>
      <c r="E23" s="113"/>
      <c r="F23" s="113"/>
      <c r="G23" s="123"/>
      <c r="H23" s="113"/>
      <c r="I23" s="124"/>
      <c r="J23" s="202"/>
      <c r="K23" s="397">
        <f t="shared" si="15"/>
        <v>0</v>
      </c>
      <c r="L23" s="399">
        <f t="shared" si="16"/>
        <v>0</v>
      </c>
      <c r="M23" s="124"/>
      <c r="N23" s="407">
        <f t="shared" si="17"/>
        <v>0</v>
      </c>
      <c r="O23" s="407">
        <f t="shared" si="18"/>
        <v>0</v>
      </c>
      <c r="P23" s="408">
        <f t="shared" si="19"/>
        <v>0</v>
      </c>
      <c r="Q23" s="407">
        <f t="shared" si="20"/>
        <v>0</v>
      </c>
      <c r="R23" s="407">
        <f t="shared" si="21"/>
        <v>0</v>
      </c>
      <c r="S23" s="407">
        <f t="shared" si="22"/>
        <v>0</v>
      </c>
      <c r="T23" s="328"/>
      <c r="U23" s="100"/>
      <c r="V23" s="1"/>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row>
    <row r="24" spans="1:84" ht="14.1" customHeight="1">
      <c r="A24" s="793"/>
      <c r="B24" s="783"/>
      <c r="C24" s="784"/>
      <c r="D24" s="112"/>
      <c r="E24" s="113"/>
      <c r="F24" s="113"/>
      <c r="G24" s="123"/>
      <c r="H24" s="113"/>
      <c r="I24" s="124"/>
      <c r="J24" s="202"/>
      <c r="K24" s="397">
        <f t="shared" si="15"/>
        <v>0</v>
      </c>
      <c r="L24" s="399">
        <f t="shared" si="16"/>
        <v>0</v>
      </c>
      <c r="M24" s="124"/>
      <c r="N24" s="407">
        <f t="shared" si="17"/>
        <v>0</v>
      </c>
      <c r="O24" s="407">
        <f t="shared" si="18"/>
        <v>0</v>
      </c>
      <c r="P24" s="408">
        <f t="shared" si="19"/>
        <v>0</v>
      </c>
      <c r="Q24" s="407">
        <f t="shared" si="20"/>
        <v>0</v>
      </c>
      <c r="R24" s="407">
        <f t="shared" si="21"/>
        <v>0</v>
      </c>
      <c r="S24" s="407">
        <f t="shared" si="22"/>
        <v>0</v>
      </c>
      <c r="T24" s="328"/>
      <c r="U24" s="100"/>
      <c r="V24" s="1"/>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row>
    <row r="25" spans="1:84" ht="14.1" customHeight="1">
      <c r="A25" s="793"/>
      <c r="B25" s="783"/>
      <c r="C25" s="784"/>
      <c r="D25" s="112"/>
      <c r="E25" s="113"/>
      <c r="F25" s="113"/>
      <c r="G25" s="123"/>
      <c r="H25" s="113"/>
      <c r="I25" s="124"/>
      <c r="J25" s="202"/>
      <c r="K25" s="397">
        <f t="shared" si="15"/>
        <v>0</v>
      </c>
      <c r="L25" s="399">
        <f t="shared" si="16"/>
        <v>0</v>
      </c>
      <c r="M25" s="124"/>
      <c r="N25" s="407">
        <f t="shared" si="17"/>
        <v>0</v>
      </c>
      <c r="O25" s="407">
        <f t="shared" si="18"/>
        <v>0</v>
      </c>
      <c r="P25" s="408">
        <f t="shared" si="19"/>
        <v>0</v>
      </c>
      <c r="Q25" s="407">
        <f t="shared" si="20"/>
        <v>0</v>
      </c>
      <c r="R25" s="407">
        <f t="shared" si="21"/>
        <v>0</v>
      </c>
      <c r="S25" s="407">
        <f t="shared" si="22"/>
        <v>0</v>
      </c>
      <c r="T25" s="328"/>
      <c r="U25" s="100"/>
      <c r="V25" s="1"/>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row>
    <row r="26" spans="1:84" ht="14.1" customHeight="1">
      <c r="A26" s="793"/>
      <c r="B26" s="783"/>
      <c r="C26" s="784"/>
      <c r="D26" s="112"/>
      <c r="E26" s="113"/>
      <c r="F26" s="113"/>
      <c r="G26" s="123"/>
      <c r="H26" s="113"/>
      <c r="I26" s="124"/>
      <c r="J26" s="202"/>
      <c r="K26" s="397">
        <f t="shared" si="15"/>
        <v>0</v>
      </c>
      <c r="L26" s="399">
        <f t="shared" si="16"/>
        <v>0</v>
      </c>
      <c r="M26" s="124"/>
      <c r="N26" s="407">
        <f t="shared" si="17"/>
        <v>0</v>
      </c>
      <c r="O26" s="407">
        <f t="shared" si="18"/>
        <v>0</v>
      </c>
      <c r="P26" s="408">
        <f t="shared" si="19"/>
        <v>0</v>
      </c>
      <c r="Q26" s="407">
        <f t="shared" si="20"/>
        <v>0</v>
      </c>
      <c r="R26" s="407">
        <f t="shared" si="21"/>
        <v>0</v>
      </c>
      <c r="S26" s="407">
        <f t="shared" si="22"/>
        <v>0</v>
      </c>
      <c r="T26" s="328"/>
      <c r="U26" s="100"/>
      <c r="V26" s="1"/>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row>
    <row r="27" spans="1:84" ht="14.1" customHeight="1">
      <c r="A27" s="793"/>
      <c r="B27" s="783"/>
      <c r="C27" s="784"/>
      <c r="D27" s="112"/>
      <c r="E27" s="113"/>
      <c r="F27" s="113"/>
      <c r="G27" s="123"/>
      <c r="H27" s="113"/>
      <c r="I27" s="124"/>
      <c r="J27" s="202"/>
      <c r="K27" s="397">
        <f t="shared" si="15"/>
        <v>0</v>
      </c>
      <c r="L27" s="399">
        <f t="shared" si="16"/>
        <v>0</v>
      </c>
      <c r="M27" s="124"/>
      <c r="N27" s="407">
        <f t="shared" si="17"/>
        <v>0</v>
      </c>
      <c r="O27" s="407">
        <f t="shared" si="18"/>
        <v>0</v>
      </c>
      <c r="P27" s="408">
        <f t="shared" si="19"/>
        <v>0</v>
      </c>
      <c r="Q27" s="407">
        <f t="shared" si="20"/>
        <v>0</v>
      </c>
      <c r="R27" s="407">
        <f t="shared" si="21"/>
        <v>0</v>
      </c>
      <c r="S27" s="407">
        <f t="shared" si="22"/>
        <v>0</v>
      </c>
      <c r="T27" s="328"/>
      <c r="U27" s="100"/>
      <c r="V27" s="1"/>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row>
    <row r="28" spans="1:84" ht="14.1" customHeight="1">
      <c r="A28" s="793"/>
      <c r="B28" s="783"/>
      <c r="C28" s="784"/>
      <c r="D28" s="112"/>
      <c r="E28" s="113"/>
      <c r="F28" s="113"/>
      <c r="G28" s="123"/>
      <c r="H28" s="113"/>
      <c r="I28" s="124"/>
      <c r="J28" s="202"/>
      <c r="K28" s="397">
        <f t="shared" si="15"/>
        <v>0</v>
      </c>
      <c r="L28" s="399">
        <f t="shared" si="16"/>
        <v>0</v>
      </c>
      <c r="M28" s="124"/>
      <c r="N28" s="407">
        <f t="shared" si="17"/>
        <v>0</v>
      </c>
      <c r="O28" s="407">
        <f t="shared" si="18"/>
        <v>0</v>
      </c>
      <c r="P28" s="408">
        <f t="shared" si="19"/>
        <v>0</v>
      </c>
      <c r="Q28" s="407">
        <f t="shared" si="20"/>
        <v>0</v>
      </c>
      <c r="R28" s="407">
        <f t="shared" si="21"/>
        <v>0</v>
      </c>
      <c r="S28" s="407">
        <f t="shared" si="22"/>
        <v>0</v>
      </c>
      <c r="T28" s="328"/>
      <c r="U28" s="100"/>
      <c r="V28" s="1"/>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row>
    <row r="29" spans="1:84" ht="14.1" customHeight="1">
      <c r="A29" s="792"/>
      <c r="B29" s="783"/>
      <c r="C29" s="784"/>
      <c r="D29" s="112"/>
      <c r="E29" s="113"/>
      <c r="F29" s="113"/>
      <c r="G29" s="123"/>
      <c r="H29" s="113"/>
      <c r="I29" s="124"/>
      <c r="J29" s="118"/>
      <c r="K29" s="397">
        <f t="shared" si="15"/>
        <v>0</v>
      </c>
      <c r="L29" s="399">
        <f t="shared" si="16"/>
        <v>0</v>
      </c>
      <c r="M29" s="124"/>
      <c r="N29" s="407">
        <f t="shared" si="17"/>
        <v>0</v>
      </c>
      <c r="O29" s="407">
        <f t="shared" si="18"/>
        <v>0</v>
      </c>
      <c r="P29" s="408">
        <f t="shared" si="19"/>
        <v>0</v>
      </c>
      <c r="Q29" s="407">
        <f t="shared" si="20"/>
        <v>0</v>
      </c>
      <c r="R29" s="407">
        <f t="shared" si="21"/>
        <v>0</v>
      </c>
      <c r="S29" s="407">
        <f t="shared" si="22"/>
        <v>0</v>
      </c>
      <c r="T29" s="328"/>
      <c r="U29" s="100"/>
      <c r="V29" s="1"/>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row>
    <row r="30" spans="1:84" ht="14.1" customHeight="1">
      <c r="A30" s="792"/>
      <c r="B30" s="783"/>
      <c r="C30" s="784"/>
      <c r="D30" s="112"/>
      <c r="E30" s="113"/>
      <c r="F30" s="113"/>
      <c r="G30" s="123"/>
      <c r="H30" s="113"/>
      <c r="I30" s="124"/>
      <c r="J30" s="118"/>
      <c r="K30" s="397">
        <f t="shared" si="15"/>
        <v>0</v>
      </c>
      <c r="L30" s="399">
        <f t="shared" si="16"/>
        <v>0</v>
      </c>
      <c r="M30" s="124"/>
      <c r="N30" s="407">
        <f t="shared" si="17"/>
        <v>0</v>
      </c>
      <c r="O30" s="407">
        <f t="shared" si="18"/>
        <v>0</v>
      </c>
      <c r="P30" s="408">
        <f t="shared" si="19"/>
        <v>0</v>
      </c>
      <c r="Q30" s="407">
        <f t="shared" si="20"/>
        <v>0</v>
      </c>
      <c r="R30" s="407">
        <f t="shared" si="21"/>
        <v>0</v>
      </c>
      <c r="S30" s="407">
        <f t="shared" si="22"/>
        <v>0</v>
      </c>
      <c r="T30" s="328"/>
      <c r="U30" s="100"/>
      <c r="V30" s="1"/>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row>
    <row r="31" spans="1:84" ht="14.1" customHeight="1">
      <c r="A31" s="792"/>
      <c r="B31" s="783"/>
      <c r="C31" s="784"/>
      <c r="D31" s="112"/>
      <c r="E31" s="113"/>
      <c r="F31" s="113"/>
      <c r="G31" s="123"/>
      <c r="H31" s="113"/>
      <c r="I31" s="124"/>
      <c r="J31" s="118"/>
      <c r="K31" s="397">
        <f t="shared" si="15"/>
        <v>0</v>
      </c>
      <c r="L31" s="399">
        <f t="shared" si="16"/>
        <v>0</v>
      </c>
      <c r="M31" s="124"/>
      <c r="N31" s="407">
        <f t="shared" ref="N31:N33" si="23">IF(I31="",INT(K31*M31),INT(K31*I31*M31))</f>
        <v>0</v>
      </c>
      <c r="O31" s="407">
        <f t="shared" ref="O31:O33" si="24">N31*(G31)</f>
        <v>0</v>
      </c>
      <c r="P31" s="408">
        <f t="shared" ref="P31:P33" si="25">N31-O31</f>
        <v>0</v>
      </c>
      <c r="Q31" s="407">
        <f t="shared" ref="Q31:Q33" si="26">IF(H31="",0,ROUND(P31/H31,0))</f>
        <v>0</v>
      </c>
      <c r="R31" s="407">
        <f t="shared" ref="R31:R33" si="27">IF(Q31=0,0,INT(Q31/$E$1*10))</f>
        <v>0</v>
      </c>
      <c r="S31" s="407">
        <f t="shared" si="13"/>
        <v>0</v>
      </c>
      <c r="T31" s="328"/>
      <c r="U31" s="100"/>
      <c r="V31" s="1"/>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row>
    <row r="32" spans="1:84" ht="14.1" customHeight="1">
      <c r="A32" s="792"/>
      <c r="B32" s="783"/>
      <c r="C32" s="784"/>
      <c r="D32" s="112"/>
      <c r="E32" s="113"/>
      <c r="F32" s="113"/>
      <c r="G32" s="123"/>
      <c r="H32" s="113"/>
      <c r="I32" s="124"/>
      <c r="J32" s="118"/>
      <c r="K32" s="402">
        <f t="shared" ref="K32:K36" si="28">J32*E32</f>
        <v>0</v>
      </c>
      <c r="L32" s="403">
        <f t="shared" ref="L32:L33" si="29">IF(I32="",K32,I32*K32)</f>
        <v>0</v>
      </c>
      <c r="M32" s="124"/>
      <c r="N32" s="407">
        <f t="shared" si="23"/>
        <v>0</v>
      </c>
      <c r="O32" s="407">
        <f t="shared" si="24"/>
        <v>0</v>
      </c>
      <c r="P32" s="408">
        <f t="shared" si="25"/>
        <v>0</v>
      </c>
      <c r="Q32" s="407">
        <f t="shared" si="26"/>
        <v>0</v>
      </c>
      <c r="R32" s="407">
        <f t="shared" si="27"/>
        <v>0</v>
      </c>
      <c r="S32" s="407">
        <f t="shared" si="13"/>
        <v>0</v>
      </c>
      <c r="T32" s="328"/>
      <c r="U32" s="100"/>
      <c r="V32" s="1"/>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row>
    <row r="33" spans="1:84" ht="14.1" customHeight="1">
      <c r="A33" s="792"/>
      <c r="B33" s="783"/>
      <c r="C33" s="784"/>
      <c r="D33" s="112"/>
      <c r="E33" s="113"/>
      <c r="F33" s="113"/>
      <c r="G33" s="123"/>
      <c r="H33" s="113"/>
      <c r="I33" s="124"/>
      <c r="J33" s="118"/>
      <c r="K33" s="402">
        <f t="shared" si="28"/>
        <v>0</v>
      </c>
      <c r="L33" s="403">
        <f t="shared" si="29"/>
        <v>0</v>
      </c>
      <c r="M33" s="124"/>
      <c r="N33" s="407">
        <f t="shared" si="23"/>
        <v>0</v>
      </c>
      <c r="O33" s="407">
        <f t="shared" si="24"/>
        <v>0</v>
      </c>
      <c r="P33" s="408">
        <f t="shared" si="25"/>
        <v>0</v>
      </c>
      <c r="Q33" s="407">
        <f t="shared" si="26"/>
        <v>0</v>
      </c>
      <c r="R33" s="407">
        <f t="shared" si="27"/>
        <v>0</v>
      </c>
      <c r="S33" s="407">
        <f t="shared" si="13"/>
        <v>0</v>
      </c>
      <c r="T33" s="328"/>
      <c r="U33" s="100"/>
      <c r="V33" s="1"/>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row>
    <row r="34" spans="1:84" ht="14.1" customHeight="1">
      <c r="A34" s="794"/>
      <c r="B34" s="785" t="s">
        <v>36</v>
      </c>
      <c r="C34" s="786"/>
      <c r="D34" s="429"/>
      <c r="E34" s="430"/>
      <c r="F34" s="430"/>
      <c r="G34" s="437"/>
      <c r="H34" s="636">
        <f>IF(P34&gt;0,P34/Q34,"")</f>
        <v>10</v>
      </c>
      <c r="I34" s="435"/>
      <c r="J34" s="433"/>
      <c r="K34" s="405">
        <f>SUM(K20:K33)</f>
        <v>35000</v>
      </c>
      <c r="L34" s="404">
        <f>SUM(L20:L33)</f>
        <v>35000</v>
      </c>
      <c r="M34" s="429"/>
      <c r="N34" s="404">
        <f t="shared" ref="N34:S34" si="30">SUM(N20:N33)</f>
        <v>35000</v>
      </c>
      <c r="O34" s="404">
        <f t="shared" si="30"/>
        <v>0</v>
      </c>
      <c r="P34" s="404">
        <f t="shared" si="30"/>
        <v>35000</v>
      </c>
      <c r="Q34" s="404">
        <f t="shared" si="30"/>
        <v>3500</v>
      </c>
      <c r="R34" s="404">
        <f t="shared" si="30"/>
        <v>350</v>
      </c>
      <c r="S34" s="404">
        <f t="shared" si="30"/>
        <v>140</v>
      </c>
      <c r="T34" s="120"/>
      <c r="U34" s="100"/>
      <c r="V34" s="1"/>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row>
    <row r="35" spans="1:84" ht="14.1" customHeight="1">
      <c r="A35" s="795" t="s">
        <v>37</v>
      </c>
      <c r="B35" s="796"/>
      <c r="C35" s="796"/>
      <c r="D35" s="112"/>
      <c r="E35" s="113"/>
      <c r="F35" s="113"/>
      <c r="G35" s="123"/>
      <c r="H35" s="113"/>
      <c r="I35" s="124"/>
      <c r="J35" s="118"/>
      <c r="K35" s="397">
        <f t="shared" si="28"/>
        <v>0</v>
      </c>
      <c r="L35" s="399">
        <f>K35</f>
        <v>0</v>
      </c>
      <c r="M35" s="124"/>
      <c r="N35" s="566">
        <f t="shared" ref="N35:N36" si="31">IF(I35="",INT(K35*M35),INT(K35*I35*M35))</f>
        <v>0</v>
      </c>
      <c r="O35" s="407">
        <f>N35*(G35)</f>
        <v>0</v>
      </c>
      <c r="P35" s="408">
        <f>N35-O35</f>
        <v>0</v>
      </c>
      <c r="Q35" s="407">
        <f>IF(H35="",0,ROUND(P35/H35,0))</f>
        <v>0</v>
      </c>
      <c r="R35" s="407">
        <f>IF(Q35=0,0,INT(Q35/$E$1*10))</f>
        <v>0</v>
      </c>
      <c r="S35" s="407"/>
      <c r="T35" s="328"/>
      <c r="U35" s="100"/>
      <c r="V35" s="1"/>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row>
    <row r="36" spans="1:84" ht="14.1" customHeight="1">
      <c r="A36" s="795"/>
      <c r="B36" s="797"/>
      <c r="C36" s="797"/>
      <c r="D36" s="112"/>
      <c r="E36" s="113"/>
      <c r="F36" s="113"/>
      <c r="G36" s="123"/>
      <c r="H36" s="113"/>
      <c r="I36" s="124"/>
      <c r="J36" s="118"/>
      <c r="K36" s="397">
        <f t="shared" si="28"/>
        <v>0</v>
      </c>
      <c r="L36" s="399">
        <f>K36</f>
        <v>0</v>
      </c>
      <c r="M36" s="124"/>
      <c r="N36" s="566">
        <f t="shared" si="31"/>
        <v>0</v>
      </c>
      <c r="O36" s="407">
        <f>N36*(G36)</f>
        <v>0</v>
      </c>
      <c r="P36" s="408">
        <f>N36-O36</f>
        <v>0</v>
      </c>
      <c r="Q36" s="407">
        <f>IF(H36="",0,ROUND(P36/H36,0))</f>
        <v>0</v>
      </c>
      <c r="R36" s="407">
        <f>IF(Q36=0,0,INT(Q36/$E$1*10))</f>
        <v>0</v>
      </c>
      <c r="S36" s="407"/>
      <c r="T36" s="328"/>
      <c r="U36" s="100"/>
      <c r="V36" s="1"/>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row>
    <row r="37" spans="1:84" ht="14.1" customHeight="1">
      <c r="A37" s="795"/>
      <c r="B37" s="785" t="s">
        <v>38</v>
      </c>
      <c r="C37" s="786"/>
      <c r="D37" s="429"/>
      <c r="E37" s="430"/>
      <c r="F37" s="430"/>
      <c r="G37" s="429"/>
      <c r="H37" s="438" t="str">
        <f>IF(P37&gt;0,P37/Q37,"")</f>
        <v/>
      </c>
      <c r="I37" s="435"/>
      <c r="J37" s="433"/>
      <c r="K37" s="400"/>
      <c r="L37" s="404">
        <f>L36+L35</f>
        <v>0</v>
      </c>
      <c r="M37" s="429"/>
      <c r="N37" s="404">
        <f>N36+N35</f>
        <v>0</v>
      </c>
      <c r="O37" s="404">
        <f>O36+O35</f>
        <v>0</v>
      </c>
      <c r="P37" s="404">
        <f>P36+P35</f>
        <v>0</v>
      </c>
      <c r="Q37" s="404">
        <f>Q36+Q35</f>
        <v>0</v>
      </c>
      <c r="R37" s="404">
        <f>R36+R35</f>
        <v>0</v>
      </c>
      <c r="S37" s="404"/>
      <c r="T37" s="120"/>
      <c r="U37" s="100"/>
      <c r="V37" s="1"/>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row>
    <row r="38" spans="1:84" ht="14.1" customHeight="1">
      <c r="A38" s="125"/>
      <c r="B38" s="439"/>
      <c r="C38" s="429" t="s">
        <v>39</v>
      </c>
      <c r="D38" s="429"/>
      <c r="E38" s="429"/>
      <c r="F38" s="429"/>
      <c r="G38" s="429"/>
      <c r="H38" s="429"/>
      <c r="I38" s="429"/>
      <c r="J38" s="433"/>
      <c r="K38" s="400">
        <f>K37+K34+K19+K8</f>
        <v>35000</v>
      </c>
      <c r="L38" s="406">
        <f>L37+L34+L19+L8</f>
        <v>35000</v>
      </c>
      <c r="M38" s="440"/>
      <c r="N38" s="410">
        <f t="shared" ref="N38:S38" si="32">N37+N34+N19+N8</f>
        <v>35000</v>
      </c>
      <c r="O38" s="410">
        <f t="shared" si="32"/>
        <v>0</v>
      </c>
      <c r="P38" s="410">
        <f t="shared" si="32"/>
        <v>35000</v>
      </c>
      <c r="Q38" s="410">
        <f t="shared" si="32"/>
        <v>3500</v>
      </c>
      <c r="R38" s="410">
        <f t="shared" si="32"/>
        <v>350</v>
      </c>
      <c r="S38" s="410">
        <f t="shared" si="32"/>
        <v>140</v>
      </c>
      <c r="T38" s="126"/>
      <c r="U38" s="100"/>
      <c r="V38" s="1"/>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row>
    <row r="39" spans="1:84" ht="12" customHeight="1">
      <c r="C39" s="93"/>
      <c r="D39" s="93"/>
      <c r="E39" s="93"/>
      <c r="F39" s="93"/>
      <c r="J39" s="93"/>
      <c r="K39" s="93"/>
      <c r="L39" s="127">
        <f>L38-L37</f>
        <v>35000</v>
      </c>
      <c r="M39" s="93"/>
      <c r="N39" s="128"/>
      <c r="O39" s="93"/>
      <c r="P39" s="127">
        <f>P34+P19+P8</f>
        <v>35000</v>
      </c>
      <c r="Q39" s="127">
        <f>Q34+Q19+Q8</f>
        <v>3500</v>
      </c>
      <c r="R39" s="128"/>
      <c r="S39" s="128"/>
      <c r="T39" s="93"/>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row>
    <row r="40" spans="1:84" ht="6" customHeight="1">
      <c r="C40" s="93"/>
      <c r="D40" s="93"/>
      <c r="E40" s="93"/>
      <c r="F40" s="93"/>
      <c r="J40" s="93"/>
      <c r="K40" s="93"/>
      <c r="L40" s="93"/>
      <c r="M40" s="93"/>
      <c r="N40" s="93"/>
      <c r="O40" s="93"/>
      <c r="P40" s="93"/>
      <c r="Q40" s="93"/>
      <c r="R40" s="93"/>
      <c r="S40" s="93"/>
      <c r="T40" s="93"/>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row>
    <row r="41" spans="1:84" ht="13.5" customHeight="1">
      <c r="B41" s="415" t="s">
        <v>40</v>
      </c>
      <c r="C41" s="129"/>
      <c r="D41" s="130" t="s">
        <v>41</v>
      </c>
      <c r="E41" s="93"/>
      <c r="F41" s="131"/>
      <c r="G41" s="132"/>
      <c r="H41" s="47"/>
      <c r="I41" s="133" t="s">
        <v>42</v>
      </c>
      <c r="J41" s="134"/>
      <c r="K41" s="134"/>
      <c r="L41" s="135" t="s">
        <v>43</v>
      </c>
      <c r="M41" s="804" t="s">
        <v>44</v>
      </c>
      <c r="N41" s="804"/>
      <c r="O41" s="207" t="s">
        <v>45</v>
      </c>
      <c r="P41" s="93"/>
      <c r="Q41" s="136" t="s">
        <v>46</v>
      </c>
      <c r="R41" s="137"/>
      <c r="S41" s="93"/>
      <c r="T41" s="93"/>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row>
    <row r="42" spans="1:84" ht="13.5" customHeight="1">
      <c r="A42" s="47"/>
      <c r="B42" s="138" t="s">
        <v>47</v>
      </c>
      <c r="C42" s="139" t="s">
        <v>48</v>
      </c>
      <c r="D42" s="140">
        <v>0.01</v>
      </c>
      <c r="E42" s="47"/>
      <c r="F42" s="141"/>
      <c r="G42" s="132"/>
      <c r="H42" s="47"/>
      <c r="I42" s="142"/>
      <c r="J42" s="141" t="s">
        <v>49</v>
      </c>
      <c r="K42" s="143"/>
      <c r="L42" s="144">
        <f>(N38-O38)/2+O38</f>
        <v>17500</v>
      </c>
      <c r="M42" s="208"/>
      <c r="N42" s="209">
        <f>((N34+N8-O34-O8)/2+O34+O8)</f>
        <v>17500</v>
      </c>
      <c r="O42" s="209">
        <f>(N19-O19)/2+O19</f>
        <v>0</v>
      </c>
      <c r="P42" s="47"/>
      <c r="Q42" s="145" t="s">
        <v>50</v>
      </c>
      <c r="R42" s="146">
        <f>IF(P8=0,0,P8/Q8)</f>
        <v>0</v>
      </c>
      <c r="S42" s="47"/>
      <c r="T42" s="47"/>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row>
    <row r="43" spans="1:84" ht="13.5" customHeight="1">
      <c r="A43" s="47"/>
      <c r="B43" s="147" t="s">
        <v>51</v>
      </c>
      <c r="C43" s="148" t="s">
        <v>52</v>
      </c>
      <c r="D43" s="149">
        <v>0.04</v>
      </c>
      <c r="E43" s="47"/>
      <c r="F43" s="141"/>
      <c r="G43" s="132"/>
      <c r="H43" s="47"/>
      <c r="I43" s="142"/>
      <c r="J43" s="781" t="s">
        <v>53</v>
      </c>
      <c r="K43" s="782"/>
      <c r="L43" s="150">
        <v>0.5</v>
      </c>
      <c r="M43" s="210"/>
      <c r="N43" s="211">
        <f>L43</f>
        <v>0.5</v>
      </c>
      <c r="O43" s="211">
        <f>N43</f>
        <v>0.5</v>
      </c>
      <c r="P43" s="47"/>
      <c r="Q43" s="151" t="s">
        <v>45</v>
      </c>
      <c r="R43" s="152">
        <f>IF(P19=0,0,P19/Q19)</f>
        <v>0</v>
      </c>
      <c r="S43" s="47"/>
      <c r="T43" s="47"/>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84" ht="13.5" customHeight="1">
      <c r="A44" s="47"/>
      <c r="B44" s="47"/>
      <c r="C44" s="47"/>
      <c r="D44" s="47"/>
      <c r="E44" s="47"/>
      <c r="F44" s="141"/>
      <c r="G44" s="132"/>
      <c r="H44" s="47"/>
      <c r="I44" s="142"/>
      <c r="J44" s="141" t="s">
        <v>54</v>
      </c>
      <c r="K44" s="141"/>
      <c r="L44" s="144">
        <f>L43*L42</f>
        <v>8750</v>
      </c>
      <c r="M44" s="210"/>
      <c r="N44" s="212">
        <f>N43*N42</f>
        <v>8750</v>
      </c>
      <c r="O44" s="212">
        <f>O43*O42</f>
        <v>0</v>
      </c>
      <c r="P44" s="47"/>
      <c r="Q44" s="151" t="s">
        <v>55</v>
      </c>
      <c r="R44" s="152">
        <f>IF(P34=0,0,P34/Q34)</f>
        <v>10</v>
      </c>
      <c r="S44" s="47"/>
      <c r="T44" s="47"/>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84" ht="13.5" customHeight="1">
      <c r="A45" s="47"/>
      <c r="B45" s="47"/>
      <c r="C45" s="47"/>
      <c r="D45" s="47"/>
      <c r="E45" s="47"/>
      <c r="F45" s="141"/>
      <c r="G45" s="132"/>
      <c r="H45" s="47"/>
      <c r="I45" s="142"/>
      <c r="J45" s="141" t="s">
        <v>56</v>
      </c>
      <c r="K45" s="141"/>
      <c r="L45" s="144">
        <f>IF($E$1=0,0,L44/$E$1*10)</f>
        <v>875</v>
      </c>
      <c r="M45" s="210"/>
      <c r="N45" s="213">
        <f>IF($E$1=0,0,N44/$E$1*10)</f>
        <v>875</v>
      </c>
      <c r="O45" s="213">
        <f>IF($E$1=0,0,O44/$E$1*10)</f>
        <v>0</v>
      </c>
      <c r="P45" s="47"/>
      <c r="Q45" s="153" t="s">
        <v>43</v>
      </c>
      <c r="R45" s="154">
        <f>IF(P37=0,0,(P38-P37)/(Q38-Q37))</f>
        <v>0</v>
      </c>
      <c r="S45" s="47"/>
      <c r="T45" s="47"/>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84" ht="13.5" customHeight="1">
      <c r="A46" s="47"/>
      <c r="B46" s="47"/>
      <c r="C46" s="47"/>
      <c r="D46" s="47"/>
      <c r="E46" s="47"/>
      <c r="F46" s="141"/>
      <c r="G46" s="132"/>
      <c r="H46" s="47"/>
      <c r="I46" s="142"/>
      <c r="J46" s="141" t="s">
        <v>57</v>
      </c>
      <c r="K46" s="141"/>
      <c r="L46" s="155">
        <v>0.02</v>
      </c>
      <c r="M46" s="210"/>
      <c r="N46" s="211">
        <f>L46</f>
        <v>0.02</v>
      </c>
      <c r="O46" s="211">
        <f>N46</f>
        <v>0.02</v>
      </c>
      <c r="P46" s="47"/>
      <c r="Q46" s="47"/>
      <c r="R46" s="47"/>
      <c r="S46" s="47"/>
      <c r="T46" s="47"/>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84" ht="13.5" customHeight="1">
      <c r="A47" s="47"/>
      <c r="B47" s="47"/>
      <c r="C47" s="47"/>
      <c r="D47" s="47"/>
      <c r="E47" s="47"/>
      <c r="F47" s="141"/>
      <c r="G47" s="132"/>
      <c r="H47" s="47"/>
      <c r="I47" s="156"/>
      <c r="J47" s="157" t="s">
        <v>58</v>
      </c>
      <c r="K47" s="157"/>
      <c r="L47" s="158">
        <f>INT(L46*L45)</f>
        <v>17</v>
      </c>
      <c r="M47" s="214"/>
      <c r="N47" s="215">
        <f>INT(N46*N45)</f>
        <v>17</v>
      </c>
      <c r="O47" s="215">
        <f>INT(O46*O45)</f>
        <v>0</v>
      </c>
      <c r="P47" s="47"/>
      <c r="Q47" s="47"/>
      <c r="R47" s="47"/>
      <c r="S47" s="47"/>
      <c r="T47" s="47"/>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84" ht="13.5" customHeight="1">
      <c r="A48" s="100"/>
      <c r="B48" s="100"/>
      <c r="C48" s="100"/>
      <c r="D48" s="100"/>
      <c r="E48" s="100"/>
      <c r="F48" s="100"/>
      <c r="J48" s="100"/>
      <c r="K48" s="100"/>
      <c r="L48" s="100"/>
      <c r="M48" s="22"/>
      <c r="N48" s="22"/>
      <c r="O48" s="22"/>
      <c r="P48" s="22"/>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41" ht="13.5" customHeight="1">
      <c r="A49" s="100"/>
      <c r="B49" s="100"/>
      <c r="C49" s="100"/>
      <c r="D49" s="100"/>
      <c r="E49" s="100"/>
      <c r="F49" s="100"/>
      <c r="J49" s="100"/>
      <c r="K49" s="100"/>
      <c r="L49" s="100"/>
      <c r="M49" s="22"/>
      <c r="N49" s="22"/>
      <c r="O49" s="22"/>
      <c r="P49" s="22"/>
      <c r="Q49" s="100"/>
      <c r="R49" s="100"/>
      <c r="S49" s="100"/>
      <c r="T49" s="100"/>
      <c r="U49" s="100"/>
      <c r="V49" s="100"/>
      <c r="W49" s="100"/>
      <c r="X49" s="100"/>
      <c r="Y49" s="100"/>
      <c r="Z49" s="100"/>
      <c r="AA49" s="100"/>
      <c r="AB49" s="100"/>
      <c r="AC49" s="100"/>
    </row>
    <row r="50" spans="1:41" ht="13.5" customHeight="1">
      <c r="A50" s="100"/>
      <c r="B50" s="100"/>
      <c r="C50" s="100"/>
      <c r="D50" s="100"/>
      <c r="E50" s="100"/>
      <c r="F50" s="100"/>
      <c r="J50" s="100"/>
      <c r="K50" s="100"/>
      <c r="L50" s="100"/>
      <c r="M50" s="22"/>
      <c r="N50" s="22"/>
      <c r="O50" s="22"/>
      <c r="P50" s="22"/>
      <c r="Q50" s="100"/>
      <c r="R50" s="100"/>
      <c r="S50" s="100"/>
      <c r="T50" s="100"/>
      <c r="U50" s="100"/>
      <c r="V50" s="100"/>
      <c r="W50" s="100"/>
      <c r="X50" s="100"/>
      <c r="Y50" s="100"/>
      <c r="Z50" s="100"/>
      <c r="AA50" s="100"/>
      <c r="AB50" s="100"/>
      <c r="AC50" s="100"/>
    </row>
    <row r="51" spans="1:41" ht="13.5" customHeight="1">
      <c r="A51" s="100"/>
      <c r="B51" s="100"/>
      <c r="C51" s="100"/>
      <c r="D51" s="100"/>
      <c r="E51" s="100"/>
      <c r="F51" s="100"/>
      <c r="J51" s="100"/>
      <c r="K51" s="100"/>
      <c r="L51" s="100"/>
      <c r="M51" s="22"/>
      <c r="N51" s="22"/>
      <c r="O51" s="22"/>
      <c r="P51" s="22"/>
      <c r="Q51" s="100"/>
      <c r="R51" s="100"/>
      <c r="S51" s="100"/>
      <c r="T51" s="100"/>
      <c r="U51" s="100"/>
      <c r="V51" s="100"/>
      <c r="W51" s="100"/>
      <c r="X51" s="100"/>
      <c r="Y51" s="100"/>
      <c r="Z51" s="100"/>
      <c r="AA51" s="100"/>
      <c r="AB51" s="100"/>
      <c r="AC51" s="100"/>
    </row>
    <row r="52" spans="1:41" ht="13.5" customHeight="1">
      <c r="A52" s="100"/>
      <c r="B52" s="100"/>
      <c r="C52" s="100"/>
      <c r="D52" s="100"/>
      <c r="E52" s="100"/>
      <c r="F52" s="100"/>
      <c r="J52" s="100"/>
      <c r="K52" s="100"/>
      <c r="L52" s="100"/>
      <c r="M52" s="22"/>
      <c r="N52" s="22"/>
      <c r="O52" s="22"/>
      <c r="P52" s="22"/>
      <c r="Q52" s="100"/>
      <c r="R52" s="100"/>
      <c r="S52" s="100"/>
      <c r="T52" s="100"/>
      <c r="U52" s="100"/>
      <c r="V52" s="100"/>
      <c r="W52" s="100"/>
      <c r="X52" s="100"/>
      <c r="Y52" s="100"/>
      <c r="Z52" s="100"/>
      <c r="AA52" s="100"/>
      <c r="AB52" s="100"/>
      <c r="AC52" s="100"/>
    </row>
    <row r="53" spans="1:41" ht="13.5" customHeight="1">
      <c r="A53" s="100"/>
      <c r="B53" s="100"/>
      <c r="C53" s="100"/>
      <c r="D53" s="100"/>
      <c r="E53" s="100"/>
      <c r="F53" s="100"/>
      <c r="J53" s="100"/>
      <c r="K53" s="100"/>
      <c r="L53" s="100"/>
      <c r="M53" s="22"/>
      <c r="N53" s="22"/>
      <c r="O53" s="22"/>
      <c r="P53" s="22"/>
      <c r="Q53" s="100"/>
      <c r="R53" s="100"/>
      <c r="S53" s="100"/>
      <c r="T53" s="100"/>
      <c r="U53" s="100"/>
      <c r="V53" s="100"/>
      <c r="W53" s="100"/>
      <c r="X53" s="100"/>
      <c r="Y53" s="100"/>
      <c r="Z53" s="100"/>
      <c r="AA53" s="100"/>
      <c r="AB53" s="100"/>
      <c r="AC53" s="100"/>
    </row>
    <row r="54" spans="1:41" ht="13.5" customHeight="1">
      <c r="A54" s="100"/>
      <c r="B54" s="100"/>
      <c r="C54" s="100"/>
      <c r="D54" s="100"/>
      <c r="E54" s="100"/>
      <c r="F54" s="100"/>
      <c r="J54" s="100"/>
      <c r="K54" s="100"/>
      <c r="L54" s="100"/>
      <c r="M54" s="22"/>
      <c r="N54" s="22"/>
      <c r="O54" s="22"/>
      <c r="P54" s="22"/>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row>
    <row r="55" spans="1:41" ht="13.5" customHeight="1">
      <c r="A55" s="100"/>
      <c r="B55" s="100"/>
      <c r="C55" s="100"/>
      <c r="D55" s="100"/>
      <c r="E55" s="100"/>
      <c r="F55" s="100"/>
      <c r="J55" s="100"/>
      <c r="K55" s="100"/>
      <c r="L55" s="100"/>
      <c r="M55" s="22"/>
      <c r="N55" s="22"/>
      <c r="O55" s="22"/>
      <c r="P55" s="22"/>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row>
    <row r="56" spans="1:41" ht="13.5" customHeight="1">
      <c r="A56" s="100"/>
      <c r="B56" s="100"/>
      <c r="C56" s="100"/>
      <c r="D56" s="100"/>
      <c r="E56" s="100"/>
      <c r="F56" s="100"/>
      <c r="J56" s="100"/>
      <c r="K56" s="100"/>
      <c r="L56" s="100"/>
      <c r="M56" s="22"/>
      <c r="N56" s="22"/>
      <c r="O56" s="22"/>
      <c r="P56" s="22"/>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row>
    <row r="57" spans="1:41" ht="13.5" customHeight="1">
      <c r="A57" s="100"/>
      <c r="B57" s="100"/>
      <c r="C57" s="100"/>
      <c r="D57" s="100"/>
      <c r="E57" s="100"/>
      <c r="F57" s="100"/>
      <c r="J57" s="100"/>
      <c r="K57" s="100"/>
      <c r="L57" s="100"/>
      <c r="M57" s="22"/>
      <c r="N57" s="22"/>
      <c r="O57" s="22"/>
      <c r="P57" s="22"/>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row>
    <row r="58" spans="1:41" ht="13.5" customHeight="1">
      <c r="A58" s="100"/>
      <c r="B58" s="100"/>
      <c r="C58" s="100"/>
      <c r="D58" s="100"/>
      <c r="E58" s="100"/>
      <c r="F58" s="100"/>
      <c r="J58" s="100"/>
      <c r="K58" s="100"/>
      <c r="L58" s="100"/>
      <c r="M58" s="22"/>
      <c r="N58" s="22"/>
      <c r="O58" s="22"/>
      <c r="P58" s="22"/>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1:41" ht="14.1" customHeight="1">
      <c r="A59" s="100"/>
      <c r="B59" s="100"/>
      <c r="C59" s="100"/>
      <c r="D59" s="100"/>
      <c r="E59" s="100"/>
      <c r="F59" s="100"/>
      <c r="J59" s="100"/>
      <c r="K59" s="100"/>
      <c r="L59" s="100"/>
      <c r="M59" s="22"/>
      <c r="N59" s="22"/>
      <c r="O59" s="22"/>
      <c r="P59" s="22"/>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1:41" ht="14.1" customHeight="1">
      <c r="A60" s="100"/>
      <c r="B60" s="100"/>
      <c r="C60" s="100"/>
      <c r="D60" s="100"/>
      <c r="E60" s="100"/>
      <c r="F60" s="100"/>
      <c r="J60" s="100"/>
      <c r="K60" s="100"/>
      <c r="L60" s="100"/>
      <c r="M60" s="22"/>
      <c r="N60" s="22"/>
      <c r="O60" s="22"/>
      <c r="P60" s="22"/>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row>
    <row r="61" spans="1:41" ht="14.1" customHeight="1">
      <c r="A61" s="100"/>
      <c r="B61" s="100"/>
      <c r="C61" s="100"/>
      <c r="D61" s="100"/>
      <c r="E61" s="100"/>
      <c r="F61" s="100"/>
      <c r="J61" s="100"/>
      <c r="K61" s="100"/>
      <c r="L61" s="100"/>
      <c r="M61" s="22"/>
      <c r="N61" s="22"/>
      <c r="O61" s="22"/>
      <c r="P61" s="22"/>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1:41" ht="14.1" customHeight="1">
      <c r="A62" s="100"/>
      <c r="B62" s="100"/>
      <c r="C62" s="100"/>
      <c r="D62" s="100"/>
      <c r="E62" s="100"/>
      <c r="F62" s="100"/>
      <c r="J62" s="100"/>
      <c r="K62" s="100"/>
      <c r="L62" s="100"/>
      <c r="M62" s="22"/>
      <c r="N62" s="22"/>
      <c r="O62" s="22"/>
      <c r="P62" s="22"/>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1:41" ht="14.1" customHeight="1">
      <c r="A63" s="100"/>
      <c r="B63" s="100"/>
      <c r="C63" s="100"/>
      <c r="D63" s="100"/>
      <c r="E63" s="100"/>
      <c r="F63" s="100"/>
      <c r="J63" s="100"/>
      <c r="K63" s="100"/>
      <c r="L63" s="100"/>
      <c r="M63" s="22"/>
      <c r="N63" s="22"/>
      <c r="O63" s="22"/>
      <c r="P63" s="22"/>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1:41" ht="14.1" customHeight="1">
      <c r="A64" s="100"/>
      <c r="B64" s="100"/>
      <c r="C64" s="100"/>
      <c r="D64" s="100"/>
      <c r="E64" s="100"/>
      <c r="F64" s="100"/>
      <c r="J64" s="100"/>
      <c r="K64" s="100"/>
      <c r="L64" s="100"/>
      <c r="M64" s="22"/>
      <c r="N64" s="22"/>
      <c r="O64" s="22"/>
      <c r="P64" s="22"/>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row>
    <row r="65" spans="1:41" ht="14.1" customHeight="1">
      <c r="A65" s="100"/>
      <c r="B65" s="100"/>
      <c r="C65" s="100"/>
      <c r="D65" s="100"/>
      <c r="E65" s="100"/>
      <c r="F65" s="100"/>
      <c r="J65" s="100"/>
      <c r="K65" s="100"/>
      <c r="L65" s="100"/>
      <c r="M65" s="22"/>
      <c r="N65" s="22"/>
      <c r="O65" s="22"/>
      <c r="P65" s="22"/>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row>
    <row r="66" spans="1:41" ht="14.1" customHeight="1">
      <c r="A66" s="100"/>
      <c r="B66" s="100"/>
      <c r="C66" s="100"/>
      <c r="D66" s="100"/>
      <c r="E66" s="100"/>
      <c r="F66" s="100"/>
      <c r="J66" s="100"/>
      <c r="K66" s="100"/>
      <c r="L66" s="100"/>
      <c r="M66" s="22"/>
      <c r="N66" s="22"/>
      <c r="O66" s="22"/>
      <c r="P66" s="22"/>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row>
    <row r="67" spans="1:41" ht="14.1" customHeight="1">
      <c r="A67" s="100"/>
      <c r="B67" s="100"/>
      <c r="C67" s="100"/>
      <c r="D67" s="100"/>
      <c r="E67" s="100"/>
      <c r="F67" s="100"/>
      <c r="J67" s="100"/>
      <c r="K67" s="100"/>
      <c r="L67" s="100"/>
      <c r="M67" s="22"/>
      <c r="N67" s="22"/>
      <c r="O67" s="22"/>
      <c r="P67" s="22"/>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row>
    <row r="68" spans="1:41" ht="14.1" customHeight="1">
      <c r="A68" s="100"/>
      <c r="B68" s="100"/>
      <c r="C68" s="100"/>
      <c r="D68" s="100"/>
      <c r="E68" s="100"/>
      <c r="F68" s="100"/>
      <c r="J68" s="100"/>
      <c r="K68" s="100"/>
      <c r="L68" s="100"/>
      <c r="M68" s="22"/>
      <c r="N68" s="22"/>
      <c r="O68" s="22"/>
      <c r="P68" s="22"/>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row>
    <row r="69" spans="1:41" ht="14.1" customHeight="1">
      <c r="A69" s="100"/>
      <c r="B69" s="100"/>
      <c r="C69" s="100"/>
      <c r="D69" s="100"/>
      <c r="E69" s="100"/>
      <c r="F69" s="100"/>
      <c r="J69" s="100"/>
      <c r="K69" s="100"/>
      <c r="L69" s="100"/>
      <c r="M69" s="22"/>
      <c r="N69" s="22"/>
      <c r="O69" s="22"/>
      <c r="P69" s="22"/>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row>
    <row r="70" spans="1:41" ht="14.1" customHeight="1">
      <c r="A70" s="100"/>
      <c r="B70" s="100"/>
      <c r="C70" s="100"/>
      <c r="D70" s="100"/>
      <c r="E70" s="100"/>
      <c r="F70" s="100"/>
      <c r="J70" s="100"/>
      <c r="K70" s="100"/>
      <c r="L70" s="100"/>
      <c r="M70" s="22"/>
      <c r="N70" s="22"/>
      <c r="O70" s="22"/>
      <c r="P70" s="22"/>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row>
    <row r="71" spans="1:41" ht="14.1" customHeight="1">
      <c r="A71" s="100"/>
      <c r="B71" s="100"/>
      <c r="C71" s="100"/>
      <c r="D71" s="100"/>
      <c r="E71" s="100"/>
      <c r="F71" s="100"/>
      <c r="J71" s="100"/>
      <c r="K71" s="100"/>
      <c r="L71" s="100"/>
      <c r="M71" s="22"/>
      <c r="N71" s="22"/>
      <c r="O71" s="22"/>
      <c r="P71" s="22"/>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row>
    <row r="72" spans="1:41" ht="14.1" customHeight="1">
      <c r="A72" s="100"/>
      <c r="B72" s="100"/>
      <c r="C72" s="100"/>
      <c r="D72" s="100"/>
      <c r="E72" s="100"/>
      <c r="F72" s="100"/>
      <c r="J72" s="100"/>
      <c r="K72" s="100"/>
      <c r="L72" s="100"/>
      <c r="M72" s="22"/>
      <c r="N72" s="22"/>
      <c r="O72" s="22"/>
      <c r="P72" s="22"/>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row>
    <row r="73" spans="1:41" ht="14.1" customHeight="1">
      <c r="A73" s="100"/>
      <c r="B73" s="100"/>
      <c r="C73" s="100"/>
      <c r="D73" s="100"/>
      <c r="E73" s="100"/>
      <c r="F73" s="100"/>
      <c r="J73" s="100"/>
      <c r="K73" s="100"/>
      <c r="L73" s="100"/>
      <c r="M73" s="22"/>
      <c r="N73" s="22"/>
      <c r="O73" s="22"/>
      <c r="P73" s="22"/>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row>
    <row r="74" spans="1:41" ht="14.1" customHeight="1">
      <c r="A74" s="100"/>
      <c r="B74" s="100"/>
      <c r="C74" s="100"/>
      <c r="D74" s="100"/>
      <c r="E74" s="100"/>
      <c r="F74" s="100"/>
      <c r="J74" s="100"/>
      <c r="K74" s="100"/>
      <c r="L74" s="100"/>
      <c r="M74" s="22"/>
      <c r="N74" s="22"/>
      <c r="O74" s="22"/>
      <c r="P74" s="22"/>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row>
    <row r="75" spans="1:41" ht="14.1" customHeight="1">
      <c r="A75" s="100"/>
      <c r="B75" s="100"/>
      <c r="C75" s="100"/>
      <c r="D75" s="100"/>
      <c r="E75" s="100"/>
      <c r="F75" s="100"/>
      <c r="J75" s="100"/>
      <c r="K75" s="100"/>
      <c r="L75" s="100"/>
      <c r="M75" s="22"/>
      <c r="N75" s="22"/>
      <c r="O75" s="22"/>
      <c r="P75" s="22"/>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row>
    <row r="76" spans="1:41" ht="14.1" customHeight="1">
      <c r="A76" s="100"/>
      <c r="B76" s="100"/>
      <c r="C76" s="100"/>
      <c r="D76" s="100"/>
      <c r="E76" s="100"/>
      <c r="F76" s="100"/>
      <c r="J76" s="100"/>
      <c r="K76" s="100"/>
      <c r="L76" s="100"/>
      <c r="M76" s="22"/>
      <c r="N76" s="22"/>
      <c r="O76" s="22"/>
      <c r="P76" s="22"/>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row>
    <row r="77" spans="1:41" ht="14.1" customHeight="1">
      <c r="A77" s="100"/>
      <c r="B77" s="100"/>
      <c r="C77" s="100"/>
      <c r="D77" s="100"/>
      <c r="E77" s="100"/>
      <c r="F77" s="100"/>
      <c r="J77" s="100"/>
      <c r="K77" s="100"/>
      <c r="L77" s="100"/>
      <c r="M77" s="22"/>
      <c r="N77" s="22"/>
      <c r="O77" s="22"/>
      <c r="P77" s="22"/>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row>
    <row r="78" spans="1:41" ht="14.1" customHeight="1">
      <c r="A78" s="100"/>
      <c r="B78" s="100"/>
      <c r="C78" s="100"/>
      <c r="D78" s="100"/>
      <c r="E78" s="100"/>
      <c r="F78" s="100"/>
      <c r="J78" s="100"/>
      <c r="K78" s="100"/>
      <c r="L78" s="100"/>
      <c r="M78" s="22"/>
      <c r="N78" s="22"/>
      <c r="O78" s="22"/>
      <c r="P78" s="22"/>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row>
    <row r="79" spans="1:41" ht="14.1" customHeight="1">
      <c r="P79" s="98"/>
    </row>
    <row r="80" spans="1:41" ht="14.1" customHeight="1">
      <c r="P80" s="98"/>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46">
    <mergeCell ref="I2:I4"/>
    <mergeCell ref="M2:S2"/>
    <mergeCell ref="M3:M4"/>
    <mergeCell ref="M41:N41"/>
    <mergeCell ref="E1:F1"/>
    <mergeCell ref="E2:E4"/>
    <mergeCell ref="F2:F4"/>
    <mergeCell ref="G2:G4"/>
    <mergeCell ref="A20:A34"/>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B22:C22"/>
    <mergeCell ref="B37:C37"/>
    <mergeCell ref="B34:C34"/>
    <mergeCell ref="B19:C19"/>
    <mergeCell ref="B8:C8"/>
    <mergeCell ref="B29:C29"/>
    <mergeCell ref="B30:C30"/>
    <mergeCell ref="B31:C31"/>
    <mergeCell ref="B32:C32"/>
    <mergeCell ref="B33:C33"/>
    <mergeCell ref="B16:C16"/>
    <mergeCell ref="B17:C17"/>
    <mergeCell ref="B18:C18"/>
    <mergeCell ref="B20:C20"/>
    <mergeCell ref="B21:C21"/>
    <mergeCell ref="B28:C28"/>
    <mergeCell ref="J43:K43"/>
    <mergeCell ref="B26:C26"/>
    <mergeCell ref="B25:C25"/>
    <mergeCell ref="B24:C24"/>
    <mergeCell ref="B23:C23"/>
    <mergeCell ref="B27:C27"/>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&amp;L肉用牛（肥育）春から秋の耕作放棄地経産牛放牧（全域）</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5" activePane="bottomLeft" state="frozen"/>
      <selection activeCell="I22" sqref="I22"/>
      <selection pane="bottomLeft" activeCell="D22" sqref="D22"/>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9"/>
    <col min="11" max="11" width="18.375" style="10" customWidth="1"/>
    <col min="12" max="12" width="9.125" style="10" customWidth="1"/>
    <col min="13" max="13" width="9.125" style="330" customWidth="1"/>
    <col min="14" max="14" width="9.125" style="329" customWidth="1"/>
    <col min="15" max="15" width="18.625" style="331" customWidth="1"/>
    <col min="16" max="16" width="9" style="10"/>
    <col min="17" max="18" width="9" style="637"/>
    <col min="19" max="16384" width="9" style="10"/>
  </cols>
  <sheetData>
    <row r="1" spans="1:18" ht="14.25" thickBot="1">
      <c r="A1" s="24" t="str">
        <f>IF(①技術体系!A2=0,"",①技術体系!A2)</f>
        <v>放牧牛肉</v>
      </c>
      <c r="D1" s="24" t="str">
        <f>IF(①技術体系!C2=0,"",①技術体系!C2)</f>
        <v>黒毛和種</v>
      </c>
    </row>
    <row r="2" spans="1:18" s="442" customFormat="1" ht="24" customHeight="1" thickBot="1">
      <c r="A2" s="807" t="s">
        <v>4</v>
      </c>
      <c r="B2" s="808" t="s">
        <v>59</v>
      </c>
      <c r="C2" s="809" t="s">
        <v>60</v>
      </c>
      <c r="D2" s="809" t="s">
        <v>61</v>
      </c>
      <c r="E2" s="810" t="s">
        <v>395</v>
      </c>
      <c r="F2" s="825" t="s">
        <v>292</v>
      </c>
      <c r="G2" s="826"/>
      <c r="H2" s="826"/>
      <c r="I2" s="826"/>
      <c r="J2" s="826"/>
      <c r="K2" s="827" t="s">
        <v>62</v>
      </c>
      <c r="L2" s="827"/>
      <c r="M2" s="827"/>
      <c r="N2" s="827"/>
      <c r="O2" s="812" t="s">
        <v>63</v>
      </c>
      <c r="Q2" s="638"/>
      <c r="R2" s="638"/>
    </row>
    <row r="3" spans="1:18" s="442" customFormat="1" ht="19.5" customHeight="1" thickBot="1">
      <c r="A3" s="807"/>
      <c r="B3" s="808"/>
      <c r="C3" s="809"/>
      <c r="D3" s="809"/>
      <c r="E3" s="811"/>
      <c r="F3" s="813" t="s">
        <v>293</v>
      </c>
      <c r="G3" s="814"/>
      <c r="H3" s="813" t="s">
        <v>294</v>
      </c>
      <c r="I3" s="815"/>
      <c r="J3" s="816" t="s">
        <v>66</v>
      </c>
      <c r="K3" s="818" t="s">
        <v>67</v>
      </c>
      <c r="L3" s="820" t="s">
        <v>648</v>
      </c>
      <c r="M3" s="822" t="s">
        <v>396</v>
      </c>
      <c r="N3" s="823" t="s">
        <v>397</v>
      </c>
      <c r="O3" s="812"/>
      <c r="Q3" s="638"/>
      <c r="R3" s="638"/>
    </row>
    <row r="4" spans="1:18" s="442" customFormat="1" ht="27.75" thickBot="1">
      <c r="A4" s="807"/>
      <c r="B4" s="808"/>
      <c r="C4" s="809"/>
      <c r="D4" s="809"/>
      <c r="E4" s="811"/>
      <c r="F4" s="332" t="s">
        <v>64</v>
      </c>
      <c r="G4" s="333" t="s">
        <v>290</v>
      </c>
      <c r="H4" s="334" t="s">
        <v>65</v>
      </c>
      <c r="I4" s="333" t="s">
        <v>291</v>
      </c>
      <c r="J4" s="817"/>
      <c r="K4" s="819"/>
      <c r="L4" s="821"/>
      <c r="M4" s="821"/>
      <c r="N4" s="824"/>
      <c r="O4" s="812"/>
      <c r="Q4" s="638" t="s">
        <v>646</v>
      </c>
      <c r="R4" s="638" t="s">
        <v>647</v>
      </c>
    </row>
    <row r="5" spans="1:18">
      <c r="A5" s="619" t="s">
        <v>443</v>
      </c>
      <c r="B5" s="620" t="s">
        <v>217</v>
      </c>
      <c r="C5" s="621"/>
      <c r="D5" s="622"/>
      <c r="E5" s="3">
        <v>1</v>
      </c>
      <c r="F5" s="273">
        <v>0</v>
      </c>
      <c r="G5" s="273"/>
      <c r="H5" s="5">
        <v>0.2</v>
      </c>
      <c r="I5" s="5">
        <v>1</v>
      </c>
      <c r="J5" s="411">
        <f>(+F5*G5+H5*I5)*E5</f>
        <v>0.2</v>
      </c>
      <c r="K5" s="6"/>
      <c r="L5" s="5">
        <v>0</v>
      </c>
      <c r="M5" s="4">
        <v>0</v>
      </c>
      <c r="N5" s="271" t="str">
        <f>IF(K5=0,"",L5*M5*E5)</f>
        <v/>
      </c>
      <c r="O5" s="567" t="s">
        <v>542</v>
      </c>
      <c r="Q5" s="637">
        <f>F5*G5*E5</f>
        <v>0</v>
      </c>
      <c r="R5" s="637">
        <f>H5*E5*I5</f>
        <v>0.2</v>
      </c>
    </row>
    <row r="6" spans="1:18">
      <c r="A6" s="619" t="s">
        <v>452</v>
      </c>
      <c r="B6" s="620" t="s">
        <v>223</v>
      </c>
      <c r="C6" s="623" t="s">
        <v>499</v>
      </c>
      <c r="D6" s="624"/>
      <c r="E6" s="3">
        <v>1</v>
      </c>
      <c r="F6" s="274">
        <v>0.40000640010240168</v>
      </c>
      <c r="G6" s="274">
        <v>1</v>
      </c>
      <c r="H6" s="8">
        <v>0</v>
      </c>
      <c r="I6" s="5"/>
      <c r="J6" s="411">
        <f t="shared" ref="J6:J69" si="0">(+F6*G6+H6*I6)*E6</f>
        <v>0.40000640010240168</v>
      </c>
      <c r="K6" s="2" t="s">
        <v>175</v>
      </c>
      <c r="L6" s="8">
        <v>0.40000640010240168</v>
      </c>
      <c r="M6" s="7">
        <v>1</v>
      </c>
      <c r="N6" s="9">
        <f t="shared" ref="N6:N69" si="1">IF(K6=0,"",L6*M6*E6)</f>
        <v>0.40000640010240168</v>
      </c>
      <c r="O6" s="20" t="s">
        <v>543</v>
      </c>
      <c r="Q6" s="637">
        <f t="shared" ref="Q6:Q69" si="2">F6*G6*E6</f>
        <v>0.40000640010240168</v>
      </c>
      <c r="R6" s="637">
        <f t="shared" ref="R6:R69" si="3">H6*E6*I6</f>
        <v>0</v>
      </c>
    </row>
    <row r="7" spans="1:18">
      <c r="A7" s="619" t="s">
        <v>456</v>
      </c>
      <c r="B7" s="620" t="s">
        <v>223</v>
      </c>
      <c r="C7" s="624"/>
      <c r="D7" s="624"/>
      <c r="E7" s="3">
        <v>1</v>
      </c>
      <c r="F7" s="274">
        <v>0</v>
      </c>
      <c r="G7" s="274"/>
      <c r="H7" s="8">
        <v>1</v>
      </c>
      <c r="I7" s="5">
        <v>1</v>
      </c>
      <c r="J7" s="411">
        <f t="shared" si="0"/>
        <v>1</v>
      </c>
      <c r="K7" s="2"/>
      <c r="L7" s="8">
        <v>0</v>
      </c>
      <c r="M7" s="7"/>
      <c r="N7" s="9" t="str">
        <f t="shared" si="1"/>
        <v/>
      </c>
      <c r="O7" s="20" t="s">
        <v>544</v>
      </c>
      <c r="Q7" s="637">
        <f t="shared" si="2"/>
        <v>0</v>
      </c>
      <c r="R7" s="637">
        <f t="shared" si="3"/>
        <v>1</v>
      </c>
    </row>
    <row r="8" spans="1:18">
      <c r="A8" s="619" t="s">
        <v>459</v>
      </c>
      <c r="B8" s="620" t="s">
        <v>225</v>
      </c>
      <c r="C8" s="624"/>
      <c r="D8" s="624"/>
      <c r="E8" s="3">
        <v>1</v>
      </c>
      <c r="F8" s="274">
        <v>0</v>
      </c>
      <c r="G8" s="274"/>
      <c r="H8" s="8">
        <v>0.1</v>
      </c>
      <c r="I8" s="5">
        <v>1</v>
      </c>
      <c r="J8" s="411">
        <f t="shared" si="0"/>
        <v>0.1</v>
      </c>
      <c r="K8" s="2"/>
      <c r="L8" s="8">
        <v>0</v>
      </c>
      <c r="M8" s="7"/>
      <c r="N8" s="9" t="str">
        <f t="shared" si="1"/>
        <v/>
      </c>
      <c r="O8" s="20" t="s">
        <v>545</v>
      </c>
      <c r="Q8" s="637">
        <f t="shared" si="2"/>
        <v>0</v>
      </c>
      <c r="R8" s="637">
        <f t="shared" si="3"/>
        <v>0.1</v>
      </c>
    </row>
    <row r="9" spans="1:18">
      <c r="A9" s="619" t="s">
        <v>464</v>
      </c>
      <c r="B9" s="620" t="s">
        <v>225</v>
      </c>
      <c r="C9" s="624"/>
      <c r="D9" s="624"/>
      <c r="E9" s="3">
        <v>10</v>
      </c>
      <c r="F9" s="274">
        <v>0</v>
      </c>
      <c r="G9" s="274"/>
      <c r="H9" s="8">
        <v>0.05</v>
      </c>
      <c r="I9" s="5">
        <v>1</v>
      </c>
      <c r="J9" s="411">
        <f t="shared" si="0"/>
        <v>0.5</v>
      </c>
      <c r="K9" s="2"/>
      <c r="L9" s="8">
        <v>0</v>
      </c>
      <c r="M9" s="7"/>
      <c r="N9" s="9" t="str">
        <f t="shared" si="1"/>
        <v/>
      </c>
      <c r="O9" s="20" t="s">
        <v>546</v>
      </c>
      <c r="Q9" s="637">
        <f t="shared" si="2"/>
        <v>0</v>
      </c>
      <c r="R9" s="637">
        <f t="shared" si="3"/>
        <v>0.5</v>
      </c>
    </row>
    <row r="10" spans="1:18">
      <c r="A10" s="619" t="s">
        <v>464</v>
      </c>
      <c r="B10" s="620" t="s">
        <v>227</v>
      </c>
      <c r="C10" s="624"/>
      <c r="D10" s="624"/>
      <c r="E10" s="3">
        <v>10</v>
      </c>
      <c r="F10" s="274">
        <v>0</v>
      </c>
      <c r="G10" s="274"/>
      <c r="H10" s="8">
        <v>0.05</v>
      </c>
      <c r="I10" s="5">
        <v>1</v>
      </c>
      <c r="J10" s="411">
        <f t="shared" si="0"/>
        <v>0.5</v>
      </c>
      <c r="K10" s="2"/>
      <c r="L10" s="8">
        <v>0</v>
      </c>
      <c r="M10" s="7"/>
      <c r="N10" s="9" t="str">
        <f t="shared" si="1"/>
        <v/>
      </c>
      <c r="O10" s="20" t="s">
        <v>546</v>
      </c>
      <c r="Q10" s="637">
        <f t="shared" si="2"/>
        <v>0</v>
      </c>
      <c r="R10" s="637">
        <f t="shared" si="3"/>
        <v>0.5</v>
      </c>
    </row>
    <row r="11" spans="1:18">
      <c r="A11" s="619" t="s">
        <v>464</v>
      </c>
      <c r="B11" s="620" t="s">
        <v>229</v>
      </c>
      <c r="C11" s="623"/>
      <c r="D11" s="624"/>
      <c r="E11" s="3">
        <v>10</v>
      </c>
      <c r="F11" s="274">
        <v>0</v>
      </c>
      <c r="G11" s="274"/>
      <c r="H11" s="8">
        <v>0.05</v>
      </c>
      <c r="I11" s="5">
        <v>1</v>
      </c>
      <c r="J11" s="411">
        <f t="shared" si="0"/>
        <v>0.5</v>
      </c>
      <c r="K11" s="2"/>
      <c r="L11" s="8">
        <v>0</v>
      </c>
      <c r="M11" s="7"/>
      <c r="N11" s="9" t="str">
        <f t="shared" si="1"/>
        <v/>
      </c>
      <c r="O11" s="20" t="s">
        <v>546</v>
      </c>
      <c r="Q11" s="637">
        <f t="shared" si="2"/>
        <v>0</v>
      </c>
      <c r="R11" s="637">
        <f t="shared" si="3"/>
        <v>0.5</v>
      </c>
    </row>
    <row r="12" spans="1:18">
      <c r="A12" s="619" t="s">
        <v>469</v>
      </c>
      <c r="B12" s="620" t="s">
        <v>231</v>
      </c>
      <c r="C12" s="623"/>
      <c r="D12" s="624"/>
      <c r="E12" s="3">
        <v>1</v>
      </c>
      <c r="F12" s="274">
        <v>0</v>
      </c>
      <c r="G12" s="274"/>
      <c r="H12" s="8">
        <v>0.1</v>
      </c>
      <c r="I12" s="5">
        <v>1</v>
      </c>
      <c r="J12" s="411">
        <f t="shared" si="0"/>
        <v>0.1</v>
      </c>
      <c r="K12" s="2"/>
      <c r="L12" s="8">
        <v>0</v>
      </c>
      <c r="M12" s="7"/>
      <c r="N12" s="9" t="str">
        <f t="shared" si="1"/>
        <v/>
      </c>
      <c r="O12" s="20" t="s">
        <v>547</v>
      </c>
      <c r="Q12" s="637">
        <f t="shared" si="2"/>
        <v>0</v>
      </c>
      <c r="R12" s="637">
        <f t="shared" si="3"/>
        <v>0.1</v>
      </c>
    </row>
    <row r="13" spans="1:18">
      <c r="A13" s="619" t="s">
        <v>475</v>
      </c>
      <c r="B13" s="620" t="s">
        <v>231</v>
      </c>
      <c r="C13" s="624" t="s">
        <v>499</v>
      </c>
      <c r="D13" s="624"/>
      <c r="E13" s="3">
        <v>1</v>
      </c>
      <c r="F13" s="274">
        <v>0.10000160002560042</v>
      </c>
      <c r="G13" s="274">
        <v>1</v>
      </c>
      <c r="H13" s="8">
        <v>0</v>
      </c>
      <c r="I13" s="5"/>
      <c r="J13" s="411">
        <f t="shared" si="0"/>
        <v>0.10000160002560042</v>
      </c>
      <c r="K13" s="2" t="s">
        <v>175</v>
      </c>
      <c r="L13" s="8">
        <v>0.10000160002560042</v>
      </c>
      <c r="M13" s="7">
        <v>1</v>
      </c>
      <c r="N13" s="9">
        <f t="shared" si="1"/>
        <v>0.10000160002560042</v>
      </c>
      <c r="O13" s="20" t="s">
        <v>548</v>
      </c>
      <c r="Q13" s="637">
        <f t="shared" si="2"/>
        <v>0.10000160002560042</v>
      </c>
      <c r="R13" s="637">
        <f t="shared" si="3"/>
        <v>0</v>
      </c>
    </row>
    <row r="14" spans="1:18">
      <c r="A14" s="619" t="s">
        <v>473</v>
      </c>
      <c r="B14" s="620" t="s">
        <v>231</v>
      </c>
      <c r="C14" s="625"/>
      <c r="D14" s="624"/>
      <c r="E14" s="3">
        <v>10</v>
      </c>
      <c r="F14" s="274">
        <v>0</v>
      </c>
      <c r="G14" s="274"/>
      <c r="H14" s="8">
        <v>0.05</v>
      </c>
      <c r="I14" s="5">
        <v>1</v>
      </c>
      <c r="J14" s="411">
        <f t="shared" si="0"/>
        <v>0.5</v>
      </c>
      <c r="K14" s="2"/>
      <c r="L14" s="8">
        <v>0</v>
      </c>
      <c r="M14" s="7"/>
      <c r="N14" s="9" t="str">
        <f t="shared" si="1"/>
        <v/>
      </c>
      <c r="O14" s="20" t="s">
        <v>546</v>
      </c>
      <c r="Q14" s="637">
        <f t="shared" si="2"/>
        <v>0</v>
      </c>
      <c r="R14" s="637">
        <f t="shared" si="3"/>
        <v>0.5</v>
      </c>
    </row>
    <row r="15" spans="1:18">
      <c r="A15" s="619" t="s">
        <v>473</v>
      </c>
      <c r="B15" s="620" t="s">
        <v>232</v>
      </c>
      <c r="C15" s="625"/>
      <c r="D15" s="624"/>
      <c r="E15" s="3">
        <v>10</v>
      </c>
      <c r="F15" s="274">
        <v>0</v>
      </c>
      <c r="G15" s="274"/>
      <c r="H15" s="8">
        <v>0.05</v>
      </c>
      <c r="I15" s="5">
        <v>1</v>
      </c>
      <c r="J15" s="411">
        <f t="shared" si="0"/>
        <v>0.5</v>
      </c>
      <c r="K15" s="2"/>
      <c r="L15" s="8">
        <v>0</v>
      </c>
      <c r="M15" s="7"/>
      <c r="N15" s="9" t="str">
        <f t="shared" si="1"/>
        <v/>
      </c>
      <c r="O15" s="20" t="s">
        <v>546</v>
      </c>
      <c r="Q15" s="637">
        <f t="shared" si="2"/>
        <v>0</v>
      </c>
      <c r="R15" s="637">
        <f t="shared" si="3"/>
        <v>0.5</v>
      </c>
    </row>
    <row r="16" spans="1:18">
      <c r="A16" s="619" t="s">
        <v>473</v>
      </c>
      <c r="B16" s="620" t="s">
        <v>234</v>
      </c>
      <c r="C16" s="625"/>
      <c r="D16" s="624"/>
      <c r="E16" s="3">
        <v>10</v>
      </c>
      <c r="F16" s="274">
        <v>0</v>
      </c>
      <c r="G16" s="274"/>
      <c r="H16" s="8">
        <v>0.05</v>
      </c>
      <c r="I16" s="5">
        <v>1</v>
      </c>
      <c r="J16" s="411">
        <f t="shared" si="0"/>
        <v>0.5</v>
      </c>
      <c r="K16" s="2"/>
      <c r="L16" s="8">
        <v>0</v>
      </c>
      <c r="M16" s="7"/>
      <c r="N16" s="9" t="str">
        <f t="shared" si="1"/>
        <v/>
      </c>
      <c r="O16" s="20" t="s">
        <v>546</v>
      </c>
      <c r="Q16" s="637">
        <f t="shared" si="2"/>
        <v>0</v>
      </c>
      <c r="R16" s="637">
        <f t="shared" si="3"/>
        <v>0.5</v>
      </c>
    </row>
    <row r="17" spans="1:18">
      <c r="A17" s="619" t="s">
        <v>477</v>
      </c>
      <c r="B17" s="620" t="s">
        <v>235</v>
      </c>
      <c r="C17" s="625"/>
      <c r="D17" s="624"/>
      <c r="E17" s="3">
        <v>1</v>
      </c>
      <c r="F17" s="274">
        <v>0</v>
      </c>
      <c r="G17" s="274"/>
      <c r="H17" s="8">
        <v>0.1</v>
      </c>
      <c r="I17" s="5">
        <v>1</v>
      </c>
      <c r="J17" s="411">
        <f t="shared" si="0"/>
        <v>0.1</v>
      </c>
      <c r="K17" s="2"/>
      <c r="L17" s="8">
        <v>0</v>
      </c>
      <c r="M17" s="7"/>
      <c r="N17" s="9" t="str">
        <f t="shared" si="1"/>
        <v/>
      </c>
      <c r="O17" s="20" t="s">
        <v>549</v>
      </c>
      <c r="Q17" s="637">
        <f t="shared" si="2"/>
        <v>0</v>
      </c>
      <c r="R17" s="637">
        <f t="shared" si="3"/>
        <v>0.1</v>
      </c>
    </row>
    <row r="18" spans="1:18">
      <c r="A18" s="619" t="s">
        <v>481</v>
      </c>
      <c r="B18" s="620" t="s">
        <v>235</v>
      </c>
      <c r="C18" s="624" t="s">
        <v>499</v>
      </c>
      <c r="D18" s="624"/>
      <c r="E18" s="3">
        <v>1</v>
      </c>
      <c r="F18" s="274">
        <v>0.10000160002560042</v>
      </c>
      <c r="G18" s="274">
        <v>1</v>
      </c>
      <c r="H18" s="8">
        <v>0</v>
      </c>
      <c r="I18" s="5"/>
      <c r="J18" s="411">
        <f t="shared" si="0"/>
        <v>0.10000160002560042</v>
      </c>
      <c r="K18" s="2" t="s">
        <v>175</v>
      </c>
      <c r="L18" s="8">
        <v>0.10000160002560042</v>
      </c>
      <c r="M18" s="7">
        <v>1</v>
      </c>
      <c r="N18" s="9">
        <f t="shared" si="1"/>
        <v>0.10000160002560042</v>
      </c>
      <c r="O18" s="20" t="s">
        <v>548</v>
      </c>
      <c r="Q18" s="637">
        <f t="shared" si="2"/>
        <v>0.10000160002560042</v>
      </c>
      <c r="R18" s="637">
        <f t="shared" si="3"/>
        <v>0</v>
      </c>
    </row>
    <row r="19" spans="1:18">
      <c r="A19" s="619" t="s">
        <v>479</v>
      </c>
      <c r="B19" s="620" t="s">
        <v>235</v>
      </c>
      <c r="C19" s="625"/>
      <c r="D19" s="624"/>
      <c r="E19" s="3">
        <v>10</v>
      </c>
      <c r="F19" s="274">
        <v>0</v>
      </c>
      <c r="G19" s="274"/>
      <c r="H19" s="8">
        <v>0.05</v>
      </c>
      <c r="I19" s="5">
        <v>1</v>
      </c>
      <c r="J19" s="411">
        <f t="shared" si="0"/>
        <v>0.5</v>
      </c>
      <c r="K19" s="2"/>
      <c r="L19" s="8">
        <v>0</v>
      </c>
      <c r="M19" s="7"/>
      <c r="N19" s="9" t="str">
        <f t="shared" si="1"/>
        <v/>
      </c>
      <c r="O19" s="20" t="s">
        <v>546</v>
      </c>
      <c r="Q19" s="637">
        <f t="shared" si="2"/>
        <v>0</v>
      </c>
      <c r="R19" s="637">
        <f t="shared" si="3"/>
        <v>0.5</v>
      </c>
    </row>
    <row r="20" spans="1:18">
      <c r="A20" s="619" t="s">
        <v>479</v>
      </c>
      <c r="B20" s="620" t="s">
        <v>68</v>
      </c>
      <c r="C20" s="624"/>
      <c r="D20" s="624"/>
      <c r="E20" s="3">
        <v>10</v>
      </c>
      <c r="F20" s="274">
        <v>0</v>
      </c>
      <c r="G20" s="274"/>
      <c r="H20" s="8">
        <v>0.05</v>
      </c>
      <c r="I20" s="5">
        <v>1</v>
      </c>
      <c r="J20" s="411">
        <f t="shared" si="0"/>
        <v>0.5</v>
      </c>
      <c r="K20" s="2"/>
      <c r="L20" s="8">
        <v>0</v>
      </c>
      <c r="M20" s="7"/>
      <c r="N20" s="9" t="str">
        <f t="shared" si="1"/>
        <v/>
      </c>
      <c r="O20" s="20" t="s">
        <v>546</v>
      </c>
      <c r="Q20" s="637">
        <f t="shared" si="2"/>
        <v>0</v>
      </c>
      <c r="R20" s="637">
        <f t="shared" si="3"/>
        <v>0.5</v>
      </c>
    </row>
    <row r="21" spans="1:18">
      <c r="A21" s="619" t="s">
        <v>479</v>
      </c>
      <c r="B21" s="620" t="s">
        <v>236</v>
      </c>
      <c r="C21" s="624"/>
      <c r="D21" s="624"/>
      <c r="E21" s="3">
        <v>10</v>
      </c>
      <c r="F21" s="274">
        <v>0</v>
      </c>
      <c r="G21" s="274"/>
      <c r="H21" s="8">
        <v>0.05</v>
      </c>
      <c r="I21" s="5">
        <v>1</v>
      </c>
      <c r="J21" s="411">
        <f t="shared" si="0"/>
        <v>0.5</v>
      </c>
      <c r="K21" s="2"/>
      <c r="L21" s="8">
        <v>0</v>
      </c>
      <c r="M21" s="7"/>
      <c r="N21" s="9" t="str">
        <f t="shared" si="1"/>
        <v/>
      </c>
      <c r="O21" s="20" t="s">
        <v>546</v>
      </c>
      <c r="Q21" s="637">
        <f t="shared" si="2"/>
        <v>0</v>
      </c>
      <c r="R21" s="637">
        <f t="shared" si="3"/>
        <v>0.5</v>
      </c>
    </row>
    <row r="22" spans="1:18">
      <c r="A22" s="619" t="s">
        <v>482</v>
      </c>
      <c r="B22" s="620" t="s">
        <v>70</v>
      </c>
      <c r="C22" s="624"/>
      <c r="D22" s="624"/>
      <c r="E22" s="3">
        <v>1</v>
      </c>
      <c r="F22" s="274">
        <v>0</v>
      </c>
      <c r="G22" s="274"/>
      <c r="H22" s="8">
        <v>0.1</v>
      </c>
      <c r="I22" s="5">
        <v>1</v>
      </c>
      <c r="J22" s="411">
        <f t="shared" si="0"/>
        <v>0.1</v>
      </c>
      <c r="K22" s="2"/>
      <c r="L22" s="8">
        <v>0</v>
      </c>
      <c r="M22" s="7"/>
      <c r="N22" s="9" t="str">
        <f t="shared" si="1"/>
        <v/>
      </c>
      <c r="O22" s="20" t="s">
        <v>550</v>
      </c>
      <c r="Q22" s="637">
        <f t="shared" si="2"/>
        <v>0</v>
      </c>
      <c r="R22" s="637">
        <f t="shared" si="3"/>
        <v>0.1</v>
      </c>
    </row>
    <row r="23" spans="1:18">
      <c r="A23" s="619" t="s">
        <v>486</v>
      </c>
      <c r="B23" s="620" t="s">
        <v>70</v>
      </c>
      <c r="C23" s="624" t="s">
        <v>499</v>
      </c>
      <c r="D23" s="624"/>
      <c r="E23" s="3">
        <v>1</v>
      </c>
      <c r="F23" s="274">
        <v>0.10000160002560042</v>
      </c>
      <c r="G23" s="274">
        <v>1</v>
      </c>
      <c r="H23" s="8">
        <v>0</v>
      </c>
      <c r="I23" s="5"/>
      <c r="J23" s="411">
        <f t="shared" si="0"/>
        <v>0.10000160002560042</v>
      </c>
      <c r="K23" s="2" t="s">
        <v>175</v>
      </c>
      <c r="L23" s="8">
        <v>0.10000160002560042</v>
      </c>
      <c r="M23" s="7">
        <v>1</v>
      </c>
      <c r="N23" s="9">
        <f t="shared" si="1"/>
        <v>0.10000160002560042</v>
      </c>
      <c r="O23" s="20" t="s">
        <v>548</v>
      </c>
      <c r="Q23" s="637">
        <f t="shared" si="2"/>
        <v>0.10000160002560042</v>
      </c>
      <c r="R23" s="637">
        <f t="shared" si="3"/>
        <v>0</v>
      </c>
    </row>
    <row r="24" spans="1:18">
      <c r="A24" s="619" t="s">
        <v>484</v>
      </c>
      <c r="B24" s="620" t="s">
        <v>70</v>
      </c>
      <c r="C24" s="624"/>
      <c r="D24" s="624"/>
      <c r="E24" s="3">
        <v>10</v>
      </c>
      <c r="F24" s="274">
        <v>0</v>
      </c>
      <c r="G24" s="274"/>
      <c r="H24" s="8">
        <v>0.05</v>
      </c>
      <c r="I24" s="5">
        <v>1</v>
      </c>
      <c r="J24" s="411">
        <f t="shared" si="0"/>
        <v>0.5</v>
      </c>
      <c r="K24" s="2"/>
      <c r="L24" s="8">
        <v>0</v>
      </c>
      <c r="M24" s="7"/>
      <c r="N24" s="9" t="str">
        <f t="shared" si="1"/>
        <v/>
      </c>
      <c r="O24" s="20" t="s">
        <v>546</v>
      </c>
      <c r="Q24" s="637">
        <f t="shared" si="2"/>
        <v>0</v>
      </c>
      <c r="R24" s="637">
        <f t="shared" si="3"/>
        <v>0.5</v>
      </c>
    </row>
    <row r="25" spans="1:18">
      <c r="A25" s="619" t="s">
        <v>484</v>
      </c>
      <c r="B25" s="620" t="s">
        <v>239</v>
      </c>
      <c r="C25" s="624"/>
      <c r="D25" s="624"/>
      <c r="E25" s="3">
        <v>10</v>
      </c>
      <c r="F25" s="274">
        <v>0</v>
      </c>
      <c r="G25" s="274"/>
      <c r="H25" s="8">
        <v>0.05</v>
      </c>
      <c r="I25" s="5">
        <v>1</v>
      </c>
      <c r="J25" s="411">
        <f t="shared" si="0"/>
        <v>0.5</v>
      </c>
      <c r="K25" s="2"/>
      <c r="L25" s="8">
        <v>0</v>
      </c>
      <c r="M25" s="7"/>
      <c r="N25" s="9" t="str">
        <f t="shared" si="1"/>
        <v/>
      </c>
      <c r="O25" s="20" t="s">
        <v>546</v>
      </c>
      <c r="Q25" s="637">
        <f t="shared" si="2"/>
        <v>0</v>
      </c>
      <c r="R25" s="637">
        <f t="shared" si="3"/>
        <v>0.5</v>
      </c>
    </row>
    <row r="26" spans="1:18">
      <c r="A26" s="619" t="s">
        <v>484</v>
      </c>
      <c r="B26" s="620" t="s">
        <v>241</v>
      </c>
      <c r="C26" s="624"/>
      <c r="D26" s="624"/>
      <c r="E26" s="3">
        <v>10</v>
      </c>
      <c r="F26" s="274">
        <v>0</v>
      </c>
      <c r="G26" s="274"/>
      <c r="H26" s="8">
        <v>0.05</v>
      </c>
      <c r="I26" s="5">
        <v>1</v>
      </c>
      <c r="J26" s="411">
        <f t="shared" si="0"/>
        <v>0.5</v>
      </c>
      <c r="K26" s="2"/>
      <c r="L26" s="8">
        <v>0</v>
      </c>
      <c r="M26" s="7"/>
      <c r="N26" s="9" t="str">
        <f t="shared" si="1"/>
        <v/>
      </c>
      <c r="O26" s="20" t="s">
        <v>546</v>
      </c>
      <c r="Q26" s="637">
        <f t="shared" si="2"/>
        <v>0</v>
      </c>
      <c r="R26" s="637">
        <f t="shared" si="3"/>
        <v>0.5</v>
      </c>
    </row>
    <row r="27" spans="1:18">
      <c r="A27" s="619" t="s">
        <v>487</v>
      </c>
      <c r="B27" s="620" t="s">
        <v>73</v>
      </c>
      <c r="C27" s="624"/>
      <c r="D27" s="624"/>
      <c r="E27" s="3">
        <v>1</v>
      </c>
      <c r="F27" s="274">
        <v>0</v>
      </c>
      <c r="G27" s="274"/>
      <c r="H27" s="8">
        <v>0.1</v>
      </c>
      <c r="I27" s="5">
        <v>1</v>
      </c>
      <c r="J27" s="411">
        <f t="shared" si="0"/>
        <v>0.1</v>
      </c>
      <c r="K27" s="2"/>
      <c r="L27" s="8">
        <v>0</v>
      </c>
      <c r="M27" s="7"/>
      <c r="N27" s="9" t="str">
        <f t="shared" si="1"/>
        <v/>
      </c>
      <c r="O27" s="20" t="s">
        <v>547</v>
      </c>
      <c r="Q27" s="637">
        <f t="shared" si="2"/>
        <v>0</v>
      </c>
      <c r="R27" s="637">
        <f t="shared" si="3"/>
        <v>0.1</v>
      </c>
    </row>
    <row r="28" spans="1:18">
      <c r="A28" s="619" t="s">
        <v>489</v>
      </c>
      <c r="B28" s="620" t="s">
        <v>73</v>
      </c>
      <c r="C28" s="624"/>
      <c r="D28" s="624"/>
      <c r="E28" s="3">
        <v>10</v>
      </c>
      <c r="F28" s="274">
        <v>0</v>
      </c>
      <c r="G28" s="274"/>
      <c r="H28" s="8">
        <v>0.05</v>
      </c>
      <c r="I28" s="5">
        <v>1</v>
      </c>
      <c r="J28" s="411">
        <f t="shared" si="0"/>
        <v>0.5</v>
      </c>
      <c r="K28" s="2"/>
      <c r="L28" s="8">
        <v>0</v>
      </c>
      <c r="M28" s="7"/>
      <c r="N28" s="9" t="str">
        <f t="shared" si="1"/>
        <v/>
      </c>
      <c r="O28" s="20" t="s">
        <v>546</v>
      </c>
      <c r="Q28" s="637">
        <f t="shared" si="2"/>
        <v>0</v>
      </c>
      <c r="R28" s="637">
        <f t="shared" si="3"/>
        <v>0.5</v>
      </c>
    </row>
    <row r="29" spans="1:18">
      <c r="A29" s="619" t="s">
        <v>489</v>
      </c>
      <c r="B29" s="620" t="s">
        <v>243</v>
      </c>
      <c r="C29" s="624"/>
      <c r="D29" s="624"/>
      <c r="E29" s="3">
        <v>10</v>
      </c>
      <c r="F29" s="274">
        <v>0</v>
      </c>
      <c r="G29" s="274"/>
      <c r="H29" s="8">
        <v>0.05</v>
      </c>
      <c r="I29" s="5">
        <v>1</v>
      </c>
      <c r="J29" s="411">
        <f t="shared" si="0"/>
        <v>0.5</v>
      </c>
      <c r="K29" s="2"/>
      <c r="L29" s="8">
        <v>0</v>
      </c>
      <c r="M29" s="7"/>
      <c r="N29" s="9" t="str">
        <f t="shared" si="1"/>
        <v/>
      </c>
      <c r="O29" s="20" t="s">
        <v>546</v>
      </c>
      <c r="Q29" s="637">
        <f t="shared" si="2"/>
        <v>0</v>
      </c>
      <c r="R29" s="637">
        <f t="shared" si="3"/>
        <v>0.5</v>
      </c>
    </row>
    <row r="30" spans="1:18">
      <c r="A30" s="619" t="s">
        <v>489</v>
      </c>
      <c r="B30" s="620" t="s">
        <v>72</v>
      </c>
      <c r="C30" s="624"/>
      <c r="D30" s="624"/>
      <c r="E30" s="3">
        <v>10</v>
      </c>
      <c r="F30" s="274">
        <v>0</v>
      </c>
      <c r="G30" s="274"/>
      <c r="H30" s="8">
        <v>0.05</v>
      </c>
      <c r="I30" s="5">
        <v>1</v>
      </c>
      <c r="J30" s="411">
        <f t="shared" si="0"/>
        <v>0.5</v>
      </c>
      <c r="K30" s="2"/>
      <c r="L30" s="8">
        <v>0</v>
      </c>
      <c r="M30" s="7"/>
      <c r="N30" s="9" t="str">
        <f t="shared" si="1"/>
        <v/>
      </c>
      <c r="O30" s="20" t="s">
        <v>546</v>
      </c>
      <c r="Q30" s="637">
        <f t="shared" si="2"/>
        <v>0</v>
      </c>
      <c r="R30" s="637">
        <f t="shared" si="3"/>
        <v>0.5</v>
      </c>
    </row>
    <row r="31" spans="1:18">
      <c r="A31" s="619" t="s">
        <v>491</v>
      </c>
      <c r="B31" s="620" t="s">
        <v>245</v>
      </c>
      <c r="C31" s="624"/>
      <c r="D31" s="624"/>
      <c r="E31" s="3">
        <v>1</v>
      </c>
      <c r="F31" s="274">
        <v>0</v>
      </c>
      <c r="G31" s="274"/>
      <c r="H31" s="8">
        <v>0.1</v>
      </c>
      <c r="I31" s="5">
        <v>1</v>
      </c>
      <c r="J31" s="411">
        <f t="shared" si="0"/>
        <v>0.1</v>
      </c>
      <c r="K31" s="2"/>
      <c r="L31" s="8">
        <v>0</v>
      </c>
      <c r="M31" s="7"/>
      <c r="N31" s="9" t="str">
        <f t="shared" si="1"/>
        <v/>
      </c>
      <c r="O31" s="20" t="s">
        <v>551</v>
      </c>
      <c r="Q31" s="637">
        <f t="shared" si="2"/>
        <v>0</v>
      </c>
      <c r="R31" s="637">
        <f t="shared" si="3"/>
        <v>0.1</v>
      </c>
    </row>
    <row r="32" spans="1:18">
      <c r="A32" s="619" t="s">
        <v>492</v>
      </c>
      <c r="B32" s="620" t="s">
        <v>245</v>
      </c>
      <c r="C32" s="624"/>
      <c r="D32" s="624"/>
      <c r="E32" s="3">
        <v>10</v>
      </c>
      <c r="F32" s="274">
        <v>0</v>
      </c>
      <c r="G32" s="274"/>
      <c r="H32" s="8">
        <v>0.05</v>
      </c>
      <c r="I32" s="5">
        <v>1</v>
      </c>
      <c r="J32" s="411">
        <f t="shared" si="0"/>
        <v>0.5</v>
      </c>
      <c r="K32" s="2"/>
      <c r="L32" s="8">
        <v>0</v>
      </c>
      <c r="M32" s="7"/>
      <c r="N32" s="9" t="str">
        <f t="shared" si="1"/>
        <v/>
      </c>
      <c r="O32" s="20" t="s">
        <v>546</v>
      </c>
      <c r="Q32" s="637">
        <f t="shared" si="2"/>
        <v>0</v>
      </c>
      <c r="R32" s="637">
        <f t="shared" si="3"/>
        <v>0.5</v>
      </c>
    </row>
    <row r="33" spans="1:18">
      <c r="A33" s="619" t="s">
        <v>492</v>
      </c>
      <c r="B33" s="620" t="s">
        <v>75</v>
      </c>
      <c r="C33" s="624"/>
      <c r="D33" s="624"/>
      <c r="E33" s="3">
        <v>10</v>
      </c>
      <c r="F33" s="274">
        <v>0</v>
      </c>
      <c r="G33" s="274"/>
      <c r="H33" s="8">
        <v>0.05</v>
      </c>
      <c r="I33" s="5">
        <v>1</v>
      </c>
      <c r="J33" s="411">
        <f t="shared" si="0"/>
        <v>0.5</v>
      </c>
      <c r="K33" s="2"/>
      <c r="L33" s="8">
        <v>0</v>
      </c>
      <c r="M33" s="7"/>
      <c r="N33" s="9" t="str">
        <f t="shared" si="1"/>
        <v/>
      </c>
      <c r="O33" s="20" t="s">
        <v>546</v>
      </c>
      <c r="Q33" s="637">
        <f t="shared" si="2"/>
        <v>0</v>
      </c>
      <c r="R33" s="637">
        <f t="shared" si="3"/>
        <v>0.5</v>
      </c>
    </row>
    <row r="34" spans="1:18">
      <c r="A34" s="619" t="s">
        <v>492</v>
      </c>
      <c r="B34" s="620" t="s">
        <v>246</v>
      </c>
      <c r="C34" s="624"/>
      <c r="D34" s="624"/>
      <c r="E34" s="3">
        <v>10</v>
      </c>
      <c r="F34" s="274">
        <v>0</v>
      </c>
      <c r="G34" s="274"/>
      <c r="H34" s="8">
        <v>0.05</v>
      </c>
      <c r="I34" s="5">
        <v>1</v>
      </c>
      <c r="J34" s="411">
        <f t="shared" si="0"/>
        <v>0.5</v>
      </c>
      <c r="K34" s="2"/>
      <c r="L34" s="8">
        <v>0</v>
      </c>
      <c r="M34" s="7"/>
      <c r="N34" s="9" t="str">
        <f t="shared" si="1"/>
        <v/>
      </c>
      <c r="O34" s="20" t="s">
        <v>546</v>
      </c>
      <c r="Q34" s="637">
        <f t="shared" si="2"/>
        <v>0</v>
      </c>
      <c r="R34" s="637">
        <f t="shared" si="3"/>
        <v>0.5</v>
      </c>
    </row>
    <row r="35" spans="1:18">
      <c r="A35" s="619" t="s">
        <v>494</v>
      </c>
      <c r="B35" s="620" t="s">
        <v>247</v>
      </c>
      <c r="C35" s="624"/>
      <c r="D35" s="624"/>
      <c r="E35" s="3">
        <v>1</v>
      </c>
      <c r="F35" s="274">
        <v>0</v>
      </c>
      <c r="G35" s="274"/>
      <c r="H35" s="8">
        <v>0.2</v>
      </c>
      <c r="I35" s="5">
        <v>1</v>
      </c>
      <c r="J35" s="411">
        <f t="shared" si="0"/>
        <v>0.2</v>
      </c>
      <c r="K35" s="2"/>
      <c r="L35" s="8">
        <v>0</v>
      </c>
      <c r="M35" s="7"/>
      <c r="N35" s="9" t="str">
        <f t="shared" si="1"/>
        <v/>
      </c>
      <c r="O35" s="20" t="s">
        <v>552</v>
      </c>
      <c r="Q35" s="637">
        <f t="shared" si="2"/>
        <v>0</v>
      </c>
      <c r="R35" s="637">
        <f t="shared" si="3"/>
        <v>0.2</v>
      </c>
    </row>
    <row r="36" spans="1:18">
      <c r="A36" s="619"/>
      <c r="B36" s="620"/>
      <c r="C36" s="624"/>
      <c r="D36" s="624"/>
      <c r="E36" s="3"/>
      <c r="F36" s="274"/>
      <c r="G36" s="274"/>
      <c r="H36" s="8"/>
      <c r="I36" s="5"/>
      <c r="J36" s="411">
        <f t="shared" si="0"/>
        <v>0</v>
      </c>
      <c r="K36" s="2"/>
      <c r="L36" s="8"/>
      <c r="M36" s="7"/>
      <c r="N36" s="9" t="str">
        <f t="shared" si="1"/>
        <v/>
      </c>
      <c r="O36" s="20"/>
      <c r="Q36" s="637">
        <f t="shared" si="2"/>
        <v>0</v>
      </c>
      <c r="R36" s="637">
        <f t="shared" si="3"/>
        <v>0</v>
      </c>
    </row>
    <row r="37" spans="1:18">
      <c r="A37" s="619"/>
      <c r="B37" s="620"/>
      <c r="C37" s="624"/>
      <c r="D37" s="624"/>
      <c r="E37" s="3"/>
      <c r="F37" s="274"/>
      <c r="G37" s="274"/>
      <c r="H37" s="8"/>
      <c r="I37" s="5"/>
      <c r="J37" s="411">
        <f t="shared" si="0"/>
        <v>0</v>
      </c>
      <c r="K37" s="2"/>
      <c r="L37" s="8"/>
      <c r="M37" s="7"/>
      <c r="N37" s="9" t="str">
        <f t="shared" si="1"/>
        <v/>
      </c>
      <c r="O37" s="20"/>
      <c r="Q37" s="637">
        <f t="shared" si="2"/>
        <v>0</v>
      </c>
      <c r="R37" s="637">
        <f t="shared" si="3"/>
        <v>0</v>
      </c>
    </row>
    <row r="38" spans="1:18">
      <c r="A38" s="619"/>
      <c r="B38" s="620"/>
      <c r="C38" s="624"/>
      <c r="D38" s="624"/>
      <c r="E38" s="3"/>
      <c r="F38" s="274"/>
      <c r="G38" s="274"/>
      <c r="H38" s="8"/>
      <c r="I38" s="5"/>
      <c r="J38" s="411">
        <f t="shared" si="0"/>
        <v>0</v>
      </c>
      <c r="K38" s="2"/>
      <c r="L38" s="8"/>
      <c r="M38" s="7"/>
      <c r="N38" s="9" t="str">
        <f t="shared" si="1"/>
        <v/>
      </c>
      <c r="O38" s="20"/>
      <c r="Q38" s="637">
        <f t="shared" si="2"/>
        <v>0</v>
      </c>
      <c r="R38" s="637">
        <f t="shared" si="3"/>
        <v>0</v>
      </c>
    </row>
    <row r="39" spans="1:18">
      <c r="A39" s="619"/>
      <c r="B39" s="620"/>
      <c r="C39" s="624"/>
      <c r="D39" s="624"/>
      <c r="E39" s="3"/>
      <c r="F39" s="274"/>
      <c r="G39" s="274"/>
      <c r="H39" s="8"/>
      <c r="I39" s="5"/>
      <c r="J39" s="411">
        <f t="shared" si="0"/>
        <v>0</v>
      </c>
      <c r="K39" s="2"/>
      <c r="L39" s="8"/>
      <c r="M39" s="7"/>
      <c r="N39" s="9" t="str">
        <f t="shared" si="1"/>
        <v/>
      </c>
      <c r="O39" s="20"/>
      <c r="Q39" s="637">
        <f t="shared" si="2"/>
        <v>0</v>
      </c>
      <c r="R39" s="637">
        <f t="shared" si="3"/>
        <v>0</v>
      </c>
    </row>
    <row r="40" spans="1:18">
      <c r="A40" s="619"/>
      <c r="B40" s="620"/>
      <c r="C40" s="624"/>
      <c r="D40" s="624"/>
      <c r="E40" s="3"/>
      <c r="F40" s="274"/>
      <c r="G40" s="274"/>
      <c r="H40" s="8"/>
      <c r="I40" s="5"/>
      <c r="J40" s="411">
        <f t="shared" si="0"/>
        <v>0</v>
      </c>
      <c r="K40" s="2"/>
      <c r="L40" s="8"/>
      <c r="M40" s="7"/>
      <c r="N40" s="9" t="str">
        <f t="shared" si="1"/>
        <v/>
      </c>
      <c r="O40" s="20"/>
      <c r="Q40" s="637">
        <f t="shared" si="2"/>
        <v>0</v>
      </c>
      <c r="R40" s="637">
        <f t="shared" si="3"/>
        <v>0</v>
      </c>
    </row>
    <row r="41" spans="1:18">
      <c r="A41" s="619"/>
      <c r="B41" s="620"/>
      <c r="C41" s="624"/>
      <c r="D41" s="624"/>
      <c r="E41" s="3"/>
      <c r="F41" s="274"/>
      <c r="G41" s="274"/>
      <c r="H41" s="8"/>
      <c r="I41" s="5"/>
      <c r="J41" s="411">
        <f t="shared" si="0"/>
        <v>0</v>
      </c>
      <c r="K41" s="2"/>
      <c r="L41" s="8"/>
      <c r="M41" s="7"/>
      <c r="N41" s="9" t="str">
        <f t="shared" si="1"/>
        <v/>
      </c>
      <c r="O41" s="20"/>
      <c r="Q41" s="637">
        <f t="shared" si="2"/>
        <v>0</v>
      </c>
      <c r="R41" s="637">
        <f t="shared" si="3"/>
        <v>0</v>
      </c>
    </row>
    <row r="42" spans="1:18">
      <c r="A42" s="619"/>
      <c r="B42" s="620"/>
      <c r="C42" s="624"/>
      <c r="D42" s="624"/>
      <c r="E42" s="3"/>
      <c r="F42" s="274"/>
      <c r="G42" s="274"/>
      <c r="H42" s="8"/>
      <c r="I42" s="5"/>
      <c r="J42" s="411">
        <f t="shared" si="0"/>
        <v>0</v>
      </c>
      <c r="K42" s="2"/>
      <c r="L42" s="8"/>
      <c r="M42" s="7"/>
      <c r="N42" s="9" t="str">
        <f t="shared" si="1"/>
        <v/>
      </c>
      <c r="O42" s="20"/>
      <c r="Q42" s="637">
        <f t="shared" si="2"/>
        <v>0</v>
      </c>
      <c r="R42" s="637">
        <f t="shared" si="3"/>
        <v>0</v>
      </c>
    </row>
    <row r="43" spans="1:18">
      <c r="A43" s="619"/>
      <c r="B43" s="620"/>
      <c r="C43" s="624"/>
      <c r="D43" s="624"/>
      <c r="E43" s="3"/>
      <c r="F43" s="274"/>
      <c r="G43" s="274"/>
      <c r="H43" s="8"/>
      <c r="I43" s="5"/>
      <c r="J43" s="411">
        <f t="shared" si="0"/>
        <v>0</v>
      </c>
      <c r="K43" s="2"/>
      <c r="L43" s="8"/>
      <c r="M43" s="7"/>
      <c r="N43" s="9" t="str">
        <f t="shared" si="1"/>
        <v/>
      </c>
      <c r="O43" s="20"/>
      <c r="Q43" s="637">
        <f t="shared" si="2"/>
        <v>0</v>
      </c>
      <c r="R43" s="637">
        <f t="shared" si="3"/>
        <v>0</v>
      </c>
    </row>
    <row r="44" spans="1:18">
      <c r="A44" s="619"/>
      <c r="B44" s="620"/>
      <c r="C44" s="624"/>
      <c r="D44" s="624"/>
      <c r="E44" s="3"/>
      <c r="F44" s="274"/>
      <c r="G44" s="274"/>
      <c r="H44" s="8"/>
      <c r="I44" s="5"/>
      <c r="J44" s="411">
        <f t="shared" si="0"/>
        <v>0</v>
      </c>
      <c r="K44" s="2"/>
      <c r="L44" s="8"/>
      <c r="M44" s="7"/>
      <c r="N44" s="9" t="str">
        <f t="shared" si="1"/>
        <v/>
      </c>
      <c r="O44" s="20"/>
      <c r="Q44" s="637">
        <f t="shared" si="2"/>
        <v>0</v>
      </c>
      <c r="R44" s="637">
        <f t="shared" si="3"/>
        <v>0</v>
      </c>
    </row>
    <row r="45" spans="1:18">
      <c r="A45" s="619"/>
      <c r="B45" s="620"/>
      <c r="C45" s="624"/>
      <c r="D45" s="624"/>
      <c r="E45" s="3"/>
      <c r="F45" s="274"/>
      <c r="G45" s="274"/>
      <c r="H45" s="8"/>
      <c r="I45" s="5"/>
      <c r="J45" s="411">
        <f t="shared" si="0"/>
        <v>0</v>
      </c>
      <c r="K45" s="2"/>
      <c r="L45" s="8"/>
      <c r="M45" s="7"/>
      <c r="N45" s="9" t="str">
        <f t="shared" si="1"/>
        <v/>
      </c>
      <c r="O45" s="20"/>
      <c r="Q45" s="637">
        <f t="shared" si="2"/>
        <v>0</v>
      </c>
      <c r="R45" s="637">
        <f t="shared" si="3"/>
        <v>0</v>
      </c>
    </row>
    <row r="46" spans="1:18">
      <c r="A46" s="619"/>
      <c r="B46" s="620"/>
      <c r="C46" s="624"/>
      <c r="D46" s="624"/>
      <c r="E46" s="3"/>
      <c r="F46" s="274"/>
      <c r="G46" s="274"/>
      <c r="H46" s="8"/>
      <c r="I46" s="5"/>
      <c r="J46" s="411">
        <f t="shared" si="0"/>
        <v>0</v>
      </c>
      <c r="K46" s="2"/>
      <c r="L46" s="8"/>
      <c r="M46" s="7"/>
      <c r="N46" s="9" t="str">
        <f t="shared" si="1"/>
        <v/>
      </c>
      <c r="O46" s="20"/>
      <c r="Q46" s="637">
        <f t="shared" si="2"/>
        <v>0</v>
      </c>
      <c r="R46" s="637">
        <f t="shared" si="3"/>
        <v>0</v>
      </c>
    </row>
    <row r="47" spans="1:18">
      <c r="A47" s="619"/>
      <c r="B47" s="620"/>
      <c r="C47" s="624"/>
      <c r="D47" s="624"/>
      <c r="E47" s="3"/>
      <c r="F47" s="274"/>
      <c r="G47" s="274"/>
      <c r="H47" s="8"/>
      <c r="I47" s="5"/>
      <c r="J47" s="411">
        <f t="shared" si="0"/>
        <v>0</v>
      </c>
      <c r="K47" s="2"/>
      <c r="L47" s="8"/>
      <c r="M47" s="7"/>
      <c r="N47" s="9" t="str">
        <f t="shared" si="1"/>
        <v/>
      </c>
      <c r="O47" s="20"/>
      <c r="Q47" s="637">
        <f t="shared" si="2"/>
        <v>0</v>
      </c>
      <c r="R47" s="637">
        <f t="shared" si="3"/>
        <v>0</v>
      </c>
    </row>
    <row r="48" spans="1:18">
      <c r="A48" s="619"/>
      <c r="B48" s="620"/>
      <c r="C48" s="624"/>
      <c r="D48" s="624"/>
      <c r="E48" s="3"/>
      <c r="F48" s="274"/>
      <c r="G48" s="274"/>
      <c r="H48" s="8"/>
      <c r="I48" s="5"/>
      <c r="J48" s="411">
        <f t="shared" si="0"/>
        <v>0</v>
      </c>
      <c r="K48" s="2"/>
      <c r="L48" s="8"/>
      <c r="M48" s="7"/>
      <c r="N48" s="9" t="str">
        <f t="shared" si="1"/>
        <v/>
      </c>
      <c r="O48" s="20"/>
      <c r="Q48" s="637">
        <f t="shared" si="2"/>
        <v>0</v>
      </c>
      <c r="R48" s="637">
        <f t="shared" si="3"/>
        <v>0</v>
      </c>
    </row>
    <row r="49" spans="1:18">
      <c r="A49" s="619"/>
      <c r="B49" s="620"/>
      <c r="C49" s="624"/>
      <c r="D49" s="624"/>
      <c r="E49" s="3"/>
      <c r="F49" s="274"/>
      <c r="G49" s="274"/>
      <c r="H49" s="8"/>
      <c r="I49" s="5"/>
      <c r="J49" s="411">
        <f t="shared" si="0"/>
        <v>0</v>
      </c>
      <c r="K49" s="2"/>
      <c r="L49" s="8"/>
      <c r="M49" s="7"/>
      <c r="N49" s="9" t="str">
        <f t="shared" si="1"/>
        <v/>
      </c>
      <c r="O49" s="20"/>
      <c r="Q49" s="637">
        <f t="shared" si="2"/>
        <v>0</v>
      </c>
      <c r="R49" s="637">
        <f t="shared" si="3"/>
        <v>0</v>
      </c>
    </row>
    <row r="50" spans="1:18">
      <c r="A50" s="619"/>
      <c r="B50" s="620"/>
      <c r="C50" s="624"/>
      <c r="D50" s="624"/>
      <c r="E50" s="3"/>
      <c r="F50" s="274"/>
      <c r="G50" s="274"/>
      <c r="H50" s="8"/>
      <c r="I50" s="5"/>
      <c r="J50" s="411">
        <f t="shared" si="0"/>
        <v>0</v>
      </c>
      <c r="K50" s="2"/>
      <c r="L50" s="8"/>
      <c r="M50" s="7"/>
      <c r="N50" s="9" t="str">
        <f t="shared" si="1"/>
        <v/>
      </c>
      <c r="O50" s="20"/>
      <c r="Q50" s="637">
        <f t="shared" si="2"/>
        <v>0</v>
      </c>
      <c r="R50" s="637">
        <f t="shared" si="3"/>
        <v>0</v>
      </c>
    </row>
    <row r="51" spans="1:18">
      <c r="A51" s="619"/>
      <c r="B51" s="620"/>
      <c r="C51" s="624"/>
      <c r="D51" s="624"/>
      <c r="E51" s="3"/>
      <c r="F51" s="274"/>
      <c r="G51" s="274"/>
      <c r="H51" s="8"/>
      <c r="I51" s="5"/>
      <c r="J51" s="411">
        <f t="shared" si="0"/>
        <v>0</v>
      </c>
      <c r="K51" s="2"/>
      <c r="L51" s="8"/>
      <c r="M51" s="7"/>
      <c r="N51" s="9" t="str">
        <f t="shared" si="1"/>
        <v/>
      </c>
      <c r="O51" s="20"/>
      <c r="Q51" s="637">
        <f t="shared" si="2"/>
        <v>0</v>
      </c>
      <c r="R51" s="637">
        <f t="shared" si="3"/>
        <v>0</v>
      </c>
    </row>
    <row r="52" spans="1:18">
      <c r="A52" s="619"/>
      <c r="B52" s="620"/>
      <c r="C52" s="624"/>
      <c r="D52" s="624"/>
      <c r="E52" s="3"/>
      <c r="F52" s="274"/>
      <c r="G52" s="274"/>
      <c r="H52" s="8"/>
      <c r="I52" s="5"/>
      <c r="J52" s="411">
        <f t="shared" si="0"/>
        <v>0</v>
      </c>
      <c r="K52" s="2"/>
      <c r="L52" s="8"/>
      <c r="M52" s="7"/>
      <c r="N52" s="9" t="str">
        <f t="shared" si="1"/>
        <v/>
      </c>
      <c r="O52" s="20"/>
      <c r="Q52" s="637">
        <f t="shared" si="2"/>
        <v>0</v>
      </c>
      <c r="R52" s="637">
        <f t="shared" si="3"/>
        <v>0</v>
      </c>
    </row>
    <row r="53" spans="1:18">
      <c r="A53" s="619"/>
      <c r="B53" s="620"/>
      <c r="C53" s="624"/>
      <c r="D53" s="624"/>
      <c r="E53" s="3"/>
      <c r="F53" s="274"/>
      <c r="G53" s="274"/>
      <c r="H53" s="8"/>
      <c r="I53" s="5"/>
      <c r="J53" s="411">
        <f t="shared" si="0"/>
        <v>0</v>
      </c>
      <c r="K53" s="2"/>
      <c r="L53" s="8"/>
      <c r="M53" s="7"/>
      <c r="N53" s="9" t="str">
        <f t="shared" si="1"/>
        <v/>
      </c>
      <c r="O53" s="20"/>
      <c r="Q53" s="637">
        <f t="shared" si="2"/>
        <v>0</v>
      </c>
      <c r="R53" s="637">
        <f t="shared" si="3"/>
        <v>0</v>
      </c>
    </row>
    <row r="54" spans="1:18">
      <c r="A54" s="619"/>
      <c r="B54" s="620"/>
      <c r="C54" s="624"/>
      <c r="D54" s="624"/>
      <c r="E54" s="3"/>
      <c r="F54" s="274"/>
      <c r="G54" s="274"/>
      <c r="H54" s="8"/>
      <c r="I54" s="5"/>
      <c r="J54" s="411">
        <f t="shared" si="0"/>
        <v>0</v>
      </c>
      <c r="K54" s="2"/>
      <c r="L54" s="8"/>
      <c r="M54" s="7"/>
      <c r="N54" s="9" t="str">
        <f t="shared" si="1"/>
        <v/>
      </c>
      <c r="O54" s="20"/>
      <c r="Q54" s="637">
        <f t="shared" si="2"/>
        <v>0</v>
      </c>
      <c r="R54" s="637">
        <f t="shared" si="3"/>
        <v>0</v>
      </c>
    </row>
    <row r="55" spans="1:18">
      <c r="A55" s="619"/>
      <c r="B55" s="620"/>
      <c r="C55" s="624"/>
      <c r="D55" s="624"/>
      <c r="E55" s="3"/>
      <c r="F55" s="274"/>
      <c r="G55" s="274"/>
      <c r="H55" s="8"/>
      <c r="I55" s="5"/>
      <c r="J55" s="411">
        <f t="shared" si="0"/>
        <v>0</v>
      </c>
      <c r="K55" s="2"/>
      <c r="L55" s="8"/>
      <c r="M55" s="7"/>
      <c r="N55" s="9" t="str">
        <f t="shared" si="1"/>
        <v/>
      </c>
      <c r="O55" s="20"/>
      <c r="Q55" s="637">
        <f t="shared" si="2"/>
        <v>0</v>
      </c>
      <c r="R55" s="637">
        <f t="shared" si="3"/>
        <v>0</v>
      </c>
    </row>
    <row r="56" spans="1:18">
      <c r="A56" s="619"/>
      <c r="B56" s="620"/>
      <c r="C56" s="624"/>
      <c r="D56" s="624"/>
      <c r="E56" s="3"/>
      <c r="F56" s="274"/>
      <c r="G56" s="274"/>
      <c r="H56" s="8"/>
      <c r="I56" s="5"/>
      <c r="J56" s="411">
        <f t="shared" si="0"/>
        <v>0</v>
      </c>
      <c r="K56" s="2"/>
      <c r="L56" s="8"/>
      <c r="M56" s="7"/>
      <c r="N56" s="9" t="str">
        <f t="shared" si="1"/>
        <v/>
      </c>
      <c r="O56" s="20"/>
      <c r="Q56" s="637">
        <f t="shared" si="2"/>
        <v>0</v>
      </c>
      <c r="R56" s="637">
        <f t="shared" si="3"/>
        <v>0</v>
      </c>
    </row>
    <row r="57" spans="1:18">
      <c r="A57" s="619"/>
      <c r="B57" s="620"/>
      <c r="C57" s="624"/>
      <c r="D57" s="624"/>
      <c r="E57" s="3"/>
      <c r="F57" s="274"/>
      <c r="G57" s="274"/>
      <c r="H57" s="8"/>
      <c r="I57" s="5"/>
      <c r="J57" s="411">
        <f t="shared" si="0"/>
        <v>0</v>
      </c>
      <c r="K57" s="2"/>
      <c r="L57" s="8"/>
      <c r="M57" s="7"/>
      <c r="N57" s="9" t="str">
        <f t="shared" si="1"/>
        <v/>
      </c>
      <c r="O57" s="20"/>
      <c r="Q57" s="637">
        <f t="shared" si="2"/>
        <v>0</v>
      </c>
      <c r="R57" s="637">
        <f t="shared" si="3"/>
        <v>0</v>
      </c>
    </row>
    <row r="58" spans="1:18">
      <c r="A58" s="619"/>
      <c r="B58" s="620"/>
      <c r="C58" s="624"/>
      <c r="D58" s="624"/>
      <c r="E58" s="3"/>
      <c r="F58" s="274"/>
      <c r="G58" s="274"/>
      <c r="H58" s="8"/>
      <c r="I58" s="5"/>
      <c r="J58" s="411">
        <f t="shared" si="0"/>
        <v>0</v>
      </c>
      <c r="K58" s="2"/>
      <c r="L58" s="8"/>
      <c r="M58" s="7"/>
      <c r="N58" s="9" t="str">
        <f t="shared" si="1"/>
        <v/>
      </c>
      <c r="O58" s="20"/>
      <c r="Q58" s="637">
        <f t="shared" si="2"/>
        <v>0</v>
      </c>
      <c r="R58" s="637">
        <f t="shared" si="3"/>
        <v>0</v>
      </c>
    </row>
    <row r="59" spans="1:18">
      <c r="A59" s="619"/>
      <c r="B59" s="620"/>
      <c r="C59" s="624"/>
      <c r="D59" s="624"/>
      <c r="E59" s="3"/>
      <c r="F59" s="274"/>
      <c r="G59" s="274"/>
      <c r="H59" s="8"/>
      <c r="I59" s="5"/>
      <c r="J59" s="411">
        <f t="shared" si="0"/>
        <v>0</v>
      </c>
      <c r="K59" s="2"/>
      <c r="L59" s="8"/>
      <c r="M59" s="7"/>
      <c r="N59" s="9" t="str">
        <f t="shared" si="1"/>
        <v/>
      </c>
      <c r="O59" s="20"/>
      <c r="Q59" s="637">
        <f t="shared" si="2"/>
        <v>0</v>
      </c>
      <c r="R59" s="637">
        <f t="shared" si="3"/>
        <v>0</v>
      </c>
    </row>
    <row r="60" spans="1:18">
      <c r="A60" s="619"/>
      <c r="B60" s="620"/>
      <c r="C60" s="624"/>
      <c r="D60" s="624"/>
      <c r="E60" s="3"/>
      <c r="F60" s="274"/>
      <c r="G60" s="274"/>
      <c r="H60" s="8"/>
      <c r="I60" s="5"/>
      <c r="J60" s="411">
        <f t="shared" si="0"/>
        <v>0</v>
      </c>
      <c r="K60" s="2"/>
      <c r="L60" s="8"/>
      <c r="M60" s="7"/>
      <c r="N60" s="9" t="str">
        <f t="shared" si="1"/>
        <v/>
      </c>
      <c r="O60" s="20"/>
      <c r="Q60" s="637">
        <f t="shared" si="2"/>
        <v>0</v>
      </c>
      <c r="R60" s="637">
        <f t="shared" si="3"/>
        <v>0</v>
      </c>
    </row>
    <row r="61" spans="1:18">
      <c r="A61" s="619"/>
      <c r="B61" s="620"/>
      <c r="C61" s="624"/>
      <c r="D61" s="624"/>
      <c r="E61" s="3"/>
      <c r="F61" s="274"/>
      <c r="G61" s="274"/>
      <c r="H61" s="8"/>
      <c r="I61" s="5"/>
      <c r="J61" s="411">
        <f t="shared" si="0"/>
        <v>0</v>
      </c>
      <c r="K61" s="2"/>
      <c r="L61" s="8"/>
      <c r="M61" s="7"/>
      <c r="N61" s="9" t="str">
        <f t="shared" si="1"/>
        <v/>
      </c>
      <c r="O61" s="20"/>
      <c r="Q61" s="637">
        <f t="shared" si="2"/>
        <v>0</v>
      </c>
      <c r="R61" s="637">
        <f t="shared" si="3"/>
        <v>0</v>
      </c>
    </row>
    <row r="62" spans="1:18">
      <c r="A62" s="619"/>
      <c r="B62" s="620"/>
      <c r="C62" s="624"/>
      <c r="D62" s="624"/>
      <c r="E62" s="3"/>
      <c r="F62" s="274"/>
      <c r="G62" s="274"/>
      <c r="H62" s="8"/>
      <c r="I62" s="5"/>
      <c r="J62" s="411">
        <f t="shared" si="0"/>
        <v>0</v>
      </c>
      <c r="K62" s="2"/>
      <c r="L62" s="8"/>
      <c r="M62" s="7"/>
      <c r="N62" s="9" t="str">
        <f t="shared" si="1"/>
        <v/>
      </c>
      <c r="O62" s="20"/>
      <c r="Q62" s="637">
        <f t="shared" si="2"/>
        <v>0</v>
      </c>
      <c r="R62" s="637">
        <f t="shared" si="3"/>
        <v>0</v>
      </c>
    </row>
    <row r="63" spans="1:18">
      <c r="A63" s="619"/>
      <c r="B63" s="620"/>
      <c r="C63" s="624"/>
      <c r="D63" s="624"/>
      <c r="E63" s="3"/>
      <c r="F63" s="274"/>
      <c r="G63" s="274"/>
      <c r="H63" s="8"/>
      <c r="I63" s="5"/>
      <c r="J63" s="411">
        <f t="shared" si="0"/>
        <v>0</v>
      </c>
      <c r="K63" s="2"/>
      <c r="L63" s="8"/>
      <c r="M63" s="7"/>
      <c r="N63" s="9" t="str">
        <f t="shared" si="1"/>
        <v/>
      </c>
      <c r="O63" s="20"/>
      <c r="Q63" s="637">
        <f t="shared" si="2"/>
        <v>0</v>
      </c>
      <c r="R63" s="637">
        <f t="shared" si="3"/>
        <v>0</v>
      </c>
    </row>
    <row r="64" spans="1:18">
      <c r="A64" s="619"/>
      <c r="B64" s="620"/>
      <c r="C64" s="624"/>
      <c r="D64" s="624"/>
      <c r="E64" s="3"/>
      <c r="F64" s="274"/>
      <c r="G64" s="274"/>
      <c r="H64" s="8"/>
      <c r="I64" s="5"/>
      <c r="J64" s="411">
        <f t="shared" si="0"/>
        <v>0</v>
      </c>
      <c r="K64" s="2"/>
      <c r="L64" s="8"/>
      <c r="M64" s="7"/>
      <c r="N64" s="9" t="str">
        <f t="shared" si="1"/>
        <v/>
      </c>
      <c r="O64" s="20"/>
      <c r="Q64" s="637">
        <f t="shared" si="2"/>
        <v>0</v>
      </c>
      <c r="R64" s="637">
        <f t="shared" si="3"/>
        <v>0</v>
      </c>
    </row>
    <row r="65" spans="1:18">
      <c r="A65" s="619"/>
      <c r="B65" s="620"/>
      <c r="C65" s="624"/>
      <c r="D65" s="624"/>
      <c r="E65" s="3"/>
      <c r="F65" s="274"/>
      <c r="G65" s="274"/>
      <c r="H65" s="8"/>
      <c r="I65" s="5"/>
      <c r="J65" s="411">
        <f t="shared" si="0"/>
        <v>0</v>
      </c>
      <c r="K65" s="2"/>
      <c r="L65" s="8"/>
      <c r="M65" s="7"/>
      <c r="N65" s="9" t="str">
        <f t="shared" si="1"/>
        <v/>
      </c>
      <c r="O65" s="20"/>
      <c r="Q65" s="637">
        <f t="shared" si="2"/>
        <v>0</v>
      </c>
      <c r="R65" s="637">
        <f t="shared" si="3"/>
        <v>0</v>
      </c>
    </row>
    <row r="66" spans="1:18">
      <c r="A66" s="619"/>
      <c r="B66" s="620"/>
      <c r="C66" s="624"/>
      <c r="D66" s="624"/>
      <c r="E66" s="3"/>
      <c r="F66" s="274"/>
      <c r="G66" s="274"/>
      <c r="H66" s="8"/>
      <c r="I66" s="5"/>
      <c r="J66" s="411">
        <f t="shared" si="0"/>
        <v>0</v>
      </c>
      <c r="K66" s="2"/>
      <c r="L66" s="8"/>
      <c r="M66" s="7"/>
      <c r="N66" s="9" t="str">
        <f t="shared" si="1"/>
        <v/>
      </c>
      <c r="O66" s="20"/>
      <c r="Q66" s="637">
        <f t="shared" si="2"/>
        <v>0</v>
      </c>
      <c r="R66" s="637">
        <f t="shared" si="3"/>
        <v>0</v>
      </c>
    </row>
    <row r="67" spans="1:18">
      <c r="A67" s="619"/>
      <c r="B67" s="620"/>
      <c r="C67" s="624"/>
      <c r="D67" s="624"/>
      <c r="E67" s="3"/>
      <c r="F67" s="274"/>
      <c r="G67" s="274"/>
      <c r="H67" s="8"/>
      <c r="I67" s="5"/>
      <c r="J67" s="411">
        <f t="shared" si="0"/>
        <v>0</v>
      </c>
      <c r="K67" s="2"/>
      <c r="L67" s="8"/>
      <c r="M67" s="7"/>
      <c r="N67" s="9" t="str">
        <f t="shared" si="1"/>
        <v/>
      </c>
      <c r="O67" s="20"/>
      <c r="Q67" s="637">
        <f t="shared" si="2"/>
        <v>0</v>
      </c>
      <c r="R67" s="637">
        <f t="shared" si="3"/>
        <v>0</v>
      </c>
    </row>
    <row r="68" spans="1:18">
      <c r="A68" s="619"/>
      <c r="B68" s="620"/>
      <c r="C68" s="624"/>
      <c r="D68" s="624"/>
      <c r="E68" s="3"/>
      <c r="F68" s="274"/>
      <c r="G68" s="274"/>
      <c r="H68" s="8"/>
      <c r="I68" s="5"/>
      <c r="J68" s="411">
        <f t="shared" si="0"/>
        <v>0</v>
      </c>
      <c r="K68" s="2"/>
      <c r="L68" s="8"/>
      <c r="M68" s="7"/>
      <c r="N68" s="9" t="str">
        <f t="shared" si="1"/>
        <v/>
      </c>
      <c r="O68" s="20"/>
      <c r="Q68" s="637">
        <f t="shared" si="2"/>
        <v>0</v>
      </c>
      <c r="R68" s="637">
        <f t="shared" si="3"/>
        <v>0</v>
      </c>
    </row>
    <row r="69" spans="1:18">
      <c r="A69" s="619"/>
      <c r="B69" s="620"/>
      <c r="C69" s="624"/>
      <c r="D69" s="624"/>
      <c r="E69" s="3"/>
      <c r="F69" s="274"/>
      <c r="G69" s="274"/>
      <c r="H69" s="8"/>
      <c r="I69" s="5"/>
      <c r="J69" s="411">
        <f t="shared" si="0"/>
        <v>0</v>
      </c>
      <c r="K69" s="2"/>
      <c r="L69" s="8"/>
      <c r="M69" s="7"/>
      <c r="N69" s="9" t="str">
        <f t="shared" si="1"/>
        <v/>
      </c>
      <c r="O69" s="20"/>
      <c r="Q69" s="637">
        <f t="shared" si="2"/>
        <v>0</v>
      </c>
      <c r="R69" s="637">
        <f t="shared" si="3"/>
        <v>0</v>
      </c>
    </row>
    <row r="70" spans="1:18">
      <c r="A70" s="619"/>
      <c r="B70" s="620"/>
      <c r="C70" s="624"/>
      <c r="D70" s="624"/>
      <c r="E70" s="3"/>
      <c r="F70" s="274"/>
      <c r="G70" s="274"/>
      <c r="H70" s="8"/>
      <c r="I70" s="5"/>
      <c r="J70" s="411">
        <f t="shared" ref="J70:J133" si="4">(+F70*G70+H70*I70)*E70</f>
        <v>0</v>
      </c>
      <c r="K70" s="2"/>
      <c r="L70" s="8"/>
      <c r="M70" s="7"/>
      <c r="N70" s="9" t="str">
        <f t="shared" ref="N70:N133" si="5">IF(K70=0,"",L70*M70*E70)</f>
        <v/>
      </c>
      <c r="O70" s="20"/>
      <c r="Q70" s="637">
        <f t="shared" ref="Q70:Q133" si="6">F70*G70*E70</f>
        <v>0</v>
      </c>
      <c r="R70" s="637">
        <f t="shared" ref="R70:R133" si="7">H70*E70*I70</f>
        <v>0</v>
      </c>
    </row>
    <row r="71" spans="1:18">
      <c r="A71" s="619"/>
      <c r="B71" s="620"/>
      <c r="C71" s="624"/>
      <c r="D71" s="624"/>
      <c r="E71" s="3"/>
      <c r="F71" s="274"/>
      <c r="G71" s="274"/>
      <c r="H71" s="8"/>
      <c r="I71" s="5"/>
      <c r="J71" s="411">
        <f t="shared" si="4"/>
        <v>0</v>
      </c>
      <c r="K71" s="2"/>
      <c r="L71" s="8"/>
      <c r="M71" s="7"/>
      <c r="N71" s="9" t="str">
        <f t="shared" si="5"/>
        <v/>
      </c>
      <c r="O71" s="20"/>
      <c r="Q71" s="637">
        <f t="shared" si="6"/>
        <v>0</v>
      </c>
      <c r="R71" s="637">
        <f t="shared" si="7"/>
        <v>0</v>
      </c>
    </row>
    <row r="72" spans="1:18">
      <c r="A72" s="619"/>
      <c r="B72" s="620"/>
      <c r="C72" s="624"/>
      <c r="D72" s="624"/>
      <c r="E72" s="3"/>
      <c r="F72" s="274"/>
      <c r="G72" s="274"/>
      <c r="H72" s="8"/>
      <c r="I72" s="5"/>
      <c r="J72" s="411">
        <f t="shared" si="4"/>
        <v>0</v>
      </c>
      <c r="K72" s="2"/>
      <c r="L72" s="8"/>
      <c r="M72" s="7"/>
      <c r="N72" s="9" t="str">
        <f t="shared" si="5"/>
        <v/>
      </c>
      <c r="O72" s="20"/>
      <c r="Q72" s="637">
        <f t="shared" si="6"/>
        <v>0</v>
      </c>
      <c r="R72" s="637">
        <f t="shared" si="7"/>
        <v>0</v>
      </c>
    </row>
    <row r="73" spans="1:18">
      <c r="A73" s="619"/>
      <c r="B73" s="620"/>
      <c r="C73" s="624"/>
      <c r="D73" s="624"/>
      <c r="E73" s="3"/>
      <c r="F73" s="274"/>
      <c r="G73" s="274"/>
      <c r="H73" s="8"/>
      <c r="I73" s="5"/>
      <c r="J73" s="411">
        <f t="shared" si="4"/>
        <v>0</v>
      </c>
      <c r="K73" s="2"/>
      <c r="L73" s="8"/>
      <c r="M73" s="7"/>
      <c r="N73" s="9" t="str">
        <f t="shared" si="5"/>
        <v/>
      </c>
      <c r="O73" s="20"/>
      <c r="Q73" s="637">
        <f t="shared" si="6"/>
        <v>0</v>
      </c>
      <c r="R73" s="637">
        <f t="shared" si="7"/>
        <v>0</v>
      </c>
    </row>
    <row r="74" spans="1:18">
      <c r="A74" s="619"/>
      <c r="B74" s="620"/>
      <c r="C74" s="624"/>
      <c r="D74" s="624"/>
      <c r="E74" s="3"/>
      <c r="F74" s="274"/>
      <c r="G74" s="274"/>
      <c r="H74" s="8"/>
      <c r="I74" s="5"/>
      <c r="J74" s="411">
        <f t="shared" si="4"/>
        <v>0</v>
      </c>
      <c r="K74" s="2"/>
      <c r="L74" s="8"/>
      <c r="M74" s="7"/>
      <c r="N74" s="9" t="str">
        <f t="shared" si="5"/>
        <v/>
      </c>
      <c r="O74" s="20"/>
      <c r="Q74" s="637">
        <f t="shared" si="6"/>
        <v>0</v>
      </c>
      <c r="R74" s="637">
        <f t="shared" si="7"/>
        <v>0</v>
      </c>
    </row>
    <row r="75" spans="1:18">
      <c r="A75" s="619"/>
      <c r="B75" s="620"/>
      <c r="C75" s="624"/>
      <c r="D75" s="624"/>
      <c r="E75" s="3"/>
      <c r="F75" s="274"/>
      <c r="G75" s="274"/>
      <c r="H75" s="8"/>
      <c r="I75" s="5"/>
      <c r="J75" s="411">
        <f t="shared" si="4"/>
        <v>0</v>
      </c>
      <c r="K75" s="2"/>
      <c r="L75" s="8"/>
      <c r="M75" s="7"/>
      <c r="N75" s="9" t="str">
        <f t="shared" si="5"/>
        <v/>
      </c>
      <c r="O75" s="20"/>
      <c r="Q75" s="637">
        <f t="shared" si="6"/>
        <v>0</v>
      </c>
      <c r="R75" s="637">
        <f t="shared" si="7"/>
        <v>0</v>
      </c>
    </row>
    <row r="76" spans="1:18">
      <c r="A76" s="619"/>
      <c r="B76" s="620"/>
      <c r="C76" s="624"/>
      <c r="D76" s="624"/>
      <c r="E76" s="3"/>
      <c r="F76" s="274"/>
      <c r="G76" s="274"/>
      <c r="H76" s="8"/>
      <c r="I76" s="5"/>
      <c r="J76" s="411">
        <f t="shared" si="4"/>
        <v>0</v>
      </c>
      <c r="K76" s="2"/>
      <c r="L76" s="8"/>
      <c r="M76" s="7"/>
      <c r="N76" s="9" t="str">
        <f t="shared" si="5"/>
        <v/>
      </c>
      <c r="O76" s="20"/>
      <c r="Q76" s="637">
        <f t="shared" si="6"/>
        <v>0</v>
      </c>
      <c r="R76" s="637">
        <f t="shared" si="7"/>
        <v>0</v>
      </c>
    </row>
    <row r="77" spans="1:18">
      <c r="A77" s="619"/>
      <c r="B77" s="620"/>
      <c r="C77" s="624"/>
      <c r="D77" s="624"/>
      <c r="E77" s="3"/>
      <c r="F77" s="274"/>
      <c r="G77" s="274"/>
      <c r="H77" s="8"/>
      <c r="I77" s="5"/>
      <c r="J77" s="411">
        <f t="shared" si="4"/>
        <v>0</v>
      </c>
      <c r="K77" s="2"/>
      <c r="L77" s="8"/>
      <c r="M77" s="7"/>
      <c r="N77" s="9" t="str">
        <f t="shared" si="5"/>
        <v/>
      </c>
      <c r="O77" s="20"/>
      <c r="Q77" s="637">
        <f t="shared" si="6"/>
        <v>0</v>
      </c>
      <c r="R77" s="637">
        <f t="shared" si="7"/>
        <v>0</v>
      </c>
    </row>
    <row r="78" spans="1:18">
      <c r="A78" s="619"/>
      <c r="B78" s="620"/>
      <c r="C78" s="624"/>
      <c r="D78" s="624"/>
      <c r="E78" s="3"/>
      <c r="F78" s="274"/>
      <c r="G78" s="274"/>
      <c r="H78" s="8"/>
      <c r="I78" s="5"/>
      <c r="J78" s="411">
        <f t="shared" si="4"/>
        <v>0</v>
      </c>
      <c r="K78" s="2"/>
      <c r="L78" s="8"/>
      <c r="M78" s="7"/>
      <c r="N78" s="9" t="str">
        <f t="shared" si="5"/>
        <v/>
      </c>
      <c r="O78" s="20"/>
      <c r="Q78" s="637">
        <f t="shared" si="6"/>
        <v>0</v>
      </c>
      <c r="R78" s="637">
        <f t="shared" si="7"/>
        <v>0</v>
      </c>
    </row>
    <row r="79" spans="1:18">
      <c r="A79" s="619"/>
      <c r="B79" s="620"/>
      <c r="C79" s="624"/>
      <c r="D79" s="624"/>
      <c r="E79" s="3"/>
      <c r="F79" s="274"/>
      <c r="G79" s="274"/>
      <c r="H79" s="8"/>
      <c r="I79" s="5"/>
      <c r="J79" s="411">
        <f t="shared" si="4"/>
        <v>0</v>
      </c>
      <c r="K79" s="2"/>
      <c r="L79" s="8"/>
      <c r="M79" s="7"/>
      <c r="N79" s="9" t="str">
        <f t="shared" si="5"/>
        <v/>
      </c>
      <c r="O79" s="20"/>
      <c r="Q79" s="637">
        <f t="shared" si="6"/>
        <v>0</v>
      </c>
      <c r="R79" s="637">
        <f t="shared" si="7"/>
        <v>0</v>
      </c>
    </row>
    <row r="80" spans="1:18">
      <c r="A80" s="619"/>
      <c r="B80" s="620"/>
      <c r="C80" s="624"/>
      <c r="D80" s="624"/>
      <c r="E80" s="3"/>
      <c r="F80" s="274"/>
      <c r="G80" s="274"/>
      <c r="H80" s="8"/>
      <c r="I80" s="5"/>
      <c r="J80" s="411">
        <f t="shared" si="4"/>
        <v>0</v>
      </c>
      <c r="K80" s="2"/>
      <c r="L80" s="8"/>
      <c r="M80" s="7"/>
      <c r="N80" s="9" t="str">
        <f t="shared" si="5"/>
        <v/>
      </c>
      <c r="O80" s="20"/>
      <c r="Q80" s="637">
        <f t="shared" si="6"/>
        <v>0</v>
      </c>
      <c r="R80" s="637">
        <f t="shared" si="7"/>
        <v>0</v>
      </c>
    </row>
    <row r="81" spans="1:18">
      <c r="A81" s="619"/>
      <c r="B81" s="620"/>
      <c r="C81" s="624"/>
      <c r="D81" s="624"/>
      <c r="E81" s="3"/>
      <c r="F81" s="274"/>
      <c r="G81" s="274"/>
      <c r="H81" s="8"/>
      <c r="I81" s="5"/>
      <c r="J81" s="411">
        <f t="shared" si="4"/>
        <v>0</v>
      </c>
      <c r="K81" s="2"/>
      <c r="L81" s="8"/>
      <c r="M81" s="7"/>
      <c r="N81" s="9" t="str">
        <f t="shared" si="5"/>
        <v/>
      </c>
      <c r="O81" s="20"/>
      <c r="Q81" s="637">
        <f t="shared" si="6"/>
        <v>0</v>
      </c>
      <c r="R81" s="637">
        <f t="shared" si="7"/>
        <v>0</v>
      </c>
    </row>
    <row r="82" spans="1:18">
      <c r="A82" s="619"/>
      <c r="B82" s="620"/>
      <c r="C82" s="624"/>
      <c r="D82" s="624"/>
      <c r="E82" s="3"/>
      <c r="F82" s="274"/>
      <c r="G82" s="274"/>
      <c r="H82" s="8"/>
      <c r="I82" s="5"/>
      <c r="J82" s="411">
        <f t="shared" si="4"/>
        <v>0</v>
      </c>
      <c r="K82" s="2"/>
      <c r="L82" s="8"/>
      <c r="M82" s="7"/>
      <c r="N82" s="9" t="str">
        <f t="shared" si="5"/>
        <v/>
      </c>
      <c r="O82" s="20"/>
      <c r="Q82" s="637">
        <f t="shared" si="6"/>
        <v>0</v>
      </c>
      <c r="R82" s="637">
        <f t="shared" si="7"/>
        <v>0</v>
      </c>
    </row>
    <row r="83" spans="1:18">
      <c r="A83" s="619"/>
      <c r="B83" s="620"/>
      <c r="C83" s="624"/>
      <c r="D83" s="624"/>
      <c r="E83" s="3"/>
      <c r="F83" s="274"/>
      <c r="G83" s="274"/>
      <c r="H83" s="8"/>
      <c r="I83" s="5"/>
      <c r="J83" s="411">
        <f t="shared" si="4"/>
        <v>0</v>
      </c>
      <c r="K83" s="2"/>
      <c r="L83" s="8"/>
      <c r="M83" s="7"/>
      <c r="N83" s="9" t="str">
        <f t="shared" si="5"/>
        <v/>
      </c>
      <c r="O83" s="20"/>
      <c r="Q83" s="637">
        <f t="shared" si="6"/>
        <v>0</v>
      </c>
      <c r="R83" s="637">
        <f t="shared" si="7"/>
        <v>0</v>
      </c>
    </row>
    <row r="84" spans="1:18">
      <c r="A84" s="619"/>
      <c r="B84" s="620"/>
      <c r="C84" s="624"/>
      <c r="D84" s="624"/>
      <c r="E84" s="3"/>
      <c r="F84" s="274"/>
      <c r="G84" s="274"/>
      <c r="H84" s="8"/>
      <c r="I84" s="5"/>
      <c r="J84" s="411">
        <f t="shared" si="4"/>
        <v>0</v>
      </c>
      <c r="K84" s="2"/>
      <c r="L84" s="8"/>
      <c r="M84" s="7"/>
      <c r="N84" s="9" t="str">
        <f t="shared" si="5"/>
        <v/>
      </c>
      <c r="O84" s="20"/>
      <c r="Q84" s="637">
        <f t="shared" si="6"/>
        <v>0</v>
      </c>
      <c r="R84" s="637">
        <f t="shared" si="7"/>
        <v>0</v>
      </c>
    </row>
    <row r="85" spans="1:18">
      <c r="A85" s="619"/>
      <c r="B85" s="620"/>
      <c r="C85" s="624"/>
      <c r="D85" s="624"/>
      <c r="E85" s="3"/>
      <c r="F85" s="274"/>
      <c r="G85" s="274"/>
      <c r="H85" s="8"/>
      <c r="I85" s="5"/>
      <c r="J85" s="411">
        <f t="shared" si="4"/>
        <v>0</v>
      </c>
      <c r="K85" s="2"/>
      <c r="L85" s="8"/>
      <c r="M85" s="7"/>
      <c r="N85" s="9" t="str">
        <f t="shared" si="5"/>
        <v/>
      </c>
      <c r="O85" s="20"/>
      <c r="Q85" s="637">
        <f t="shared" si="6"/>
        <v>0</v>
      </c>
      <c r="R85" s="637">
        <f t="shared" si="7"/>
        <v>0</v>
      </c>
    </row>
    <row r="86" spans="1:18">
      <c r="A86" s="619"/>
      <c r="B86" s="620"/>
      <c r="C86" s="624"/>
      <c r="D86" s="624"/>
      <c r="E86" s="3"/>
      <c r="F86" s="274"/>
      <c r="G86" s="274"/>
      <c r="H86" s="8"/>
      <c r="I86" s="5"/>
      <c r="J86" s="411">
        <f t="shared" si="4"/>
        <v>0</v>
      </c>
      <c r="K86" s="2"/>
      <c r="L86" s="8"/>
      <c r="M86" s="7"/>
      <c r="N86" s="9" t="str">
        <f t="shared" si="5"/>
        <v/>
      </c>
      <c r="O86" s="20"/>
      <c r="Q86" s="637">
        <f t="shared" si="6"/>
        <v>0</v>
      </c>
      <c r="R86" s="637">
        <f t="shared" si="7"/>
        <v>0</v>
      </c>
    </row>
    <row r="87" spans="1:18">
      <c r="A87" s="626"/>
      <c r="B87" s="627"/>
      <c r="C87" s="624"/>
      <c r="D87" s="624"/>
      <c r="E87" s="3"/>
      <c r="F87" s="274"/>
      <c r="G87" s="274"/>
      <c r="H87" s="8"/>
      <c r="I87" s="5"/>
      <c r="J87" s="411">
        <f t="shared" si="4"/>
        <v>0</v>
      </c>
      <c r="K87" s="2"/>
      <c r="L87" s="8"/>
      <c r="M87" s="7"/>
      <c r="N87" s="9" t="str">
        <f t="shared" si="5"/>
        <v/>
      </c>
      <c r="O87" s="20"/>
      <c r="Q87" s="637">
        <f t="shared" si="6"/>
        <v>0</v>
      </c>
      <c r="R87" s="637">
        <f t="shared" si="7"/>
        <v>0</v>
      </c>
    </row>
    <row r="88" spans="1:18">
      <c r="A88" s="619"/>
      <c r="B88" s="620"/>
      <c r="C88" s="624"/>
      <c r="D88" s="624"/>
      <c r="E88" s="3"/>
      <c r="F88" s="274"/>
      <c r="G88" s="274"/>
      <c r="H88" s="8"/>
      <c r="I88" s="5"/>
      <c r="J88" s="411">
        <f t="shared" si="4"/>
        <v>0</v>
      </c>
      <c r="K88" s="2"/>
      <c r="L88" s="8"/>
      <c r="M88" s="7"/>
      <c r="N88" s="9" t="str">
        <f t="shared" si="5"/>
        <v/>
      </c>
      <c r="O88" s="20"/>
      <c r="Q88" s="637">
        <f t="shared" si="6"/>
        <v>0</v>
      </c>
      <c r="R88" s="637">
        <f t="shared" si="7"/>
        <v>0</v>
      </c>
    </row>
    <row r="89" spans="1:18">
      <c r="A89" s="619"/>
      <c r="B89" s="620"/>
      <c r="C89" s="624"/>
      <c r="D89" s="624"/>
      <c r="E89" s="3"/>
      <c r="F89" s="274"/>
      <c r="G89" s="274"/>
      <c r="H89" s="8"/>
      <c r="I89" s="5"/>
      <c r="J89" s="411">
        <f t="shared" si="4"/>
        <v>0</v>
      </c>
      <c r="K89" s="2"/>
      <c r="L89" s="8"/>
      <c r="M89" s="7"/>
      <c r="N89" s="9" t="str">
        <f t="shared" si="5"/>
        <v/>
      </c>
      <c r="O89" s="20"/>
      <c r="Q89" s="637">
        <f t="shared" si="6"/>
        <v>0</v>
      </c>
      <c r="R89" s="637">
        <f t="shared" si="7"/>
        <v>0</v>
      </c>
    </row>
    <row r="90" spans="1:18">
      <c r="A90" s="619"/>
      <c r="B90" s="620"/>
      <c r="C90" s="624"/>
      <c r="D90" s="624"/>
      <c r="E90" s="3"/>
      <c r="F90" s="274"/>
      <c r="G90" s="274"/>
      <c r="H90" s="8"/>
      <c r="I90" s="5"/>
      <c r="J90" s="411">
        <f t="shared" si="4"/>
        <v>0</v>
      </c>
      <c r="K90" s="2"/>
      <c r="L90" s="8"/>
      <c r="M90" s="7"/>
      <c r="N90" s="9" t="str">
        <f t="shared" si="5"/>
        <v/>
      </c>
      <c r="O90" s="20"/>
      <c r="Q90" s="637">
        <f t="shared" si="6"/>
        <v>0</v>
      </c>
      <c r="R90" s="637">
        <f t="shared" si="7"/>
        <v>0</v>
      </c>
    </row>
    <row r="91" spans="1:18">
      <c r="A91" s="619"/>
      <c r="B91" s="620"/>
      <c r="C91" s="624"/>
      <c r="D91" s="624"/>
      <c r="E91" s="3"/>
      <c r="F91" s="274"/>
      <c r="G91" s="274"/>
      <c r="H91" s="8"/>
      <c r="I91" s="5"/>
      <c r="J91" s="411">
        <f t="shared" si="4"/>
        <v>0</v>
      </c>
      <c r="K91" s="2"/>
      <c r="L91" s="8"/>
      <c r="M91" s="7"/>
      <c r="N91" s="9" t="str">
        <f t="shared" si="5"/>
        <v/>
      </c>
      <c r="O91" s="20"/>
      <c r="Q91" s="637">
        <f t="shared" si="6"/>
        <v>0</v>
      </c>
      <c r="R91" s="637">
        <f t="shared" si="7"/>
        <v>0</v>
      </c>
    </row>
    <row r="92" spans="1:18">
      <c r="A92" s="619"/>
      <c r="B92" s="620"/>
      <c r="C92" s="624"/>
      <c r="D92" s="624"/>
      <c r="E92" s="3"/>
      <c r="F92" s="274"/>
      <c r="G92" s="274"/>
      <c r="H92" s="8"/>
      <c r="I92" s="5"/>
      <c r="J92" s="411">
        <f t="shared" si="4"/>
        <v>0</v>
      </c>
      <c r="K92" s="2"/>
      <c r="L92" s="8"/>
      <c r="M92" s="7"/>
      <c r="N92" s="9" t="str">
        <f t="shared" si="5"/>
        <v/>
      </c>
      <c r="O92" s="20"/>
      <c r="Q92" s="637">
        <f t="shared" si="6"/>
        <v>0</v>
      </c>
      <c r="R92" s="637">
        <f t="shared" si="7"/>
        <v>0</v>
      </c>
    </row>
    <row r="93" spans="1:18">
      <c r="A93" s="619"/>
      <c r="B93" s="620"/>
      <c r="C93" s="624"/>
      <c r="D93" s="624"/>
      <c r="E93" s="3"/>
      <c r="F93" s="274"/>
      <c r="G93" s="274"/>
      <c r="H93" s="8"/>
      <c r="I93" s="5"/>
      <c r="J93" s="411">
        <f t="shared" si="4"/>
        <v>0</v>
      </c>
      <c r="K93" s="2"/>
      <c r="L93" s="8"/>
      <c r="M93" s="7"/>
      <c r="N93" s="9" t="str">
        <f t="shared" si="5"/>
        <v/>
      </c>
      <c r="O93" s="20"/>
      <c r="Q93" s="637">
        <f t="shared" si="6"/>
        <v>0</v>
      </c>
      <c r="R93" s="637">
        <f t="shared" si="7"/>
        <v>0</v>
      </c>
    </row>
    <row r="94" spans="1:18">
      <c r="A94" s="619"/>
      <c r="B94" s="620"/>
      <c r="C94" s="624"/>
      <c r="D94" s="624"/>
      <c r="E94" s="3"/>
      <c r="F94" s="274"/>
      <c r="G94" s="274"/>
      <c r="H94" s="8"/>
      <c r="I94" s="5"/>
      <c r="J94" s="411">
        <f t="shared" si="4"/>
        <v>0</v>
      </c>
      <c r="K94" s="2"/>
      <c r="L94" s="8"/>
      <c r="M94" s="7"/>
      <c r="N94" s="9" t="str">
        <f t="shared" si="5"/>
        <v/>
      </c>
      <c r="O94" s="20"/>
      <c r="Q94" s="637">
        <f t="shared" si="6"/>
        <v>0</v>
      </c>
      <c r="R94" s="637">
        <f t="shared" si="7"/>
        <v>0</v>
      </c>
    </row>
    <row r="95" spans="1:18">
      <c r="A95" s="619"/>
      <c r="B95" s="620"/>
      <c r="C95" s="624"/>
      <c r="D95" s="624"/>
      <c r="E95" s="3"/>
      <c r="F95" s="274"/>
      <c r="G95" s="274"/>
      <c r="H95" s="8"/>
      <c r="I95" s="5"/>
      <c r="J95" s="411">
        <f t="shared" si="4"/>
        <v>0</v>
      </c>
      <c r="K95" s="2"/>
      <c r="L95" s="8"/>
      <c r="M95" s="7"/>
      <c r="N95" s="9" t="str">
        <f t="shared" si="5"/>
        <v/>
      </c>
      <c r="O95" s="20"/>
      <c r="Q95" s="637">
        <f t="shared" si="6"/>
        <v>0</v>
      </c>
      <c r="R95" s="637">
        <f t="shared" si="7"/>
        <v>0</v>
      </c>
    </row>
    <row r="96" spans="1:18">
      <c r="A96" s="619"/>
      <c r="B96" s="620"/>
      <c r="C96" s="624"/>
      <c r="D96" s="624"/>
      <c r="E96" s="3"/>
      <c r="F96" s="274"/>
      <c r="G96" s="274"/>
      <c r="H96" s="8"/>
      <c r="I96" s="5"/>
      <c r="J96" s="411">
        <f t="shared" si="4"/>
        <v>0</v>
      </c>
      <c r="K96" s="2"/>
      <c r="L96" s="8"/>
      <c r="M96" s="7"/>
      <c r="N96" s="9" t="str">
        <f t="shared" si="5"/>
        <v/>
      </c>
      <c r="O96" s="20"/>
      <c r="Q96" s="637">
        <f t="shared" si="6"/>
        <v>0</v>
      </c>
      <c r="R96" s="637">
        <f t="shared" si="7"/>
        <v>0</v>
      </c>
    </row>
    <row r="97" spans="1:18">
      <c r="A97" s="619"/>
      <c r="B97" s="620"/>
      <c r="C97" s="624"/>
      <c r="D97" s="624"/>
      <c r="E97" s="3"/>
      <c r="F97" s="274"/>
      <c r="G97" s="274"/>
      <c r="H97" s="8"/>
      <c r="I97" s="5"/>
      <c r="J97" s="411">
        <f t="shared" si="4"/>
        <v>0</v>
      </c>
      <c r="K97" s="2"/>
      <c r="L97" s="8"/>
      <c r="M97" s="7"/>
      <c r="N97" s="9" t="str">
        <f t="shared" si="5"/>
        <v/>
      </c>
      <c r="O97" s="20"/>
      <c r="Q97" s="637">
        <f t="shared" si="6"/>
        <v>0</v>
      </c>
      <c r="R97" s="637">
        <f t="shared" si="7"/>
        <v>0</v>
      </c>
    </row>
    <row r="98" spans="1:18">
      <c r="A98" s="619"/>
      <c r="B98" s="620"/>
      <c r="C98" s="624"/>
      <c r="D98" s="624"/>
      <c r="E98" s="3"/>
      <c r="F98" s="274"/>
      <c r="G98" s="274"/>
      <c r="H98" s="8"/>
      <c r="I98" s="5"/>
      <c r="J98" s="411">
        <f t="shared" si="4"/>
        <v>0</v>
      </c>
      <c r="K98" s="2"/>
      <c r="L98" s="8"/>
      <c r="M98" s="7"/>
      <c r="N98" s="9" t="str">
        <f t="shared" si="5"/>
        <v/>
      </c>
      <c r="O98" s="20"/>
      <c r="Q98" s="637">
        <f t="shared" si="6"/>
        <v>0</v>
      </c>
      <c r="R98" s="637">
        <f t="shared" si="7"/>
        <v>0</v>
      </c>
    </row>
    <row r="99" spans="1:18">
      <c r="A99" s="619"/>
      <c r="B99" s="620"/>
      <c r="C99" s="624"/>
      <c r="D99" s="624"/>
      <c r="E99" s="3"/>
      <c r="F99" s="274"/>
      <c r="G99" s="274"/>
      <c r="H99" s="8"/>
      <c r="I99" s="5"/>
      <c r="J99" s="411">
        <f t="shared" si="4"/>
        <v>0</v>
      </c>
      <c r="K99" s="2"/>
      <c r="L99" s="8"/>
      <c r="M99" s="7"/>
      <c r="N99" s="9" t="str">
        <f t="shared" si="5"/>
        <v/>
      </c>
      <c r="O99" s="20"/>
      <c r="Q99" s="637">
        <f t="shared" si="6"/>
        <v>0</v>
      </c>
      <c r="R99" s="637">
        <f t="shared" si="7"/>
        <v>0</v>
      </c>
    </row>
    <row r="100" spans="1:18">
      <c r="A100" s="619"/>
      <c r="B100" s="620"/>
      <c r="C100" s="624"/>
      <c r="D100" s="624"/>
      <c r="E100" s="3"/>
      <c r="F100" s="274"/>
      <c r="G100" s="274"/>
      <c r="H100" s="8"/>
      <c r="I100" s="5"/>
      <c r="J100" s="411">
        <f t="shared" si="4"/>
        <v>0</v>
      </c>
      <c r="K100" s="2"/>
      <c r="L100" s="8"/>
      <c r="M100" s="7"/>
      <c r="N100" s="9" t="str">
        <f t="shared" si="5"/>
        <v/>
      </c>
      <c r="O100" s="20"/>
      <c r="Q100" s="637">
        <f t="shared" si="6"/>
        <v>0</v>
      </c>
      <c r="R100" s="637">
        <f t="shared" si="7"/>
        <v>0</v>
      </c>
    </row>
    <row r="101" spans="1:18">
      <c r="A101" s="619"/>
      <c r="B101" s="620"/>
      <c r="C101" s="624"/>
      <c r="D101" s="624"/>
      <c r="E101" s="3"/>
      <c r="F101" s="274"/>
      <c r="G101" s="274"/>
      <c r="H101" s="8"/>
      <c r="I101" s="5"/>
      <c r="J101" s="411">
        <f t="shared" si="4"/>
        <v>0</v>
      </c>
      <c r="K101" s="2"/>
      <c r="L101" s="8"/>
      <c r="M101" s="7"/>
      <c r="N101" s="9" t="str">
        <f t="shared" si="5"/>
        <v/>
      </c>
      <c r="O101" s="20"/>
      <c r="Q101" s="637">
        <f t="shared" si="6"/>
        <v>0</v>
      </c>
      <c r="R101" s="637">
        <f t="shared" si="7"/>
        <v>0</v>
      </c>
    </row>
    <row r="102" spans="1:18">
      <c r="A102" s="619"/>
      <c r="B102" s="620"/>
      <c r="C102" s="624"/>
      <c r="D102" s="624"/>
      <c r="E102" s="3"/>
      <c r="F102" s="274"/>
      <c r="G102" s="274"/>
      <c r="H102" s="8"/>
      <c r="I102" s="5"/>
      <c r="J102" s="411">
        <f t="shared" si="4"/>
        <v>0</v>
      </c>
      <c r="K102" s="2"/>
      <c r="L102" s="8"/>
      <c r="M102" s="7"/>
      <c r="N102" s="9" t="str">
        <f t="shared" si="5"/>
        <v/>
      </c>
      <c r="O102" s="20"/>
      <c r="Q102" s="637">
        <f t="shared" si="6"/>
        <v>0</v>
      </c>
      <c r="R102" s="637">
        <f t="shared" si="7"/>
        <v>0</v>
      </c>
    </row>
    <row r="103" spans="1:18">
      <c r="A103" s="619"/>
      <c r="B103" s="620"/>
      <c r="C103" s="624"/>
      <c r="D103" s="624"/>
      <c r="E103" s="3"/>
      <c r="F103" s="274"/>
      <c r="G103" s="274"/>
      <c r="H103" s="8"/>
      <c r="I103" s="5"/>
      <c r="J103" s="411">
        <f t="shared" si="4"/>
        <v>0</v>
      </c>
      <c r="K103" s="2"/>
      <c r="L103" s="8"/>
      <c r="M103" s="7"/>
      <c r="N103" s="9" t="str">
        <f t="shared" si="5"/>
        <v/>
      </c>
      <c r="O103" s="20"/>
      <c r="Q103" s="637">
        <f t="shared" si="6"/>
        <v>0</v>
      </c>
      <c r="R103" s="637">
        <f t="shared" si="7"/>
        <v>0</v>
      </c>
    </row>
    <row r="104" spans="1:18">
      <c r="A104" s="619"/>
      <c r="B104" s="620"/>
      <c r="C104" s="624"/>
      <c r="D104" s="624"/>
      <c r="E104" s="3"/>
      <c r="F104" s="274"/>
      <c r="G104" s="274"/>
      <c r="H104" s="8"/>
      <c r="I104" s="5"/>
      <c r="J104" s="411">
        <f t="shared" si="4"/>
        <v>0</v>
      </c>
      <c r="K104" s="2"/>
      <c r="L104" s="8"/>
      <c r="M104" s="7"/>
      <c r="N104" s="9" t="str">
        <f t="shared" si="5"/>
        <v/>
      </c>
      <c r="O104" s="20"/>
      <c r="Q104" s="637">
        <f t="shared" si="6"/>
        <v>0</v>
      </c>
      <c r="R104" s="637">
        <f t="shared" si="7"/>
        <v>0</v>
      </c>
    </row>
    <row r="105" spans="1:18">
      <c r="A105" s="619"/>
      <c r="B105" s="620"/>
      <c r="C105" s="624"/>
      <c r="D105" s="624"/>
      <c r="E105" s="3"/>
      <c r="F105" s="274"/>
      <c r="G105" s="274"/>
      <c r="H105" s="8"/>
      <c r="I105" s="5"/>
      <c r="J105" s="411">
        <f t="shared" si="4"/>
        <v>0</v>
      </c>
      <c r="K105" s="2"/>
      <c r="L105" s="8"/>
      <c r="M105" s="7"/>
      <c r="N105" s="9" t="str">
        <f t="shared" si="5"/>
        <v/>
      </c>
      <c r="O105" s="20"/>
      <c r="Q105" s="637">
        <f t="shared" si="6"/>
        <v>0</v>
      </c>
      <c r="R105" s="637">
        <f t="shared" si="7"/>
        <v>0</v>
      </c>
    </row>
    <row r="106" spans="1:18">
      <c r="A106" s="619"/>
      <c r="B106" s="620"/>
      <c r="C106" s="624"/>
      <c r="D106" s="624"/>
      <c r="E106" s="3"/>
      <c r="F106" s="274"/>
      <c r="G106" s="274"/>
      <c r="H106" s="8"/>
      <c r="I106" s="5"/>
      <c r="J106" s="411">
        <f t="shared" si="4"/>
        <v>0</v>
      </c>
      <c r="K106" s="2"/>
      <c r="L106" s="8"/>
      <c r="M106" s="7"/>
      <c r="N106" s="9" t="str">
        <f t="shared" si="5"/>
        <v/>
      </c>
      <c r="O106" s="20"/>
      <c r="Q106" s="637">
        <f t="shared" si="6"/>
        <v>0</v>
      </c>
      <c r="R106" s="637">
        <f t="shared" si="7"/>
        <v>0</v>
      </c>
    </row>
    <row r="107" spans="1:18">
      <c r="A107" s="619"/>
      <c r="B107" s="620"/>
      <c r="C107" s="624"/>
      <c r="D107" s="624"/>
      <c r="E107" s="3"/>
      <c r="F107" s="274"/>
      <c r="G107" s="274"/>
      <c r="H107" s="8"/>
      <c r="I107" s="5"/>
      <c r="J107" s="411">
        <f t="shared" si="4"/>
        <v>0</v>
      </c>
      <c r="K107" s="2"/>
      <c r="L107" s="8"/>
      <c r="M107" s="7"/>
      <c r="N107" s="9" t="str">
        <f t="shared" si="5"/>
        <v/>
      </c>
      <c r="O107" s="20"/>
      <c r="Q107" s="637">
        <f t="shared" si="6"/>
        <v>0</v>
      </c>
      <c r="R107" s="637">
        <f t="shared" si="7"/>
        <v>0</v>
      </c>
    </row>
    <row r="108" spans="1:18">
      <c r="A108" s="619"/>
      <c r="B108" s="620"/>
      <c r="C108" s="624"/>
      <c r="D108" s="624"/>
      <c r="E108" s="3"/>
      <c r="F108" s="274"/>
      <c r="G108" s="274"/>
      <c r="H108" s="8"/>
      <c r="I108" s="5"/>
      <c r="J108" s="411">
        <f t="shared" si="4"/>
        <v>0</v>
      </c>
      <c r="K108" s="2"/>
      <c r="L108" s="8"/>
      <c r="M108" s="7"/>
      <c r="N108" s="9" t="str">
        <f t="shared" si="5"/>
        <v/>
      </c>
      <c r="O108" s="20"/>
      <c r="Q108" s="637">
        <f t="shared" si="6"/>
        <v>0</v>
      </c>
      <c r="R108" s="637">
        <f t="shared" si="7"/>
        <v>0</v>
      </c>
    </row>
    <row r="109" spans="1:18">
      <c r="A109" s="619"/>
      <c r="B109" s="620"/>
      <c r="C109" s="624"/>
      <c r="D109" s="624"/>
      <c r="E109" s="3"/>
      <c r="F109" s="274"/>
      <c r="G109" s="274"/>
      <c r="H109" s="8"/>
      <c r="I109" s="5"/>
      <c r="J109" s="411">
        <f t="shared" si="4"/>
        <v>0</v>
      </c>
      <c r="K109" s="2"/>
      <c r="L109" s="8"/>
      <c r="M109" s="7"/>
      <c r="N109" s="9" t="str">
        <f t="shared" si="5"/>
        <v/>
      </c>
      <c r="O109" s="20"/>
      <c r="Q109" s="637">
        <f t="shared" si="6"/>
        <v>0</v>
      </c>
      <c r="R109" s="637">
        <f t="shared" si="7"/>
        <v>0</v>
      </c>
    </row>
    <row r="110" spans="1:18">
      <c r="A110" s="619"/>
      <c r="B110" s="620"/>
      <c r="C110" s="624"/>
      <c r="D110" s="624"/>
      <c r="E110" s="3"/>
      <c r="F110" s="274"/>
      <c r="G110" s="274"/>
      <c r="H110" s="8"/>
      <c r="I110" s="5"/>
      <c r="J110" s="411">
        <f t="shared" si="4"/>
        <v>0</v>
      </c>
      <c r="K110" s="2"/>
      <c r="L110" s="8"/>
      <c r="M110" s="7"/>
      <c r="N110" s="9" t="str">
        <f t="shared" si="5"/>
        <v/>
      </c>
      <c r="O110" s="20"/>
      <c r="Q110" s="637">
        <f t="shared" si="6"/>
        <v>0</v>
      </c>
      <c r="R110" s="637">
        <f t="shared" si="7"/>
        <v>0</v>
      </c>
    </row>
    <row r="111" spans="1:18">
      <c r="A111" s="619"/>
      <c r="B111" s="620"/>
      <c r="C111" s="624"/>
      <c r="D111" s="624"/>
      <c r="E111" s="3"/>
      <c r="F111" s="274"/>
      <c r="G111" s="274"/>
      <c r="H111" s="8"/>
      <c r="I111" s="5"/>
      <c r="J111" s="411">
        <f t="shared" si="4"/>
        <v>0</v>
      </c>
      <c r="K111" s="2"/>
      <c r="L111" s="8"/>
      <c r="M111" s="7"/>
      <c r="N111" s="9" t="str">
        <f t="shared" si="5"/>
        <v/>
      </c>
      <c r="O111" s="20"/>
      <c r="Q111" s="637">
        <f t="shared" si="6"/>
        <v>0</v>
      </c>
      <c r="R111" s="637">
        <f t="shared" si="7"/>
        <v>0</v>
      </c>
    </row>
    <row r="112" spans="1:18">
      <c r="A112" s="619"/>
      <c r="B112" s="620"/>
      <c r="C112" s="624"/>
      <c r="D112" s="624"/>
      <c r="E112" s="3"/>
      <c r="F112" s="274"/>
      <c r="G112" s="274"/>
      <c r="H112" s="8"/>
      <c r="I112" s="5"/>
      <c r="J112" s="411">
        <f t="shared" si="4"/>
        <v>0</v>
      </c>
      <c r="K112" s="2"/>
      <c r="L112" s="8"/>
      <c r="M112" s="7"/>
      <c r="N112" s="9" t="str">
        <f t="shared" si="5"/>
        <v/>
      </c>
      <c r="O112" s="20"/>
      <c r="Q112" s="637">
        <f t="shared" si="6"/>
        <v>0</v>
      </c>
      <c r="R112" s="637">
        <f t="shared" si="7"/>
        <v>0</v>
      </c>
    </row>
    <row r="113" spans="1:18">
      <c r="A113" s="619"/>
      <c r="B113" s="620"/>
      <c r="C113" s="624"/>
      <c r="D113" s="624"/>
      <c r="E113" s="3"/>
      <c r="F113" s="274"/>
      <c r="G113" s="274"/>
      <c r="H113" s="8"/>
      <c r="I113" s="5"/>
      <c r="J113" s="411">
        <f t="shared" si="4"/>
        <v>0</v>
      </c>
      <c r="K113" s="2"/>
      <c r="L113" s="8"/>
      <c r="M113" s="7"/>
      <c r="N113" s="9" t="str">
        <f t="shared" si="5"/>
        <v/>
      </c>
      <c r="O113" s="20"/>
      <c r="Q113" s="637">
        <f t="shared" si="6"/>
        <v>0</v>
      </c>
      <c r="R113" s="637">
        <f t="shared" si="7"/>
        <v>0</v>
      </c>
    </row>
    <row r="114" spans="1:18">
      <c r="A114" s="619"/>
      <c r="B114" s="620"/>
      <c r="C114" s="624"/>
      <c r="D114" s="624"/>
      <c r="E114" s="3"/>
      <c r="F114" s="274"/>
      <c r="G114" s="274"/>
      <c r="H114" s="8"/>
      <c r="I114" s="5"/>
      <c r="J114" s="411">
        <f t="shared" si="4"/>
        <v>0</v>
      </c>
      <c r="K114" s="2"/>
      <c r="L114" s="8"/>
      <c r="M114" s="7"/>
      <c r="N114" s="9" t="str">
        <f t="shared" si="5"/>
        <v/>
      </c>
      <c r="O114" s="20"/>
      <c r="Q114" s="637">
        <f t="shared" si="6"/>
        <v>0</v>
      </c>
      <c r="R114" s="637">
        <f t="shared" si="7"/>
        <v>0</v>
      </c>
    </row>
    <row r="115" spans="1:18">
      <c r="A115" s="619"/>
      <c r="B115" s="620"/>
      <c r="C115" s="624"/>
      <c r="D115" s="624"/>
      <c r="E115" s="3"/>
      <c r="F115" s="274"/>
      <c r="G115" s="274"/>
      <c r="H115" s="8"/>
      <c r="I115" s="5"/>
      <c r="J115" s="411">
        <f t="shared" si="4"/>
        <v>0</v>
      </c>
      <c r="K115" s="2"/>
      <c r="L115" s="8"/>
      <c r="M115" s="7"/>
      <c r="N115" s="9" t="str">
        <f t="shared" si="5"/>
        <v/>
      </c>
      <c r="O115" s="20"/>
      <c r="Q115" s="637">
        <f t="shared" si="6"/>
        <v>0</v>
      </c>
      <c r="R115" s="637">
        <f t="shared" si="7"/>
        <v>0</v>
      </c>
    </row>
    <row r="116" spans="1:18">
      <c r="A116" s="619"/>
      <c r="B116" s="620"/>
      <c r="C116" s="624"/>
      <c r="D116" s="624"/>
      <c r="E116" s="3"/>
      <c r="F116" s="274"/>
      <c r="G116" s="274"/>
      <c r="H116" s="8"/>
      <c r="I116" s="5"/>
      <c r="J116" s="411">
        <f t="shared" si="4"/>
        <v>0</v>
      </c>
      <c r="K116" s="2"/>
      <c r="L116" s="8"/>
      <c r="M116" s="7"/>
      <c r="N116" s="9" t="str">
        <f t="shared" si="5"/>
        <v/>
      </c>
      <c r="O116" s="20"/>
      <c r="Q116" s="637">
        <f t="shared" si="6"/>
        <v>0</v>
      </c>
      <c r="R116" s="637">
        <f t="shared" si="7"/>
        <v>0</v>
      </c>
    </row>
    <row r="117" spans="1:18">
      <c r="A117" s="619"/>
      <c r="B117" s="620"/>
      <c r="C117" s="624"/>
      <c r="D117" s="624"/>
      <c r="E117" s="3"/>
      <c r="F117" s="274"/>
      <c r="G117" s="274"/>
      <c r="H117" s="8"/>
      <c r="I117" s="5"/>
      <c r="J117" s="411">
        <f t="shared" si="4"/>
        <v>0</v>
      </c>
      <c r="K117" s="2"/>
      <c r="L117" s="8"/>
      <c r="M117" s="7"/>
      <c r="N117" s="9" t="str">
        <f t="shared" si="5"/>
        <v/>
      </c>
      <c r="O117" s="20"/>
      <c r="Q117" s="637">
        <f t="shared" si="6"/>
        <v>0</v>
      </c>
      <c r="R117" s="637">
        <f t="shared" si="7"/>
        <v>0</v>
      </c>
    </row>
    <row r="118" spans="1:18">
      <c r="A118" s="619"/>
      <c r="B118" s="620"/>
      <c r="C118" s="624"/>
      <c r="D118" s="624"/>
      <c r="E118" s="3"/>
      <c r="F118" s="274"/>
      <c r="G118" s="274"/>
      <c r="H118" s="8"/>
      <c r="I118" s="5"/>
      <c r="J118" s="411">
        <f t="shared" si="4"/>
        <v>0</v>
      </c>
      <c r="K118" s="2"/>
      <c r="L118" s="8"/>
      <c r="M118" s="7"/>
      <c r="N118" s="9" t="str">
        <f t="shared" si="5"/>
        <v/>
      </c>
      <c r="O118" s="20"/>
      <c r="Q118" s="637">
        <f t="shared" si="6"/>
        <v>0</v>
      </c>
      <c r="R118" s="637">
        <f t="shared" si="7"/>
        <v>0</v>
      </c>
    </row>
    <row r="119" spans="1:18">
      <c r="A119" s="619"/>
      <c r="B119" s="620"/>
      <c r="C119" s="624"/>
      <c r="D119" s="624"/>
      <c r="E119" s="3"/>
      <c r="F119" s="274"/>
      <c r="G119" s="274"/>
      <c r="H119" s="8"/>
      <c r="I119" s="5"/>
      <c r="J119" s="411">
        <f t="shared" si="4"/>
        <v>0</v>
      </c>
      <c r="K119" s="2"/>
      <c r="L119" s="8"/>
      <c r="M119" s="7"/>
      <c r="N119" s="9" t="str">
        <f t="shared" si="5"/>
        <v/>
      </c>
      <c r="O119" s="20"/>
      <c r="Q119" s="637">
        <f t="shared" si="6"/>
        <v>0</v>
      </c>
      <c r="R119" s="637">
        <f t="shared" si="7"/>
        <v>0</v>
      </c>
    </row>
    <row r="120" spans="1:18">
      <c r="A120" s="619"/>
      <c r="B120" s="620"/>
      <c r="C120" s="624"/>
      <c r="D120" s="624"/>
      <c r="E120" s="3"/>
      <c r="F120" s="274"/>
      <c r="G120" s="274"/>
      <c r="H120" s="8"/>
      <c r="I120" s="5"/>
      <c r="J120" s="411">
        <f t="shared" si="4"/>
        <v>0</v>
      </c>
      <c r="K120" s="2"/>
      <c r="L120" s="8"/>
      <c r="M120" s="7"/>
      <c r="N120" s="9" t="str">
        <f t="shared" si="5"/>
        <v/>
      </c>
      <c r="O120" s="20"/>
      <c r="Q120" s="637">
        <f t="shared" si="6"/>
        <v>0</v>
      </c>
      <c r="R120" s="637">
        <f t="shared" si="7"/>
        <v>0</v>
      </c>
    </row>
    <row r="121" spans="1:18">
      <c r="A121" s="619"/>
      <c r="B121" s="620"/>
      <c r="C121" s="624"/>
      <c r="D121" s="624"/>
      <c r="E121" s="3"/>
      <c r="F121" s="274"/>
      <c r="G121" s="274"/>
      <c r="H121" s="8"/>
      <c r="I121" s="5"/>
      <c r="J121" s="411">
        <f t="shared" si="4"/>
        <v>0</v>
      </c>
      <c r="K121" s="2"/>
      <c r="L121" s="8"/>
      <c r="M121" s="7"/>
      <c r="N121" s="9" t="str">
        <f t="shared" si="5"/>
        <v/>
      </c>
      <c r="O121" s="20"/>
      <c r="Q121" s="637">
        <f t="shared" si="6"/>
        <v>0</v>
      </c>
      <c r="R121" s="637">
        <f t="shared" si="7"/>
        <v>0</v>
      </c>
    </row>
    <row r="122" spans="1:18">
      <c r="A122" s="619"/>
      <c r="B122" s="620"/>
      <c r="C122" s="624"/>
      <c r="D122" s="624"/>
      <c r="E122" s="3"/>
      <c r="F122" s="274"/>
      <c r="G122" s="274"/>
      <c r="H122" s="8"/>
      <c r="I122" s="5"/>
      <c r="J122" s="411">
        <f t="shared" si="4"/>
        <v>0</v>
      </c>
      <c r="K122" s="2"/>
      <c r="L122" s="8"/>
      <c r="M122" s="7"/>
      <c r="N122" s="9" t="str">
        <f t="shared" si="5"/>
        <v/>
      </c>
      <c r="O122" s="20"/>
      <c r="Q122" s="637">
        <f t="shared" si="6"/>
        <v>0</v>
      </c>
      <c r="R122" s="637">
        <f t="shared" si="7"/>
        <v>0</v>
      </c>
    </row>
    <row r="123" spans="1:18">
      <c r="A123" s="619"/>
      <c r="B123" s="620"/>
      <c r="C123" s="624"/>
      <c r="D123" s="624"/>
      <c r="E123" s="3"/>
      <c r="F123" s="274"/>
      <c r="G123" s="274"/>
      <c r="H123" s="8"/>
      <c r="I123" s="5"/>
      <c r="J123" s="411">
        <f t="shared" si="4"/>
        <v>0</v>
      </c>
      <c r="K123" s="2"/>
      <c r="L123" s="8"/>
      <c r="M123" s="7"/>
      <c r="N123" s="9" t="str">
        <f t="shared" si="5"/>
        <v/>
      </c>
      <c r="O123" s="20"/>
      <c r="Q123" s="637">
        <f t="shared" si="6"/>
        <v>0</v>
      </c>
      <c r="R123" s="637">
        <f t="shared" si="7"/>
        <v>0</v>
      </c>
    </row>
    <row r="124" spans="1:18">
      <c r="A124" s="619"/>
      <c r="B124" s="620"/>
      <c r="C124" s="624"/>
      <c r="D124" s="624"/>
      <c r="E124" s="3"/>
      <c r="F124" s="274"/>
      <c r="G124" s="274"/>
      <c r="H124" s="8"/>
      <c r="I124" s="5"/>
      <c r="J124" s="411">
        <f t="shared" si="4"/>
        <v>0</v>
      </c>
      <c r="K124" s="2"/>
      <c r="L124" s="8"/>
      <c r="M124" s="7"/>
      <c r="N124" s="9" t="str">
        <f t="shared" si="5"/>
        <v/>
      </c>
      <c r="O124" s="20"/>
      <c r="Q124" s="637">
        <f t="shared" si="6"/>
        <v>0</v>
      </c>
      <c r="R124" s="637">
        <f t="shared" si="7"/>
        <v>0</v>
      </c>
    </row>
    <row r="125" spans="1:18">
      <c r="A125" s="619"/>
      <c r="B125" s="620"/>
      <c r="C125" s="624"/>
      <c r="D125" s="624"/>
      <c r="E125" s="3"/>
      <c r="F125" s="274"/>
      <c r="G125" s="274"/>
      <c r="H125" s="8"/>
      <c r="I125" s="5"/>
      <c r="J125" s="411">
        <f t="shared" si="4"/>
        <v>0</v>
      </c>
      <c r="K125" s="2"/>
      <c r="L125" s="8"/>
      <c r="M125" s="7"/>
      <c r="N125" s="9" t="str">
        <f t="shared" si="5"/>
        <v/>
      </c>
      <c r="O125" s="20"/>
      <c r="Q125" s="637">
        <f t="shared" si="6"/>
        <v>0</v>
      </c>
      <c r="R125" s="637">
        <f t="shared" si="7"/>
        <v>0</v>
      </c>
    </row>
    <row r="126" spans="1:18">
      <c r="A126" s="619"/>
      <c r="B126" s="620"/>
      <c r="C126" s="624"/>
      <c r="D126" s="624"/>
      <c r="E126" s="3"/>
      <c r="F126" s="274"/>
      <c r="G126" s="274"/>
      <c r="H126" s="8"/>
      <c r="I126" s="5"/>
      <c r="J126" s="411">
        <f t="shared" si="4"/>
        <v>0</v>
      </c>
      <c r="K126" s="2"/>
      <c r="L126" s="8"/>
      <c r="M126" s="7"/>
      <c r="N126" s="9" t="str">
        <f t="shared" si="5"/>
        <v/>
      </c>
      <c r="O126" s="20"/>
      <c r="Q126" s="637">
        <f t="shared" si="6"/>
        <v>0</v>
      </c>
      <c r="R126" s="637">
        <f t="shared" si="7"/>
        <v>0</v>
      </c>
    </row>
    <row r="127" spans="1:18">
      <c r="A127" s="619"/>
      <c r="B127" s="620"/>
      <c r="C127" s="624"/>
      <c r="D127" s="624"/>
      <c r="E127" s="3"/>
      <c r="F127" s="274"/>
      <c r="G127" s="274"/>
      <c r="H127" s="8"/>
      <c r="I127" s="5"/>
      <c r="J127" s="411">
        <f t="shared" si="4"/>
        <v>0</v>
      </c>
      <c r="K127" s="2"/>
      <c r="L127" s="8"/>
      <c r="M127" s="7"/>
      <c r="N127" s="9" t="str">
        <f t="shared" si="5"/>
        <v/>
      </c>
      <c r="O127" s="20"/>
      <c r="Q127" s="637">
        <f t="shared" si="6"/>
        <v>0</v>
      </c>
      <c r="R127" s="637">
        <f t="shared" si="7"/>
        <v>0</v>
      </c>
    </row>
    <row r="128" spans="1:18">
      <c r="A128" s="619"/>
      <c r="B128" s="620"/>
      <c r="C128" s="624"/>
      <c r="D128" s="624"/>
      <c r="E128" s="3"/>
      <c r="F128" s="274"/>
      <c r="G128" s="274"/>
      <c r="H128" s="8"/>
      <c r="I128" s="5"/>
      <c r="J128" s="411">
        <f t="shared" si="4"/>
        <v>0</v>
      </c>
      <c r="K128" s="2"/>
      <c r="L128" s="8"/>
      <c r="M128" s="7"/>
      <c r="N128" s="9" t="str">
        <f t="shared" si="5"/>
        <v/>
      </c>
      <c r="O128" s="20"/>
      <c r="Q128" s="637">
        <f t="shared" si="6"/>
        <v>0</v>
      </c>
      <c r="R128" s="637">
        <f t="shared" si="7"/>
        <v>0</v>
      </c>
    </row>
    <row r="129" spans="1:18">
      <c r="A129" s="619"/>
      <c r="B129" s="620"/>
      <c r="C129" s="624"/>
      <c r="D129" s="624"/>
      <c r="E129" s="3"/>
      <c r="F129" s="274"/>
      <c r="G129" s="274"/>
      <c r="H129" s="8"/>
      <c r="I129" s="5"/>
      <c r="J129" s="411">
        <f t="shared" si="4"/>
        <v>0</v>
      </c>
      <c r="K129" s="2"/>
      <c r="L129" s="8"/>
      <c r="M129" s="7"/>
      <c r="N129" s="9" t="str">
        <f t="shared" si="5"/>
        <v/>
      </c>
      <c r="O129" s="20"/>
      <c r="Q129" s="637">
        <f t="shared" si="6"/>
        <v>0</v>
      </c>
      <c r="R129" s="637">
        <f t="shared" si="7"/>
        <v>0</v>
      </c>
    </row>
    <row r="130" spans="1:18">
      <c r="A130" s="619"/>
      <c r="B130" s="620"/>
      <c r="C130" s="624"/>
      <c r="D130" s="624"/>
      <c r="E130" s="3"/>
      <c r="F130" s="274"/>
      <c r="G130" s="274"/>
      <c r="H130" s="8"/>
      <c r="I130" s="5"/>
      <c r="J130" s="411">
        <f t="shared" si="4"/>
        <v>0</v>
      </c>
      <c r="K130" s="2"/>
      <c r="L130" s="8"/>
      <c r="M130" s="7"/>
      <c r="N130" s="9" t="str">
        <f t="shared" si="5"/>
        <v/>
      </c>
      <c r="O130" s="20"/>
      <c r="Q130" s="637">
        <f t="shared" si="6"/>
        <v>0</v>
      </c>
      <c r="R130" s="637">
        <f t="shared" si="7"/>
        <v>0</v>
      </c>
    </row>
    <row r="131" spans="1:18">
      <c r="A131" s="619"/>
      <c r="B131" s="620"/>
      <c r="C131" s="624"/>
      <c r="D131" s="624"/>
      <c r="E131" s="3"/>
      <c r="F131" s="274"/>
      <c r="G131" s="274"/>
      <c r="H131" s="8"/>
      <c r="I131" s="5"/>
      <c r="J131" s="411">
        <f t="shared" si="4"/>
        <v>0</v>
      </c>
      <c r="K131" s="2"/>
      <c r="L131" s="8"/>
      <c r="M131" s="7"/>
      <c r="N131" s="9" t="str">
        <f t="shared" si="5"/>
        <v/>
      </c>
      <c r="O131" s="20"/>
      <c r="Q131" s="637">
        <f t="shared" si="6"/>
        <v>0</v>
      </c>
      <c r="R131" s="637">
        <f t="shared" si="7"/>
        <v>0</v>
      </c>
    </row>
    <row r="132" spans="1:18">
      <c r="A132" s="619"/>
      <c r="B132" s="620"/>
      <c r="C132" s="624"/>
      <c r="D132" s="624"/>
      <c r="E132" s="3"/>
      <c r="F132" s="274"/>
      <c r="G132" s="274"/>
      <c r="H132" s="8"/>
      <c r="I132" s="5"/>
      <c r="J132" s="411">
        <f t="shared" si="4"/>
        <v>0</v>
      </c>
      <c r="K132" s="2"/>
      <c r="L132" s="8"/>
      <c r="M132" s="7"/>
      <c r="N132" s="9" t="str">
        <f t="shared" si="5"/>
        <v/>
      </c>
      <c r="O132" s="20"/>
      <c r="Q132" s="637">
        <f t="shared" si="6"/>
        <v>0</v>
      </c>
      <c r="R132" s="637">
        <f t="shared" si="7"/>
        <v>0</v>
      </c>
    </row>
    <row r="133" spans="1:18">
      <c r="A133" s="619"/>
      <c r="B133" s="620"/>
      <c r="C133" s="624"/>
      <c r="D133" s="624"/>
      <c r="E133" s="3"/>
      <c r="F133" s="274"/>
      <c r="G133" s="274"/>
      <c r="H133" s="8"/>
      <c r="I133" s="5"/>
      <c r="J133" s="411">
        <f t="shared" si="4"/>
        <v>0</v>
      </c>
      <c r="K133" s="2"/>
      <c r="L133" s="8"/>
      <c r="M133" s="7"/>
      <c r="N133" s="9" t="str">
        <f t="shared" si="5"/>
        <v/>
      </c>
      <c r="O133" s="20"/>
      <c r="Q133" s="637">
        <f t="shared" si="6"/>
        <v>0</v>
      </c>
      <c r="R133" s="637">
        <f t="shared" si="7"/>
        <v>0</v>
      </c>
    </row>
    <row r="134" spans="1:18">
      <c r="A134" s="619"/>
      <c r="B134" s="620"/>
      <c r="C134" s="624"/>
      <c r="D134" s="624"/>
      <c r="E134" s="3"/>
      <c r="F134" s="274"/>
      <c r="G134" s="274"/>
      <c r="H134" s="8"/>
      <c r="I134" s="5"/>
      <c r="J134" s="411">
        <f t="shared" ref="J134:J197" si="8">(+F134*G134+H134*I134)*E134</f>
        <v>0</v>
      </c>
      <c r="K134" s="2"/>
      <c r="L134" s="8"/>
      <c r="M134" s="7"/>
      <c r="N134" s="9" t="str">
        <f t="shared" ref="N134:N197" si="9">IF(K134=0,"",L134*M134*E134)</f>
        <v/>
      </c>
      <c r="O134" s="20"/>
      <c r="Q134" s="637">
        <f t="shared" ref="Q134:Q197" si="10">F134*G134*E134</f>
        <v>0</v>
      </c>
      <c r="R134" s="637">
        <f t="shared" ref="R134:R197" si="11">H134*E134*I134</f>
        <v>0</v>
      </c>
    </row>
    <row r="135" spans="1:18">
      <c r="A135" s="619"/>
      <c r="B135" s="620"/>
      <c r="C135" s="624"/>
      <c r="D135" s="624"/>
      <c r="E135" s="3"/>
      <c r="F135" s="274"/>
      <c r="G135" s="274"/>
      <c r="H135" s="8"/>
      <c r="I135" s="5"/>
      <c r="J135" s="411">
        <f t="shared" si="8"/>
        <v>0</v>
      </c>
      <c r="K135" s="2"/>
      <c r="L135" s="8"/>
      <c r="M135" s="7"/>
      <c r="N135" s="9" t="str">
        <f t="shared" si="9"/>
        <v/>
      </c>
      <c r="O135" s="20"/>
      <c r="Q135" s="637">
        <f t="shared" si="10"/>
        <v>0</v>
      </c>
      <c r="R135" s="637">
        <f t="shared" si="11"/>
        <v>0</v>
      </c>
    </row>
    <row r="136" spans="1:18">
      <c r="A136" s="619"/>
      <c r="B136" s="620"/>
      <c r="C136" s="624"/>
      <c r="D136" s="624"/>
      <c r="E136" s="3"/>
      <c r="F136" s="274"/>
      <c r="G136" s="274"/>
      <c r="H136" s="8"/>
      <c r="I136" s="5"/>
      <c r="J136" s="411">
        <f t="shared" si="8"/>
        <v>0</v>
      </c>
      <c r="K136" s="2"/>
      <c r="L136" s="8"/>
      <c r="M136" s="7"/>
      <c r="N136" s="9" t="str">
        <f t="shared" si="9"/>
        <v/>
      </c>
      <c r="O136" s="20"/>
      <c r="Q136" s="637">
        <f t="shared" si="10"/>
        <v>0</v>
      </c>
      <c r="R136" s="637">
        <f t="shared" si="11"/>
        <v>0</v>
      </c>
    </row>
    <row r="137" spans="1:18">
      <c r="A137" s="619"/>
      <c r="B137" s="620"/>
      <c r="C137" s="624"/>
      <c r="D137" s="624"/>
      <c r="E137" s="3"/>
      <c r="F137" s="274"/>
      <c r="G137" s="274"/>
      <c r="H137" s="8"/>
      <c r="I137" s="5"/>
      <c r="J137" s="411">
        <f t="shared" si="8"/>
        <v>0</v>
      </c>
      <c r="K137" s="2"/>
      <c r="L137" s="8"/>
      <c r="M137" s="7"/>
      <c r="N137" s="9" t="str">
        <f t="shared" si="9"/>
        <v/>
      </c>
      <c r="O137" s="20"/>
      <c r="Q137" s="637">
        <f t="shared" si="10"/>
        <v>0</v>
      </c>
      <c r="R137" s="637">
        <f t="shared" si="11"/>
        <v>0</v>
      </c>
    </row>
    <row r="138" spans="1:18">
      <c r="A138" s="619"/>
      <c r="B138" s="620"/>
      <c r="C138" s="624"/>
      <c r="D138" s="624"/>
      <c r="E138" s="3"/>
      <c r="F138" s="274"/>
      <c r="G138" s="274"/>
      <c r="H138" s="8"/>
      <c r="I138" s="5"/>
      <c r="J138" s="411">
        <f t="shared" si="8"/>
        <v>0</v>
      </c>
      <c r="K138" s="2"/>
      <c r="L138" s="8"/>
      <c r="M138" s="7"/>
      <c r="N138" s="9" t="str">
        <f t="shared" si="9"/>
        <v/>
      </c>
      <c r="O138" s="20"/>
      <c r="Q138" s="637">
        <f t="shared" si="10"/>
        <v>0</v>
      </c>
      <c r="R138" s="637">
        <f t="shared" si="11"/>
        <v>0</v>
      </c>
    </row>
    <row r="139" spans="1:18">
      <c r="A139" s="619"/>
      <c r="B139" s="620"/>
      <c r="C139" s="624"/>
      <c r="D139" s="624"/>
      <c r="E139" s="3"/>
      <c r="F139" s="274"/>
      <c r="G139" s="274"/>
      <c r="H139" s="8"/>
      <c r="I139" s="5"/>
      <c r="J139" s="411">
        <f t="shared" si="8"/>
        <v>0</v>
      </c>
      <c r="K139" s="2"/>
      <c r="L139" s="8"/>
      <c r="M139" s="7"/>
      <c r="N139" s="9" t="str">
        <f t="shared" si="9"/>
        <v/>
      </c>
      <c r="O139" s="20"/>
      <c r="Q139" s="637">
        <f t="shared" si="10"/>
        <v>0</v>
      </c>
      <c r="R139" s="637">
        <f t="shared" si="11"/>
        <v>0</v>
      </c>
    </row>
    <row r="140" spans="1:18">
      <c r="A140" s="619"/>
      <c r="B140" s="620"/>
      <c r="C140" s="624"/>
      <c r="D140" s="624"/>
      <c r="E140" s="3"/>
      <c r="F140" s="274"/>
      <c r="G140" s="274"/>
      <c r="H140" s="8"/>
      <c r="I140" s="5"/>
      <c r="J140" s="411">
        <f t="shared" si="8"/>
        <v>0</v>
      </c>
      <c r="K140" s="2"/>
      <c r="L140" s="8"/>
      <c r="M140" s="7"/>
      <c r="N140" s="9" t="str">
        <f t="shared" si="9"/>
        <v/>
      </c>
      <c r="O140" s="20"/>
      <c r="Q140" s="637">
        <f t="shared" si="10"/>
        <v>0</v>
      </c>
      <c r="R140" s="637">
        <f t="shared" si="11"/>
        <v>0</v>
      </c>
    </row>
    <row r="141" spans="1:18">
      <c r="A141" s="619"/>
      <c r="B141" s="620"/>
      <c r="C141" s="624"/>
      <c r="D141" s="624"/>
      <c r="E141" s="3"/>
      <c r="F141" s="274"/>
      <c r="G141" s="274"/>
      <c r="H141" s="8"/>
      <c r="I141" s="5"/>
      <c r="J141" s="411">
        <f t="shared" si="8"/>
        <v>0</v>
      </c>
      <c r="K141" s="2"/>
      <c r="L141" s="8"/>
      <c r="M141" s="7"/>
      <c r="N141" s="9" t="str">
        <f t="shared" si="9"/>
        <v/>
      </c>
      <c r="O141" s="20"/>
      <c r="Q141" s="637">
        <f t="shared" si="10"/>
        <v>0</v>
      </c>
      <c r="R141" s="637">
        <f t="shared" si="11"/>
        <v>0</v>
      </c>
    </row>
    <row r="142" spans="1:18">
      <c r="A142" s="619"/>
      <c r="B142" s="620"/>
      <c r="C142" s="624"/>
      <c r="D142" s="624"/>
      <c r="E142" s="3"/>
      <c r="F142" s="274"/>
      <c r="G142" s="274"/>
      <c r="H142" s="8"/>
      <c r="I142" s="5"/>
      <c r="J142" s="411">
        <f t="shared" si="8"/>
        <v>0</v>
      </c>
      <c r="K142" s="2"/>
      <c r="L142" s="8"/>
      <c r="M142" s="7"/>
      <c r="N142" s="9" t="str">
        <f t="shared" si="9"/>
        <v/>
      </c>
      <c r="O142" s="20"/>
      <c r="Q142" s="637">
        <f t="shared" si="10"/>
        <v>0</v>
      </c>
      <c r="R142" s="637">
        <f t="shared" si="11"/>
        <v>0</v>
      </c>
    </row>
    <row r="143" spans="1:18">
      <c r="A143" s="619"/>
      <c r="B143" s="620"/>
      <c r="C143" s="624"/>
      <c r="D143" s="624"/>
      <c r="E143" s="3"/>
      <c r="F143" s="274"/>
      <c r="G143" s="274"/>
      <c r="H143" s="8"/>
      <c r="I143" s="5"/>
      <c r="J143" s="411">
        <f t="shared" si="8"/>
        <v>0</v>
      </c>
      <c r="K143" s="2"/>
      <c r="L143" s="8"/>
      <c r="M143" s="7"/>
      <c r="N143" s="9" t="str">
        <f t="shared" si="9"/>
        <v/>
      </c>
      <c r="O143" s="20"/>
      <c r="Q143" s="637">
        <f t="shared" si="10"/>
        <v>0</v>
      </c>
      <c r="R143" s="637">
        <f t="shared" si="11"/>
        <v>0</v>
      </c>
    </row>
    <row r="144" spans="1:18">
      <c r="A144" s="619"/>
      <c r="B144" s="620"/>
      <c r="C144" s="624"/>
      <c r="D144" s="624"/>
      <c r="E144" s="3"/>
      <c r="F144" s="274"/>
      <c r="G144" s="274"/>
      <c r="H144" s="8"/>
      <c r="I144" s="5"/>
      <c r="J144" s="411">
        <f t="shared" si="8"/>
        <v>0</v>
      </c>
      <c r="K144" s="2"/>
      <c r="L144" s="8"/>
      <c r="M144" s="7"/>
      <c r="N144" s="9" t="str">
        <f t="shared" si="9"/>
        <v/>
      </c>
      <c r="O144" s="20"/>
      <c r="Q144" s="637">
        <f t="shared" si="10"/>
        <v>0</v>
      </c>
      <c r="R144" s="637">
        <f t="shared" si="11"/>
        <v>0</v>
      </c>
    </row>
    <row r="145" spans="1:18">
      <c r="A145" s="619"/>
      <c r="B145" s="620"/>
      <c r="C145" s="624"/>
      <c r="D145" s="624"/>
      <c r="E145" s="3"/>
      <c r="F145" s="274"/>
      <c r="G145" s="274"/>
      <c r="H145" s="8"/>
      <c r="I145" s="5"/>
      <c r="J145" s="411">
        <f t="shared" si="8"/>
        <v>0</v>
      </c>
      <c r="K145" s="2"/>
      <c r="L145" s="8"/>
      <c r="M145" s="7"/>
      <c r="N145" s="9" t="str">
        <f t="shared" si="9"/>
        <v/>
      </c>
      <c r="O145" s="20"/>
      <c r="Q145" s="637">
        <f t="shared" si="10"/>
        <v>0</v>
      </c>
      <c r="R145" s="637">
        <f t="shared" si="11"/>
        <v>0</v>
      </c>
    </row>
    <row r="146" spans="1:18">
      <c r="A146" s="619"/>
      <c r="B146" s="620"/>
      <c r="C146" s="624"/>
      <c r="D146" s="624"/>
      <c r="E146" s="3"/>
      <c r="F146" s="274"/>
      <c r="G146" s="274"/>
      <c r="H146" s="8"/>
      <c r="I146" s="5"/>
      <c r="J146" s="411">
        <f t="shared" si="8"/>
        <v>0</v>
      </c>
      <c r="K146" s="2"/>
      <c r="L146" s="8"/>
      <c r="M146" s="7"/>
      <c r="N146" s="9" t="str">
        <f t="shared" si="9"/>
        <v/>
      </c>
      <c r="O146" s="20"/>
      <c r="Q146" s="637">
        <f t="shared" si="10"/>
        <v>0</v>
      </c>
      <c r="R146" s="637">
        <f t="shared" si="11"/>
        <v>0</v>
      </c>
    </row>
    <row r="147" spans="1:18">
      <c r="A147" s="619"/>
      <c r="B147" s="620"/>
      <c r="C147" s="624"/>
      <c r="D147" s="624"/>
      <c r="E147" s="3"/>
      <c r="F147" s="274"/>
      <c r="G147" s="274"/>
      <c r="H147" s="8"/>
      <c r="I147" s="5"/>
      <c r="J147" s="411">
        <f t="shared" si="8"/>
        <v>0</v>
      </c>
      <c r="K147" s="2"/>
      <c r="L147" s="8"/>
      <c r="M147" s="7"/>
      <c r="N147" s="9" t="str">
        <f t="shared" si="9"/>
        <v/>
      </c>
      <c r="O147" s="20"/>
      <c r="Q147" s="637">
        <f t="shared" si="10"/>
        <v>0</v>
      </c>
      <c r="R147" s="637">
        <f t="shared" si="11"/>
        <v>0</v>
      </c>
    </row>
    <row r="148" spans="1:18">
      <c r="A148" s="619"/>
      <c r="B148" s="620"/>
      <c r="C148" s="624"/>
      <c r="D148" s="624"/>
      <c r="E148" s="3"/>
      <c r="F148" s="274"/>
      <c r="G148" s="274"/>
      <c r="H148" s="8"/>
      <c r="I148" s="5"/>
      <c r="J148" s="411">
        <f t="shared" si="8"/>
        <v>0</v>
      </c>
      <c r="K148" s="2"/>
      <c r="L148" s="8"/>
      <c r="M148" s="7"/>
      <c r="N148" s="9" t="str">
        <f t="shared" si="9"/>
        <v/>
      </c>
      <c r="O148" s="20"/>
      <c r="Q148" s="637">
        <f t="shared" si="10"/>
        <v>0</v>
      </c>
      <c r="R148" s="637">
        <f t="shared" si="11"/>
        <v>0</v>
      </c>
    </row>
    <row r="149" spans="1:18">
      <c r="A149" s="619"/>
      <c r="B149" s="620"/>
      <c r="C149" s="624"/>
      <c r="D149" s="624"/>
      <c r="E149" s="3"/>
      <c r="F149" s="274"/>
      <c r="G149" s="274"/>
      <c r="H149" s="8"/>
      <c r="I149" s="5"/>
      <c r="J149" s="411">
        <f t="shared" si="8"/>
        <v>0</v>
      </c>
      <c r="K149" s="2"/>
      <c r="L149" s="8"/>
      <c r="M149" s="7"/>
      <c r="N149" s="9" t="str">
        <f t="shared" si="9"/>
        <v/>
      </c>
      <c r="O149" s="20"/>
      <c r="Q149" s="637">
        <f t="shared" si="10"/>
        <v>0</v>
      </c>
      <c r="R149" s="637">
        <f t="shared" si="11"/>
        <v>0</v>
      </c>
    </row>
    <row r="150" spans="1:18">
      <c r="A150" s="619"/>
      <c r="B150" s="620"/>
      <c r="C150" s="624"/>
      <c r="D150" s="624"/>
      <c r="E150" s="3"/>
      <c r="F150" s="274"/>
      <c r="G150" s="274"/>
      <c r="H150" s="8"/>
      <c r="I150" s="5"/>
      <c r="J150" s="411">
        <f t="shared" si="8"/>
        <v>0</v>
      </c>
      <c r="K150" s="2"/>
      <c r="L150" s="8"/>
      <c r="M150" s="7"/>
      <c r="N150" s="9" t="str">
        <f t="shared" si="9"/>
        <v/>
      </c>
      <c r="O150" s="20"/>
      <c r="Q150" s="637">
        <f t="shared" si="10"/>
        <v>0</v>
      </c>
      <c r="R150" s="637">
        <f t="shared" si="11"/>
        <v>0</v>
      </c>
    </row>
    <row r="151" spans="1:18">
      <c r="A151" s="619"/>
      <c r="B151" s="620"/>
      <c r="C151" s="624"/>
      <c r="D151" s="624"/>
      <c r="E151" s="3"/>
      <c r="F151" s="274"/>
      <c r="G151" s="274"/>
      <c r="H151" s="8"/>
      <c r="I151" s="5"/>
      <c r="J151" s="411">
        <f t="shared" si="8"/>
        <v>0</v>
      </c>
      <c r="K151" s="2"/>
      <c r="L151" s="8"/>
      <c r="M151" s="7"/>
      <c r="N151" s="9" t="str">
        <f t="shared" si="9"/>
        <v/>
      </c>
      <c r="O151" s="20"/>
      <c r="Q151" s="637">
        <f t="shared" si="10"/>
        <v>0</v>
      </c>
      <c r="R151" s="637">
        <f t="shared" si="11"/>
        <v>0</v>
      </c>
    </row>
    <row r="152" spans="1:18">
      <c r="A152" s="619"/>
      <c r="B152" s="620"/>
      <c r="C152" s="624"/>
      <c r="D152" s="624"/>
      <c r="E152" s="3"/>
      <c r="F152" s="274"/>
      <c r="G152" s="274"/>
      <c r="H152" s="8"/>
      <c r="I152" s="5"/>
      <c r="J152" s="411">
        <f t="shared" si="8"/>
        <v>0</v>
      </c>
      <c r="K152" s="2"/>
      <c r="L152" s="8"/>
      <c r="M152" s="7"/>
      <c r="N152" s="9" t="str">
        <f t="shared" si="9"/>
        <v/>
      </c>
      <c r="O152" s="20"/>
      <c r="Q152" s="637">
        <f t="shared" si="10"/>
        <v>0</v>
      </c>
      <c r="R152" s="637">
        <f t="shared" si="11"/>
        <v>0</v>
      </c>
    </row>
    <row r="153" spans="1:18">
      <c r="A153" s="619"/>
      <c r="B153" s="620"/>
      <c r="C153" s="624"/>
      <c r="D153" s="624"/>
      <c r="E153" s="3"/>
      <c r="F153" s="274"/>
      <c r="G153" s="274"/>
      <c r="H153" s="8"/>
      <c r="I153" s="5"/>
      <c r="J153" s="411">
        <f t="shared" si="8"/>
        <v>0</v>
      </c>
      <c r="K153" s="2"/>
      <c r="L153" s="8"/>
      <c r="M153" s="7"/>
      <c r="N153" s="9" t="str">
        <f t="shared" si="9"/>
        <v/>
      </c>
      <c r="O153" s="20"/>
      <c r="Q153" s="637">
        <f t="shared" si="10"/>
        <v>0</v>
      </c>
      <c r="R153" s="637">
        <f t="shared" si="11"/>
        <v>0</v>
      </c>
    </row>
    <row r="154" spans="1:18">
      <c r="A154" s="619"/>
      <c r="B154" s="620"/>
      <c r="C154" s="624"/>
      <c r="D154" s="624"/>
      <c r="E154" s="3"/>
      <c r="F154" s="274"/>
      <c r="G154" s="274"/>
      <c r="H154" s="8"/>
      <c r="I154" s="5"/>
      <c r="J154" s="411">
        <f t="shared" si="8"/>
        <v>0</v>
      </c>
      <c r="K154" s="2"/>
      <c r="L154" s="8"/>
      <c r="M154" s="7"/>
      <c r="N154" s="9" t="str">
        <f t="shared" si="9"/>
        <v/>
      </c>
      <c r="O154" s="20"/>
      <c r="Q154" s="637">
        <f t="shared" si="10"/>
        <v>0</v>
      </c>
      <c r="R154" s="637">
        <f t="shared" si="11"/>
        <v>0</v>
      </c>
    </row>
    <row r="155" spans="1:18">
      <c r="A155" s="619"/>
      <c r="B155" s="620"/>
      <c r="C155" s="624"/>
      <c r="D155" s="624"/>
      <c r="E155" s="3"/>
      <c r="F155" s="274"/>
      <c r="G155" s="274"/>
      <c r="H155" s="8"/>
      <c r="I155" s="5"/>
      <c r="J155" s="411">
        <f t="shared" si="8"/>
        <v>0</v>
      </c>
      <c r="K155" s="2"/>
      <c r="L155" s="8"/>
      <c r="M155" s="7"/>
      <c r="N155" s="9" t="str">
        <f t="shared" si="9"/>
        <v/>
      </c>
      <c r="O155" s="20"/>
      <c r="Q155" s="637">
        <f t="shared" si="10"/>
        <v>0</v>
      </c>
      <c r="R155" s="637">
        <f t="shared" si="11"/>
        <v>0</v>
      </c>
    </row>
    <row r="156" spans="1:18">
      <c r="A156" s="619"/>
      <c r="B156" s="620"/>
      <c r="C156" s="624"/>
      <c r="D156" s="624"/>
      <c r="E156" s="3"/>
      <c r="F156" s="274"/>
      <c r="G156" s="274"/>
      <c r="H156" s="8"/>
      <c r="I156" s="5"/>
      <c r="J156" s="411">
        <f t="shared" si="8"/>
        <v>0</v>
      </c>
      <c r="K156" s="2"/>
      <c r="L156" s="8"/>
      <c r="M156" s="7"/>
      <c r="N156" s="9" t="str">
        <f t="shared" si="9"/>
        <v/>
      </c>
      <c r="O156" s="20"/>
      <c r="Q156" s="637">
        <f t="shared" si="10"/>
        <v>0</v>
      </c>
      <c r="R156" s="637">
        <f t="shared" si="11"/>
        <v>0</v>
      </c>
    </row>
    <row r="157" spans="1:18">
      <c r="A157" s="619"/>
      <c r="B157" s="620"/>
      <c r="C157" s="624"/>
      <c r="D157" s="624"/>
      <c r="E157" s="3"/>
      <c r="F157" s="274"/>
      <c r="G157" s="274"/>
      <c r="H157" s="8"/>
      <c r="I157" s="5"/>
      <c r="J157" s="411">
        <f t="shared" si="8"/>
        <v>0</v>
      </c>
      <c r="K157" s="2"/>
      <c r="L157" s="8"/>
      <c r="M157" s="7"/>
      <c r="N157" s="9" t="str">
        <f t="shared" si="9"/>
        <v/>
      </c>
      <c r="O157" s="20"/>
      <c r="Q157" s="637">
        <f t="shared" si="10"/>
        <v>0</v>
      </c>
      <c r="R157" s="637">
        <f t="shared" si="11"/>
        <v>0</v>
      </c>
    </row>
    <row r="158" spans="1:18">
      <c r="A158" s="619"/>
      <c r="B158" s="620"/>
      <c r="C158" s="624"/>
      <c r="D158" s="624"/>
      <c r="E158" s="3"/>
      <c r="F158" s="274"/>
      <c r="G158" s="274"/>
      <c r="H158" s="8"/>
      <c r="I158" s="5"/>
      <c r="J158" s="411">
        <f t="shared" si="8"/>
        <v>0</v>
      </c>
      <c r="K158" s="2"/>
      <c r="L158" s="8"/>
      <c r="M158" s="7"/>
      <c r="N158" s="9" t="str">
        <f t="shared" si="9"/>
        <v/>
      </c>
      <c r="O158" s="20"/>
      <c r="Q158" s="637">
        <f t="shared" si="10"/>
        <v>0</v>
      </c>
      <c r="R158" s="637">
        <f t="shared" si="11"/>
        <v>0</v>
      </c>
    </row>
    <row r="159" spans="1:18">
      <c r="A159" s="619"/>
      <c r="B159" s="620"/>
      <c r="C159" s="624"/>
      <c r="D159" s="624"/>
      <c r="E159" s="3"/>
      <c r="F159" s="274"/>
      <c r="G159" s="274"/>
      <c r="H159" s="8"/>
      <c r="I159" s="5"/>
      <c r="J159" s="411">
        <f t="shared" si="8"/>
        <v>0</v>
      </c>
      <c r="K159" s="2"/>
      <c r="L159" s="8"/>
      <c r="M159" s="7"/>
      <c r="N159" s="9" t="str">
        <f t="shared" si="9"/>
        <v/>
      </c>
      <c r="O159" s="20"/>
      <c r="Q159" s="637">
        <f t="shared" si="10"/>
        <v>0</v>
      </c>
      <c r="R159" s="637">
        <f t="shared" si="11"/>
        <v>0</v>
      </c>
    </row>
    <row r="160" spans="1:18">
      <c r="A160" s="619"/>
      <c r="B160" s="620"/>
      <c r="C160" s="624"/>
      <c r="D160" s="624"/>
      <c r="E160" s="3"/>
      <c r="F160" s="274"/>
      <c r="G160" s="274"/>
      <c r="H160" s="8"/>
      <c r="I160" s="5"/>
      <c r="J160" s="411">
        <f t="shared" si="8"/>
        <v>0</v>
      </c>
      <c r="K160" s="2"/>
      <c r="L160" s="8"/>
      <c r="M160" s="7"/>
      <c r="N160" s="9" t="str">
        <f t="shared" si="9"/>
        <v/>
      </c>
      <c r="O160" s="20"/>
      <c r="Q160" s="637">
        <f t="shared" si="10"/>
        <v>0</v>
      </c>
      <c r="R160" s="637">
        <f t="shared" si="11"/>
        <v>0</v>
      </c>
    </row>
    <row r="161" spans="1:18">
      <c r="A161" s="619"/>
      <c r="B161" s="620"/>
      <c r="C161" s="624"/>
      <c r="D161" s="624"/>
      <c r="E161" s="3"/>
      <c r="F161" s="274"/>
      <c r="G161" s="274"/>
      <c r="H161" s="8"/>
      <c r="I161" s="5"/>
      <c r="J161" s="411">
        <f t="shared" si="8"/>
        <v>0</v>
      </c>
      <c r="K161" s="2"/>
      <c r="L161" s="8"/>
      <c r="M161" s="7"/>
      <c r="N161" s="9" t="str">
        <f t="shared" si="9"/>
        <v/>
      </c>
      <c r="O161" s="20"/>
      <c r="Q161" s="637">
        <f t="shared" si="10"/>
        <v>0</v>
      </c>
      <c r="R161" s="637">
        <f t="shared" si="11"/>
        <v>0</v>
      </c>
    </row>
    <row r="162" spans="1:18">
      <c r="A162" s="619"/>
      <c r="B162" s="620"/>
      <c r="C162" s="624"/>
      <c r="D162" s="624"/>
      <c r="E162" s="3"/>
      <c r="F162" s="274"/>
      <c r="G162" s="274"/>
      <c r="H162" s="8"/>
      <c r="I162" s="5"/>
      <c r="J162" s="411">
        <f t="shared" si="8"/>
        <v>0</v>
      </c>
      <c r="K162" s="2"/>
      <c r="L162" s="8"/>
      <c r="M162" s="7"/>
      <c r="N162" s="9" t="str">
        <f t="shared" si="9"/>
        <v/>
      </c>
      <c r="O162" s="20"/>
      <c r="Q162" s="637">
        <f t="shared" si="10"/>
        <v>0</v>
      </c>
      <c r="R162" s="637">
        <f t="shared" si="11"/>
        <v>0</v>
      </c>
    </row>
    <row r="163" spans="1:18">
      <c r="A163" s="619"/>
      <c r="B163" s="620"/>
      <c r="C163" s="624"/>
      <c r="D163" s="624"/>
      <c r="E163" s="3"/>
      <c r="F163" s="274"/>
      <c r="G163" s="274"/>
      <c r="H163" s="8"/>
      <c r="I163" s="5"/>
      <c r="J163" s="411">
        <f t="shared" si="8"/>
        <v>0</v>
      </c>
      <c r="K163" s="2"/>
      <c r="L163" s="8"/>
      <c r="M163" s="7"/>
      <c r="N163" s="9" t="str">
        <f t="shared" si="9"/>
        <v/>
      </c>
      <c r="O163" s="20"/>
      <c r="Q163" s="637">
        <f t="shared" si="10"/>
        <v>0</v>
      </c>
      <c r="R163" s="637">
        <f t="shared" si="11"/>
        <v>0</v>
      </c>
    </row>
    <row r="164" spans="1:18">
      <c r="A164" s="619"/>
      <c r="B164" s="620"/>
      <c r="C164" s="624"/>
      <c r="D164" s="624"/>
      <c r="E164" s="3"/>
      <c r="F164" s="274"/>
      <c r="G164" s="274"/>
      <c r="H164" s="8"/>
      <c r="I164" s="5"/>
      <c r="J164" s="411">
        <f t="shared" si="8"/>
        <v>0</v>
      </c>
      <c r="K164" s="2"/>
      <c r="L164" s="8"/>
      <c r="M164" s="7"/>
      <c r="N164" s="9" t="str">
        <f t="shared" si="9"/>
        <v/>
      </c>
      <c r="O164" s="20"/>
      <c r="Q164" s="637">
        <f t="shared" si="10"/>
        <v>0</v>
      </c>
      <c r="R164" s="637">
        <f t="shared" si="11"/>
        <v>0</v>
      </c>
    </row>
    <row r="165" spans="1:18">
      <c r="A165" s="619"/>
      <c r="B165" s="620"/>
      <c r="C165" s="624"/>
      <c r="D165" s="624"/>
      <c r="E165" s="3"/>
      <c r="F165" s="274"/>
      <c r="G165" s="274"/>
      <c r="H165" s="8"/>
      <c r="I165" s="5"/>
      <c r="J165" s="411">
        <f t="shared" si="8"/>
        <v>0</v>
      </c>
      <c r="K165" s="2"/>
      <c r="L165" s="8"/>
      <c r="M165" s="7"/>
      <c r="N165" s="9" t="str">
        <f t="shared" si="9"/>
        <v/>
      </c>
      <c r="O165" s="20"/>
      <c r="Q165" s="637">
        <f t="shared" si="10"/>
        <v>0</v>
      </c>
      <c r="R165" s="637">
        <f t="shared" si="11"/>
        <v>0</v>
      </c>
    </row>
    <row r="166" spans="1:18">
      <c r="A166" s="619"/>
      <c r="B166" s="620"/>
      <c r="C166" s="624"/>
      <c r="D166" s="624"/>
      <c r="E166" s="3"/>
      <c r="F166" s="274"/>
      <c r="G166" s="274"/>
      <c r="H166" s="8"/>
      <c r="I166" s="5"/>
      <c r="J166" s="411">
        <f t="shared" si="8"/>
        <v>0</v>
      </c>
      <c r="K166" s="2"/>
      <c r="L166" s="8"/>
      <c r="M166" s="7"/>
      <c r="N166" s="9" t="str">
        <f t="shared" si="9"/>
        <v/>
      </c>
      <c r="O166" s="20"/>
      <c r="Q166" s="637">
        <f t="shared" si="10"/>
        <v>0</v>
      </c>
      <c r="R166" s="637">
        <f t="shared" si="11"/>
        <v>0</v>
      </c>
    </row>
    <row r="167" spans="1:18">
      <c r="A167" s="619"/>
      <c r="B167" s="620"/>
      <c r="C167" s="624"/>
      <c r="D167" s="624"/>
      <c r="E167" s="3"/>
      <c r="F167" s="274"/>
      <c r="G167" s="274"/>
      <c r="H167" s="8"/>
      <c r="I167" s="5"/>
      <c r="J167" s="411">
        <f t="shared" si="8"/>
        <v>0</v>
      </c>
      <c r="K167" s="2"/>
      <c r="L167" s="8"/>
      <c r="M167" s="7"/>
      <c r="N167" s="9" t="str">
        <f t="shared" si="9"/>
        <v/>
      </c>
      <c r="O167" s="20"/>
      <c r="Q167" s="637">
        <f t="shared" si="10"/>
        <v>0</v>
      </c>
      <c r="R167" s="637">
        <f t="shared" si="11"/>
        <v>0</v>
      </c>
    </row>
    <row r="168" spans="1:18">
      <c r="A168" s="619"/>
      <c r="B168" s="620"/>
      <c r="C168" s="624"/>
      <c r="D168" s="624"/>
      <c r="E168" s="3"/>
      <c r="F168" s="274"/>
      <c r="G168" s="274"/>
      <c r="H168" s="8"/>
      <c r="I168" s="5"/>
      <c r="J168" s="411">
        <f t="shared" si="8"/>
        <v>0</v>
      </c>
      <c r="K168" s="2"/>
      <c r="L168" s="8"/>
      <c r="M168" s="7"/>
      <c r="N168" s="9" t="str">
        <f t="shared" si="9"/>
        <v/>
      </c>
      <c r="O168" s="20"/>
      <c r="Q168" s="637">
        <f t="shared" si="10"/>
        <v>0</v>
      </c>
      <c r="R168" s="637">
        <f t="shared" si="11"/>
        <v>0</v>
      </c>
    </row>
    <row r="169" spans="1:18">
      <c r="A169" s="619"/>
      <c r="B169" s="620"/>
      <c r="C169" s="624"/>
      <c r="D169" s="624"/>
      <c r="E169" s="3"/>
      <c r="F169" s="274"/>
      <c r="G169" s="274"/>
      <c r="H169" s="8"/>
      <c r="I169" s="5"/>
      <c r="J169" s="411">
        <f t="shared" si="8"/>
        <v>0</v>
      </c>
      <c r="K169" s="2"/>
      <c r="L169" s="8"/>
      <c r="M169" s="7"/>
      <c r="N169" s="9" t="str">
        <f t="shared" si="9"/>
        <v/>
      </c>
      <c r="O169" s="20"/>
      <c r="Q169" s="637">
        <f t="shared" si="10"/>
        <v>0</v>
      </c>
      <c r="R169" s="637">
        <f t="shared" si="11"/>
        <v>0</v>
      </c>
    </row>
    <row r="170" spans="1:18">
      <c r="A170" s="619"/>
      <c r="B170" s="620"/>
      <c r="C170" s="624"/>
      <c r="D170" s="624"/>
      <c r="E170" s="3"/>
      <c r="F170" s="274"/>
      <c r="G170" s="274"/>
      <c r="H170" s="8"/>
      <c r="I170" s="5"/>
      <c r="J170" s="411">
        <f t="shared" si="8"/>
        <v>0</v>
      </c>
      <c r="K170" s="2"/>
      <c r="L170" s="8"/>
      <c r="M170" s="7"/>
      <c r="N170" s="9" t="str">
        <f t="shared" si="9"/>
        <v/>
      </c>
      <c r="O170" s="20"/>
      <c r="Q170" s="637">
        <f t="shared" si="10"/>
        <v>0</v>
      </c>
      <c r="R170" s="637">
        <f t="shared" si="11"/>
        <v>0</v>
      </c>
    </row>
    <row r="171" spans="1:18">
      <c r="A171" s="619"/>
      <c r="B171" s="620"/>
      <c r="C171" s="624"/>
      <c r="D171" s="624"/>
      <c r="E171" s="3"/>
      <c r="F171" s="274"/>
      <c r="G171" s="274"/>
      <c r="H171" s="8"/>
      <c r="I171" s="5"/>
      <c r="J171" s="411">
        <f t="shared" si="8"/>
        <v>0</v>
      </c>
      <c r="K171" s="2"/>
      <c r="L171" s="8"/>
      <c r="M171" s="7"/>
      <c r="N171" s="9" t="str">
        <f t="shared" si="9"/>
        <v/>
      </c>
      <c r="O171" s="20"/>
      <c r="Q171" s="637">
        <f t="shared" si="10"/>
        <v>0</v>
      </c>
      <c r="R171" s="637">
        <f t="shared" si="11"/>
        <v>0</v>
      </c>
    </row>
    <row r="172" spans="1:18">
      <c r="A172" s="619"/>
      <c r="B172" s="620"/>
      <c r="C172" s="624"/>
      <c r="D172" s="624"/>
      <c r="E172" s="3"/>
      <c r="F172" s="274"/>
      <c r="G172" s="274"/>
      <c r="H172" s="8"/>
      <c r="I172" s="5"/>
      <c r="J172" s="411">
        <f t="shared" si="8"/>
        <v>0</v>
      </c>
      <c r="K172" s="2"/>
      <c r="L172" s="8"/>
      <c r="M172" s="7"/>
      <c r="N172" s="9" t="str">
        <f t="shared" si="9"/>
        <v/>
      </c>
      <c r="O172" s="20"/>
      <c r="Q172" s="637">
        <f t="shared" si="10"/>
        <v>0</v>
      </c>
      <c r="R172" s="637">
        <f t="shared" si="11"/>
        <v>0</v>
      </c>
    </row>
    <row r="173" spans="1:18">
      <c r="A173" s="619"/>
      <c r="B173" s="620"/>
      <c r="C173" s="624"/>
      <c r="D173" s="624"/>
      <c r="E173" s="3"/>
      <c r="F173" s="274"/>
      <c r="G173" s="274"/>
      <c r="H173" s="8"/>
      <c r="I173" s="5"/>
      <c r="J173" s="411">
        <f t="shared" si="8"/>
        <v>0</v>
      </c>
      <c r="K173" s="2"/>
      <c r="L173" s="8"/>
      <c r="M173" s="7"/>
      <c r="N173" s="9" t="str">
        <f t="shared" si="9"/>
        <v/>
      </c>
      <c r="O173" s="20"/>
      <c r="Q173" s="637">
        <f t="shared" si="10"/>
        <v>0</v>
      </c>
      <c r="R173" s="637">
        <f t="shared" si="11"/>
        <v>0</v>
      </c>
    </row>
    <row r="174" spans="1:18">
      <c r="A174" s="619"/>
      <c r="B174" s="620"/>
      <c r="C174" s="624"/>
      <c r="D174" s="624"/>
      <c r="E174" s="3"/>
      <c r="F174" s="274"/>
      <c r="G174" s="274"/>
      <c r="H174" s="8"/>
      <c r="I174" s="5"/>
      <c r="J174" s="411">
        <f t="shared" si="8"/>
        <v>0</v>
      </c>
      <c r="K174" s="2"/>
      <c r="L174" s="8"/>
      <c r="M174" s="7"/>
      <c r="N174" s="9" t="str">
        <f t="shared" si="9"/>
        <v/>
      </c>
      <c r="O174" s="20"/>
      <c r="Q174" s="637">
        <f t="shared" si="10"/>
        <v>0</v>
      </c>
      <c r="R174" s="637">
        <f t="shared" si="11"/>
        <v>0</v>
      </c>
    </row>
    <row r="175" spans="1:18">
      <c r="A175" s="619"/>
      <c r="B175" s="620"/>
      <c r="C175" s="624"/>
      <c r="D175" s="624"/>
      <c r="E175" s="3"/>
      <c r="F175" s="274"/>
      <c r="G175" s="274"/>
      <c r="H175" s="8"/>
      <c r="I175" s="5"/>
      <c r="J175" s="411">
        <f t="shared" si="8"/>
        <v>0</v>
      </c>
      <c r="K175" s="2"/>
      <c r="L175" s="8"/>
      <c r="M175" s="7"/>
      <c r="N175" s="9" t="str">
        <f t="shared" si="9"/>
        <v/>
      </c>
      <c r="O175" s="20"/>
      <c r="Q175" s="637">
        <f t="shared" si="10"/>
        <v>0</v>
      </c>
      <c r="R175" s="637">
        <f t="shared" si="11"/>
        <v>0</v>
      </c>
    </row>
    <row r="176" spans="1:18">
      <c r="A176" s="619"/>
      <c r="B176" s="620"/>
      <c r="C176" s="624"/>
      <c r="D176" s="624"/>
      <c r="E176" s="3"/>
      <c r="F176" s="274"/>
      <c r="G176" s="274"/>
      <c r="H176" s="8"/>
      <c r="I176" s="5"/>
      <c r="J176" s="411">
        <f t="shared" si="8"/>
        <v>0</v>
      </c>
      <c r="K176" s="2"/>
      <c r="L176" s="8"/>
      <c r="M176" s="7"/>
      <c r="N176" s="9" t="str">
        <f t="shared" si="9"/>
        <v/>
      </c>
      <c r="O176" s="20"/>
      <c r="Q176" s="637">
        <f t="shared" si="10"/>
        <v>0</v>
      </c>
      <c r="R176" s="637">
        <f t="shared" si="11"/>
        <v>0</v>
      </c>
    </row>
    <row r="177" spans="1:18">
      <c r="A177" s="619"/>
      <c r="B177" s="620"/>
      <c r="C177" s="624"/>
      <c r="D177" s="624"/>
      <c r="E177" s="3"/>
      <c r="F177" s="274"/>
      <c r="G177" s="274"/>
      <c r="H177" s="8"/>
      <c r="I177" s="5"/>
      <c r="J177" s="411">
        <f t="shared" si="8"/>
        <v>0</v>
      </c>
      <c r="K177" s="2"/>
      <c r="L177" s="8"/>
      <c r="M177" s="7"/>
      <c r="N177" s="9" t="str">
        <f t="shared" si="9"/>
        <v/>
      </c>
      <c r="O177" s="20"/>
      <c r="Q177" s="637">
        <f t="shared" si="10"/>
        <v>0</v>
      </c>
      <c r="R177" s="637">
        <f t="shared" si="11"/>
        <v>0</v>
      </c>
    </row>
    <row r="178" spans="1:18">
      <c r="A178" s="619"/>
      <c r="B178" s="620"/>
      <c r="C178" s="624"/>
      <c r="D178" s="624"/>
      <c r="E178" s="3"/>
      <c r="F178" s="274"/>
      <c r="G178" s="274"/>
      <c r="H178" s="8"/>
      <c r="I178" s="5"/>
      <c r="J178" s="411">
        <f t="shared" si="8"/>
        <v>0</v>
      </c>
      <c r="K178" s="2"/>
      <c r="L178" s="8"/>
      <c r="M178" s="7"/>
      <c r="N178" s="9" t="str">
        <f t="shared" si="9"/>
        <v/>
      </c>
      <c r="O178" s="20"/>
      <c r="Q178" s="637">
        <f t="shared" si="10"/>
        <v>0</v>
      </c>
      <c r="R178" s="637">
        <f t="shared" si="11"/>
        <v>0</v>
      </c>
    </row>
    <row r="179" spans="1:18">
      <c r="A179" s="619"/>
      <c r="B179" s="620"/>
      <c r="C179" s="624"/>
      <c r="D179" s="624"/>
      <c r="E179" s="3"/>
      <c r="F179" s="274"/>
      <c r="G179" s="274"/>
      <c r="H179" s="8"/>
      <c r="I179" s="5"/>
      <c r="J179" s="411">
        <f t="shared" si="8"/>
        <v>0</v>
      </c>
      <c r="K179" s="2"/>
      <c r="L179" s="8"/>
      <c r="M179" s="7"/>
      <c r="N179" s="9" t="str">
        <f t="shared" si="9"/>
        <v/>
      </c>
      <c r="O179" s="20"/>
      <c r="Q179" s="637">
        <f t="shared" si="10"/>
        <v>0</v>
      </c>
      <c r="R179" s="637">
        <f t="shared" si="11"/>
        <v>0</v>
      </c>
    </row>
    <row r="180" spans="1:18">
      <c r="A180" s="619"/>
      <c r="B180" s="620"/>
      <c r="C180" s="624"/>
      <c r="D180" s="624"/>
      <c r="E180" s="3"/>
      <c r="F180" s="274"/>
      <c r="G180" s="274"/>
      <c r="H180" s="8"/>
      <c r="I180" s="5"/>
      <c r="J180" s="411">
        <f t="shared" si="8"/>
        <v>0</v>
      </c>
      <c r="K180" s="2"/>
      <c r="L180" s="8"/>
      <c r="M180" s="7"/>
      <c r="N180" s="9" t="str">
        <f t="shared" si="9"/>
        <v/>
      </c>
      <c r="O180" s="20"/>
      <c r="Q180" s="637">
        <f t="shared" si="10"/>
        <v>0</v>
      </c>
      <c r="R180" s="637">
        <f t="shared" si="11"/>
        <v>0</v>
      </c>
    </row>
    <row r="181" spans="1:18">
      <c r="A181" s="619"/>
      <c r="B181" s="620"/>
      <c r="C181" s="624"/>
      <c r="D181" s="624"/>
      <c r="E181" s="3"/>
      <c r="F181" s="274"/>
      <c r="G181" s="274"/>
      <c r="H181" s="8"/>
      <c r="I181" s="5"/>
      <c r="J181" s="411">
        <f t="shared" si="8"/>
        <v>0</v>
      </c>
      <c r="K181" s="2"/>
      <c r="L181" s="8"/>
      <c r="M181" s="7"/>
      <c r="N181" s="9" t="str">
        <f t="shared" si="9"/>
        <v/>
      </c>
      <c r="O181" s="20"/>
      <c r="Q181" s="637">
        <f t="shared" si="10"/>
        <v>0</v>
      </c>
      <c r="R181" s="637">
        <f t="shared" si="11"/>
        <v>0</v>
      </c>
    </row>
    <row r="182" spans="1:18">
      <c r="A182" s="619"/>
      <c r="B182" s="620"/>
      <c r="C182" s="624"/>
      <c r="D182" s="624"/>
      <c r="E182" s="3"/>
      <c r="F182" s="274"/>
      <c r="G182" s="274"/>
      <c r="H182" s="8"/>
      <c r="I182" s="5"/>
      <c r="J182" s="411">
        <f t="shared" si="8"/>
        <v>0</v>
      </c>
      <c r="K182" s="2"/>
      <c r="L182" s="8"/>
      <c r="M182" s="7"/>
      <c r="N182" s="9" t="str">
        <f t="shared" si="9"/>
        <v/>
      </c>
      <c r="O182" s="20"/>
      <c r="Q182" s="637">
        <f t="shared" si="10"/>
        <v>0</v>
      </c>
      <c r="R182" s="637">
        <f t="shared" si="11"/>
        <v>0</v>
      </c>
    </row>
    <row r="183" spans="1:18">
      <c r="A183" s="619"/>
      <c r="B183" s="620"/>
      <c r="C183" s="624"/>
      <c r="D183" s="624"/>
      <c r="E183" s="3"/>
      <c r="F183" s="274"/>
      <c r="G183" s="274"/>
      <c r="H183" s="8"/>
      <c r="I183" s="5"/>
      <c r="J183" s="411">
        <f t="shared" si="8"/>
        <v>0</v>
      </c>
      <c r="K183" s="2"/>
      <c r="L183" s="8"/>
      <c r="M183" s="7"/>
      <c r="N183" s="9" t="str">
        <f t="shared" si="9"/>
        <v/>
      </c>
      <c r="O183" s="20"/>
      <c r="Q183" s="637">
        <f t="shared" si="10"/>
        <v>0</v>
      </c>
      <c r="R183" s="637">
        <f t="shared" si="11"/>
        <v>0</v>
      </c>
    </row>
    <row r="184" spans="1:18">
      <c r="A184" s="619"/>
      <c r="B184" s="620"/>
      <c r="C184" s="624"/>
      <c r="D184" s="624"/>
      <c r="E184" s="3"/>
      <c r="F184" s="274"/>
      <c r="G184" s="274"/>
      <c r="H184" s="8"/>
      <c r="I184" s="5"/>
      <c r="J184" s="411">
        <f t="shared" si="8"/>
        <v>0</v>
      </c>
      <c r="K184" s="2"/>
      <c r="L184" s="8"/>
      <c r="M184" s="7"/>
      <c r="N184" s="9" t="str">
        <f t="shared" si="9"/>
        <v/>
      </c>
      <c r="O184" s="20"/>
      <c r="Q184" s="637">
        <f t="shared" si="10"/>
        <v>0</v>
      </c>
      <c r="R184" s="637">
        <f t="shared" si="11"/>
        <v>0</v>
      </c>
    </row>
    <row r="185" spans="1:18">
      <c r="A185" s="619"/>
      <c r="B185" s="620"/>
      <c r="C185" s="623"/>
      <c r="D185" s="624"/>
      <c r="E185" s="3"/>
      <c r="F185" s="274"/>
      <c r="G185" s="274"/>
      <c r="H185" s="8"/>
      <c r="I185" s="5"/>
      <c r="J185" s="411">
        <f t="shared" si="8"/>
        <v>0</v>
      </c>
      <c r="K185" s="2"/>
      <c r="L185" s="8"/>
      <c r="M185" s="7"/>
      <c r="N185" s="9" t="str">
        <f t="shared" si="9"/>
        <v/>
      </c>
      <c r="O185" s="20"/>
      <c r="Q185" s="637">
        <f t="shared" si="10"/>
        <v>0</v>
      </c>
      <c r="R185" s="637">
        <f t="shared" si="11"/>
        <v>0</v>
      </c>
    </row>
    <row r="186" spans="1:18">
      <c r="A186" s="619"/>
      <c r="B186" s="620"/>
      <c r="C186" s="624"/>
      <c r="D186" s="624"/>
      <c r="E186" s="3"/>
      <c r="F186" s="274"/>
      <c r="G186" s="274"/>
      <c r="H186" s="8"/>
      <c r="I186" s="5"/>
      <c r="J186" s="411">
        <f t="shared" si="8"/>
        <v>0</v>
      </c>
      <c r="K186" s="2"/>
      <c r="L186" s="8"/>
      <c r="M186" s="7"/>
      <c r="N186" s="9" t="str">
        <f t="shared" si="9"/>
        <v/>
      </c>
      <c r="O186" s="20"/>
      <c r="Q186" s="637">
        <f t="shared" si="10"/>
        <v>0</v>
      </c>
      <c r="R186" s="637">
        <f t="shared" si="11"/>
        <v>0</v>
      </c>
    </row>
    <row r="187" spans="1:18">
      <c r="A187" s="619"/>
      <c r="B187" s="620"/>
      <c r="C187" s="624"/>
      <c r="D187" s="624"/>
      <c r="E187" s="3"/>
      <c r="F187" s="274"/>
      <c r="G187" s="274"/>
      <c r="H187" s="8"/>
      <c r="I187" s="5"/>
      <c r="J187" s="411">
        <f t="shared" si="8"/>
        <v>0</v>
      </c>
      <c r="K187" s="2"/>
      <c r="L187" s="8"/>
      <c r="M187" s="7"/>
      <c r="N187" s="9" t="str">
        <f t="shared" si="9"/>
        <v/>
      </c>
      <c r="O187" s="20"/>
      <c r="Q187" s="637">
        <f t="shared" si="10"/>
        <v>0</v>
      </c>
      <c r="R187" s="637">
        <f t="shared" si="11"/>
        <v>0</v>
      </c>
    </row>
    <row r="188" spans="1:18">
      <c r="A188" s="619"/>
      <c r="B188" s="620"/>
      <c r="C188" s="624"/>
      <c r="D188" s="624"/>
      <c r="E188" s="3"/>
      <c r="F188" s="274"/>
      <c r="G188" s="274"/>
      <c r="H188" s="8"/>
      <c r="I188" s="5"/>
      <c r="J188" s="411">
        <f t="shared" si="8"/>
        <v>0</v>
      </c>
      <c r="K188" s="2"/>
      <c r="L188" s="8"/>
      <c r="M188" s="7"/>
      <c r="N188" s="9" t="str">
        <f t="shared" si="9"/>
        <v/>
      </c>
      <c r="O188" s="20"/>
      <c r="Q188" s="637">
        <f t="shared" si="10"/>
        <v>0</v>
      </c>
      <c r="R188" s="637">
        <f t="shared" si="11"/>
        <v>0</v>
      </c>
    </row>
    <row r="189" spans="1:18">
      <c r="A189" s="619"/>
      <c r="B189" s="620"/>
      <c r="C189" s="624"/>
      <c r="D189" s="624"/>
      <c r="E189" s="3"/>
      <c r="F189" s="274"/>
      <c r="G189" s="274"/>
      <c r="H189" s="8"/>
      <c r="I189" s="5"/>
      <c r="J189" s="411">
        <f t="shared" si="8"/>
        <v>0</v>
      </c>
      <c r="K189" s="2"/>
      <c r="L189" s="8"/>
      <c r="M189" s="7"/>
      <c r="N189" s="9" t="str">
        <f t="shared" si="9"/>
        <v/>
      </c>
      <c r="O189" s="20"/>
      <c r="Q189" s="637">
        <f t="shared" si="10"/>
        <v>0</v>
      </c>
      <c r="R189" s="637">
        <f t="shared" si="11"/>
        <v>0</v>
      </c>
    </row>
    <row r="190" spans="1:18">
      <c r="A190" s="619"/>
      <c r="B190" s="620"/>
      <c r="C190" s="624"/>
      <c r="D190" s="624"/>
      <c r="E190" s="3"/>
      <c r="F190" s="274"/>
      <c r="G190" s="274"/>
      <c r="H190" s="8"/>
      <c r="I190" s="5"/>
      <c r="J190" s="411">
        <f t="shared" si="8"/>
        <v>0</v>
      </c>
      <c r="K190" s="2"/>
      <c r="L190" s="8"/>
      <c r="M190" s="7"/>
      <c r="N190" s="9" t="str">
        <f t="shared" si="9"/>
        <v/>
      </c>
      <c r="O190" s="20"/>
      <c r="Q190" s="637">
        <f t="shared" si="10"/>
        <v>0</v>
      </c>
      <c r="R190" s="637">
        <f t="shared" si="11"/>
        <v>0</v>
      </c>
    </row>
    <row r="191" spans="1:18">
      <c r="A191" s="619"/>
      <c r="B191" s="620"/>
      <c r="C191" s="624"/>
      <c r="D191" s="624"/>
      <c r="E191" s="3"/>
      <c r="F191" s="274"/>
      <c r="G191" s="274"/>
      <c r="H191" s="8"/>
      <c r="I191" s="5"/>
      <c r="J191" s="411">
        <f t="shared" si="8"/>
        <v>0</v>
      </c>
      <c r="K191" s="2"/>
      <c r="L191" s="8"/>
      <c r="M191" s="7"/>
      <c r="N191" s="9" t="str">
        <f t="shared" si="9"/>
        <v/>
      </c>
      <c r="O191" s="20"/>
      <c r="Q191" s="637">
        <f t="shared" si="10"/>
        <v>0</v>
      </c>
      <c r="R191" s="637">
        <f t="shared" si="11"/>
        <v>0</v>
      </c>
    </row>
    <row r="192" spans="1:18">
      <c r="A192" s="619"/>
      <c r="B192" s="620"/>
      <c r="C192" s="624"/>
      <c r="D192" s="624"/>
      <c r="E192" s="3"/>
      <c r="F192" s="274"/>
      <c r="G192" s="274"/>
      <c r="H192" s="8"/>
      <c r="I192" s="5"/>
      <c r="J192" s="411">
        <f t="shared" si="8"/>
        <v>0</v>
      </c>
      <c r="K192" s="2"/>
      <c r="L192" s="8"/>
      <c r="M192" s="7"/>
      <c r="N192" s="9" t="str">
        <f t="shared" si="9"/>
        <v/>
      </c>
      <c r="O192" s="20"/>
      <c r="Q192" s="637">
        <f t="shared" si="10"/>
        <v>0</v>
      </c>
      <c r="R192" s="637">
        <f t="shared" si="11"/>
        <v>0</v>
      </c>
    </row>
    <row r="193" spans="1:18">
      <c r="A193" s="619"/>
      <c r="B193" s="620"/>
      <c r="C193" s="624"/>
      <c r="D193" s="624"/>
      <c r="E193" s="3"/>
      <c r="F193" s="274"/>
      <c r="G193" s="274"/>
      <c r="H193" s="8"/>
      <c r="I193" s="5"/>
      <c r="J193" s="411">
        <f t="shared" si="8"/>
        <v>0</v>
      </c>
      <c r="K193" s="2"/>
      <c r="L193" s="8"/>
      <c r="M193" s="7"/>
      <c r="N193" s="9" t="str">
        <f t="shared" si="9"/>
        <v/>
      </c>
      <c r="O193" s="20"/>
      <c r="Q193" s="637">
        <f t="shared" si="10"/>
        <v>0</v>
      </c>
      <c r="R193" s="637">
        <f t="shared" si="11"/>
        <v>0</v>
      </c>
    </row>
    <row r="194" spans="1:18">
      <c r="A194" s="619"/>
      <c r="B194" s="620"/>
      <c r="C194" s="624"/>
      <c r="D194" s="624"/>
      <c r="E194" s="3"/>
      <c r="F194" s="274"/>
      <c r="G194" s="274"/>
      <c r="H194" s="8"/>
      <c r="I194" s="5"/>
      <c r="J194" s="411">
        <f t="shared" si="8"/>
        <v>0</v>
      </c>
      <c r="K194" s="2"/>
      <c r="L194" s="8"/>
      <c r="M194" s="7"/>
      <c r="N194" s="9" t="str">
        <f t="shared" si="9"/>
        <v/>
      </c>
      <c r="O194" s="20"/>
      <c r="Q194" s="637">
        <f t="shared" si="10"/>
        <v>0</v>
      </c>
      <c r="R194" s="637">
        <f t="shared" si="11"/>
        <v>0</v>
      </c>
    </row>
    <row r="195" spans="1:18">
      <c r="A195" s="619"/>
      <c r="B195" s="620"/>
      <c r="C195" s="624"/>
      <c r="D195" s="624"/>
      <c r="E195" s="3"/>
      <c r="F195" s="274"/>
      <c r="G195" s="274"/>
      <c r="H195" s="8"/>
      <c r="I195" s="5"/>
      <c r="J195" s="411">
        <f t="shared" si="8"/>
        <v>0</v>
      </c>
      <c r="K195" s="2"/>
      <c r="L195" s="8"/>
      <c r="M195" s="7"/>
      <c r="N195" s="9" t="str">
        <f t="shared" si="9"/>
        <v/>
      </c>
      <c r="O195" s="20"/>
      <c r="Q195" s="637">
        <f t="shared" si="10"/>
        <v>0</v>
      </c>
      <c r="R195" s="637">
        <f t="shared" si="11"/>
        <v>0</v>
      </c>
    </row>
    <row r="196" spans="1:18">
      <c r="A196" s="619"/>
      <c r="B196" s="620"/>
      <c r="C196" s="624"/>
      <c r="D196" s="624"/>
      <c r="E196" s="3"/>
      <c r="F196" s="274"/>
      <c r="G196" s="274"/>
      <c r="H196" s="8"/>
      <c r="I196" s="5"/>
      <c r="J196" s="411">
        <f t="shared" si="8"/>
        <v>0</v>
      </c>
      <c r="K196" s="2"/>
      <c r="L196" s="8"/>
      <c r="M196" s="7"/>
      <c r="N196" s="9" t="str">
        <f t="shared" si="9"/>
        <v/>
      </c>
      <c r="O196" s="20"/>
      <c r="Q196" s="637">
        <f t="shared" si="10"/>
        <v>0</v>
      </c>
      <c r="R196" s="637">
        <f t="shared" si="11"/>
        <v>0</v>
      </c>
    </row>
    <row r="197" spans="1:18">
      <c r="A197" s="619"/>
      <c r="B197" s="620"/>
      <c r="C197" s="624"/>
      <c r="D197" s="624"/>
      <c r="E197" s="3"/>
      <c r="F197" s="274"/>
      <c r="G197" s="274"/>
      <c r="H197" s="8"/>
      <c r="I197" s="5"/>
      <c r="J197" s="411">
        <f t="shared" si="8"/>
        <v>0</v>
      </c>
      <c r="K197" s="2"/>
      <c r="L197" s="8"/>
      <c r="M197" s="7"/>
      <c r="N197" s="9" t="str">
        <f t="shared" si="9"/>
        <v/>
      </c>
      <c r="O197" s="20"/>
      <c r="Q197" s="637">
        <f t="shared" si="10"/>
        <v>0</v>
      </c>
      <c r="R197" s="637">
        <f t="shared" si="11"/>
        <v>0</v>
      </c>
    </row>
    <row r="198" spans="1:18">
      <c r="A198" s="619"/>
      <c r="B198" s="620"/>
      <c r="C198" s="624"/>
      <c r="D198" s="624"/>
      <c r="E198" s="3"/>
      <c r="F198" s="274"/>
      <c r="G198" s="274"/>
      <c r="H198" s="8"/>
      <c r="I198" s="5"/>
      <c r="J198" s="411">
        <f t="shared" ref="J198:J261" si="12">(+F198*G198+H198*I198)*E198</f>
        <v>0</v>
      </c>
      <c r="K198" s="2"/>
      <c r="L198" s="8"/>
      <c r="M198" s="7"/>
      <c r="N198" s="9" t="str">
        <f t="shared" ref="N198:N261" si="13">IF(K198=0,"",L198*M198*E198)</f>
        <v/>
      </c>
      <c r="O198" s="20"/>
      <c r="Q198" s="637">
        <f t="shared" ref="Q198:Q261" si="14">F198*G198*E198</f>
        <v>0</v>
      </c>
      <c r="R198" s="637">
        <f t="shared" ref="R198:R261" si="15">H198*E198*I198</f>
        <v>0</v>
      </c>
    </row>
    <row r="199" spans="1:18">
      <c r="A199" s="619"/>
      <c r="B199" s="620"/>
      <c r="C199" s="624"/>
      <c r="D199" s="624"/>
      <c r="E199" s="3"/>
      <c r="F199" s="274"/>
      <c r="G199" s="274"/>
      <c r="H199" s="8"/>
      <c r="I199" s="5"/>
      <c r="J199" s="411">
        <f t="shared" si="12"/>
        <v>0</v>
      </c>
      <c r="K199" s="2"/>
      <c r="L199" s="8"/>
      <c r="M199" s="7"/>
      <c r="N199" s="9" t="str">
        <f t="shared" si="13"/>
        <v/>
      </c>
      <c r="O199" s="20"/>
      <c r="Q199" s="637">
        <f t="shared" si="14"/>
        <v>0</v>
      </c>
      <c r="R199" s="637">
        <f t="shared" si="15"/>
        <v>0</v>
      </c>
    </row>
    <row r="200" spans="1:18">
      <c r="A200" s="619"/>
      <c r="B200" s="620"/>
      <c r="C200" s="624"/>
      <c r="D200" s="624"/>
      <c r="E200" s="3"/>
      <c r="F200" s="274"/>
      <c r="G200" s="274"/>
      <c r="H200" s="8"/>
      <c r="I200" s="5"/>
      <c r="J200" s="411">
        <f t="shared" si="12"/>
        <v>0</v>
      </c>
      <c r="K200" s="2"/>
      <c r="L200" s="8"/>
      <c r="M200" s="7"/>
      <c r="N200" s="9" t="str">
        <f t="shared" si="13"/>
        <v/>
      </c>
      <c r="O200" s="20"/>
      <c r="Q200" s="637">
        <f t="shared" si="14"/>
        <v>0</v>
      </c>
      <c r="R200" s="637">
        <f t="shared" si="15"/>
        <v>0</v>
      </c>
    </row>
    <row r="201" spans="1:18">
      <c r="A201" s="619"/>
      <c r="B201" s="620"/>
      <c r="C201" s="624"/>
      <c r="D201" s="624"/>
      <c r="E201" s="3"/>
      <c r="F201" s="274"/>
      <c r="G201" s="274"/>
      <c r="H201" s="8"/>
      <c r="I201" s="5"/>
      <c r="J201" s="411">
        <f t="shared" si="12"/>
        <v>0</v>
      </c>
      <c r="K201" s="2"/>
      <c r="L201" s="8"/>
      <c r="M201" s="7"/>
      <c r="N201" s="9" t="str">
        <f t="shared" si="13"/>
        <v/>
      </c>
      <c r="O201" s="20"/>
      <c r="Q201" s="637">
        <f t="shared" si="14"/>
        <v>0</v>
      </c>
      <c r="R201" s="637">
        <f t="shared" si="15"/>
        <v>0</v>
      </c>
    </row>
    <row r="202" spans="1:18">
      <c r="A202" s="619"/>
      <c r="B202" s="620"/>
      <c r="C202" s="624"/>
      <c r="D202" s="624"/>
      <c r="E202" s="3"/>
      <c r="F202" s="274"/>
      <c r="G202" s="274"/>
      <c r="H202" s="8"/>
      <c r="I202" s="5"/>
      <c r="J202" s="411">
        <f t="shared" si="12"/>
        <v>0</v>
      </c>
      <c r="K202" s="2"/>
      <c r="L202" s="8"/>
      <c r="M202" s="7"/>
      <c r="N202" s="9" t="str">
        <f t="shared" si="13"/>
        <v/>
      </c>
      <c r="O202" s="20"/>
      <c r="Q202" s="637">
        <f t="shared" si="14"/>
        <v>0</v>
      </c>
      <c r="R202" s="637">
        <f t="shared" si="15"/>
        <v>0</v>
      </c>
    </row>
    <row r="203" spans="1:18">
      <c r="A203" s="619"/>
      <c r="B203" s="620"/>
      <c r="C203" s="624"/>
      <c r="D203" s="624"/>
      <c r="E203" s="3"/>
      <c r="F203" s="274"/>
      <c r="G203" s="274"/>
      <c r="H203" s="8"/>
      <c r="I203" s="5"/>
      <c r="J203" s="411">
        <f t="shared" si="12"/>
        <v>0</v>
      </c>
      <c r="K203" s="2"/>
      <c r="L203" s="8"/>
      <c r="M203" s="7"/>
      <c r="N203" s="9" t="str">
        <f t="shared" si="13"/>
        <v/>
      </c>
      <c r="O203" s="20"/>
      <c r="Q203" s="637">
        <f t="shared" si="14"/>
        <v>0</v>
      </c>
      <c r="R203" s="637">
        <f t="shared" si="15"/>
        <v>0</v>
      </c>
    </row>
    <row r="204" spans="1:18">
      <c r="A204" s="619"/>
      <c r="B204" s="620"/>
      <c r="C204" s="624"/>
      <c r="D204" s="624"/>
      <c r="E204" s="3"/>
      <c r="F204" s="274"/>
      <c r="G204" s="274"/>
      <c r="H204" s="8"/>
      <c r="I204" s="5"/>
      <c r="J204" s="411">
        <f t="shared" si="12"/>
        <v>0</v>
      </c>
      <c r="K204" s="2"/>
      <c r="L204" s="8"/>
      <c r="M204" s="7"/>
      <c r="N204" s="9" t="str">
        <f t="shared" si="13"/>
        <v/>
      </c>
      <c r="O204" s="20"/>
      <c r="Q204" s="637">
        <f t="shared" si="14"/>
        <v>0</v>
      </c>
      <c r="R204" s="637">
        <f t="shared" si="15"/>
        <v>0</v>
      </c>
    </row>
    <row r="205" spans="1:18">
      <c r="A205" s="619"/>
      <c r="B205" s="620"/>
      <c r="C205" s="624"/>
      <c r="D205" s="624"/>
      <c r="E205" s="3"/>
      <c r="F205" s="274"/>
      <c r="G205" s="274"/>
      <c r="H205" s="8"/>
      <c r="I205" s="5"/>
      <c r="J205" s="411">
        <f t="shared" si="12"/>
        <v>0</v>
      </c>
      <c r="K205" s="2"/>
      <c r="L205" s="8"/>
      <c r="M205" s="7"/>
      <c r="N205" s="9" t="str">
        <f t="shared" si="13"/>
        <v/>
      </c>
      <c r="O205" s="20"/>
      <c r="Q205" s="637">
        <f t="shared" si="14"/>
        <v>0</v>
      </c>
      <c r="R205" s="637">
        <f t="shared" si="15"/>
        <v>0</v>
      </c>
    </row>
    <row r="206" spans="1:18">
      <c r="A206" s="619"/>
      <c r="B206" s="620"/>
      <c r="C206" s="624"/>
      <c r="D206" s="624"/>
      <c r="E206" s="3"/>
      <c r="F206" s="274"/>
      <c r="G206" s="274"/>
      <c r="H206" s="8"/>
      <c r="I206" s="5"/>
      <c r="J206" s="411">
        <f t="shared" si="12"/>
        <v>0</v>
      </c>
      <c r="K206" s="2"/>
      <c r="L206" s="8"/>
      <c r="M206" s="7"/>
      <c r="N206" s="9" t="str">
        <f t="shared" si="13"/>
        <v/>
      </c>
      <c r="O206" s="20"/>
      <c r="Q206" s="637">
        <f t="shared" si="14"/>
        <v>0</v>
      </c>
      <c r="R206" s="637">
        <f t="shared" si="15"/>
        <v>0</v>
      </c>
    </row>
    <row r="207" spans="1:18">
      <c r="A207" s="619"/>
      <c r="B207" s="620"/>
      <c r="C207" s="624"/>
      <c r="D207" s="624"/>
      <c r="E207" s="3"/>
      <c r="F207" s="274"/>
      <c r="G207" s="274"/>
      <c r="H207" s="8"/>
      <c r="I207" s="5"/>
      <c r="J207" s="411">
        <f t="shared" si="12"/>
        <v>0</v>
      </c>
      <c r="K207" s="2"/>
      <c r="L207" s="8"/>
      <c r="M207" s="7"/>
      <c r="N207" s="9" t="str">
        <f t="shared" si="13"/>
        <v/>
      </c>
      <c r="O207" s="20"/>
      <c r="Q207" s="637">
        <f t="shared" si="14"/>
        <v>0</v>
      </c>
      <c r="R207" s="637">
        <f t="shared" si="15"/>
        <v>0</v>
      </c>
    </row>
    <row r="208" spans="1:18">
      <c r="A208" s="619"/>
      <c r="B208" s="620"/>
      <c r="C208" s="624"/>
      <c r="D208" s="624"/>
      <c r="E208" s="3"/>
      <c r="F208" s="274"/>
      <c r="G208" s="274"/>
      <c r="H208" s="8"/>
      <c r="I208" s="5"/>
      <c r="J208" s="411">
        <f t="shared" si="12"/>
        <v>0</v>
      </c>
      <c r="K208" s="2"/>
      <c r="L208" s="8"/>
      <c r="M208" s="7"/>
      <c r="N208" s="9" t="str">
        <f t="shared" si="13"/>
        <v/>
      </c>
      <c r="O208" s="20"/>
      <c r="Q208" s="637">
        <f t="shared" si="14"/>
        <v>0</v>
      </c>
      <c r="R208" s="637">
        <f t="shared" si="15"/>
        <v>0</v>
      </c>
    </row>
    <row r="209" spans="1:18">
      <c r="A209" s="619"/>
      <c r="B209" s="620"/>
      <c r="C209" s="624"/>
      <c r="D209" s="624"/>
      <c r="E209" s="3"/>
      <c r="F209" s="274"/>
      <c r="G209" s="274"/>
      <c r="H209" s="8"/>
      <c r="I209" s="5"/>
      <c r="J209" s="411">
        <f t="shared" si="12"/>
        <v>0</v>
      </c>
      <c r="K209" s="2"/>
      <c r="L209" s="8"/>
      <c r="M209" s="7"/>
      <c r="N209" s="9" t="str">
        <f t="shared" si="13"/>
        <v/>
      </c>
      <c r="O209" s="20"/>
      <c r="Q209" s="637">
        <f t="shared" si="14"/>
        <v>0</v>
      </c>
      <c r="R209" s="637">
        <f t="shared" si="15"/>
        <v>0</v>
      </c>
    </row>
    <row r="210" spans="1:18">
      <c r="A210" s="619"/>
      <c r="B210" s="620"/>
      <c r="C210" s="624"/>
      <c r="D210" s="624"/>
      <c r="E210" s="3"/>
      <c r="F210" s="274"/>
      <c r="G210" s="274"/>
      <c r="H210" s="8"/>
      <c r="I210" s="5"/>
      <c r="J210" s="411">
        <f t="shared" si="12"/>
        <v>0</v>
      </c>
      <c r="K210" s="2"/>
      <c r="L210" s="8"/>
      <c r="M210" s="7"/>
      <c r="N210" s="9" t="str">
        <f t="shared" si="13"/>
        <v/>
      </c>
      <c r="O210" s="20"/>
      <c r="Q210" s="637">
        <f t="shared" si="14"/>
        <v>0</v>
      </c>
      <c r="R210" s="637">
        <f t="shared" si="15"/>
        <v>0</v>
      </c>
    </row>
    <row r="211" spans="1:18">
      <c r="A211" s="619"/>
      <c r="B211" s="620"/>
      <c r="C211" s="624"/>
      <c r="D211" s="624"/>
      <c r="E211" s="3"/>
      <c r="F211" s="274"/>
      <c r="G211" s="274"/>
      <c r="H211" s="8"/>
      <c r="I211" s="5"/>
      <c r="J211" s="411">
        <f t="shared" si="12"/>
        <v>0</v>
      </c>
      <c r="K211" s="2"/>
      <c r="L211" s="8"/>
      <c r="M211" s="7"/>
      <c r="N211" s="9" t="str">
        <f t="shared" si="13"/>
        <v/>
      </c>
      <c r="O211" s="20"/>
      <c r="Q211" s="637">
        <f t="shared" si="14"/>
        <v>0</v>
      </c>
      <c r="R211" s="637">
        <f t="shared" si="15"/>
        <v>0</v>
      </c>
    </row>
    <row r="212" spans="1:18">
      <c r="A212" s="619"/>
      <c r="B212" s="620"/>
      <c r="C212" s="624"/>
      <c r="D212" s="624"/>
      <c r="E212" s="3"/>
      <c r="F212" s="274"/>
      <c r="G212" s="274"/>
      <c r="H212" s="8"/>
      <c r="I212" s="5"/>
      <c r="J212" s="411">
        <f t="shared" si="12"/>
        <v>0</v>
      </c>
      <c r="K212" s="2"/>
      <c r="L212" s="8"/>
      <c r="M212" s="7"/>
      <c r="N212" s="9" t="str">
        <f t="shared" si="13"/>
        <v/>
      </c>
      <c r="O212" s="20"/>
      <c r="Q212" s="637">
        <f t="shared" si="14"/>
        <v>0</v>
      </c>
      <c r="R212" s="637">
        <f t="shared" si="15"/>
        <v>0</v>
      </c>
    </row>
    <row r="213" spans="1:18">
      <c r="A213" s="619"/>
      <c r="B213" s="620"/>
      <c r="C213" s="624"/>
      <c r="D213" s="624"/>
      <c r="E213" s="3"/>
      <c r="F213" s="274"/>
      <c r="G213" s="274"/>
      <c r="H213" s="8"/>
      <c r="I213" s="5"/>
      <c r="J213" s="411">
        <f t="shared" si="12"/>
        <v>0</v>
      </c>
      <c r="K213" s="2"/>
      <c r="L213" s="8"/>
      <c r="M213" s="7"/>
      <c r="N213" s="9" t="str">
        <f t="shared" si="13"/>
        <v/>
      </c>
      <c r="O213" s="20"/>
      <c r="Q213" s="637">
        <f t="shared" si="14"/>
        <v>0</v>
      </c>
      <c r="R213" s="637">
        <f t="shared" si="15"/>
        <v>0</v>
      </c>
    </row>
    <row r="214" spans="1:18">
      <c r="A214" s="619"/>
      <c r="B214" s="620"/>
      <c r="C214" s="624"/>
      <c r="D214" s="624"/>
      <c r="E214" s="3"/>
      <c r="F214" s="274"/>
      <c r="G214" s="274"/>
      <c r="H214" s="8"/>
      <c r="I214" s="5"/>
      <c r="J214" s="411">
        <f t="shared" si="12"/>
        <v>0</v>
      </c>
      <c r="K214" s="2"/>
      <c r="L214" s="8"/>
      <c r="M214" s="7"/>
      <c r="N214" s="9" t="str">
        <f t="shared" si="13"/>
        <v/>
      </c>
      <c r="O214" s="20"/>
      <c r="Q214" s="637">
        <f t="shared" si="14"/>
        <v>0</v>
      </c>
      <c r="R214" s="637">
        <f t="shared" si="15"/>
        <v>0</v>
      </c>
    </row>
    <row r="215" spans="1:18">
      <c r="A215" s="619"/>
      <c r="B215" s="620"/>
      <c r="C215" s="624"/>
      <c r="D215" s="624"/>
      <c r="E215" s="3"/>
      <c r="F215" s="274"/>
      <c r="G215" s="274"/>
      <c r="H215" s="8"/>
      <c r="I215" s="5"/>
      <c r="J215" s="411">
        <f t="shared" si="12"/>
        <v>0</v>
      </c>
      <c r="K215" s="2"/>
      <c r="L215" s="8"/>
      <c r="M215" s="7"/>
      <c r="N215" s="9" t="str">
        <f t="shared" si="13"/>
        <v/>
      </c>
      <c r="O215" s="20"/>
      <c r="Q215" s="637">
        <f t="shared" si="14"/>
        <v>0</v>
      </c>
      <c r="R215" s="637">
        <f t="shared" si="15"/>
        <v>0</v>
      </c>
    </row>
    <row r="216" spans="1:18">
      <c r="A216" s="619"/>
      <c r="B216" s="620"/>
      <c r="C216" s="624"/>
      <c r="D216" s="624"/>
      <c r="E216" s="3"/>
      <c r="F216" s="274"/>
      <c r="G216" s="274"/>
      <c r="H216" s="8"/>
      <c r="I216" s="5"/>
      <c r="J216" s="411">
        <f t="shared" si="12"/>
        <v>0</v>
      </c>
      <c r="K216" s="2"/>
      <c r="L216" s="8"/>
      <c r="M216" s="7"/>
      <c r="N216" s="9" t="str">
        <f t="shared" si="13"/>
        <v/>
      </c>
      <c r="O216" s="20"/>
      <c r="Q216" s="637">
        <f t="shared" si="14"/>
        <v>0</v>
      </c>
      <c r="R216" s="637">
        <f t="shared" si="15"/>
        <v>0</v>
      </c>
    </row>
    <row r="217" spans="1:18">
      <c r="A217" s="619"/>
      <c r="B217" s="620"/>
      <c r="C217" s="624"/>
      <c r="D217" s="624"/>
      <c r="E217" s="3"/>
      <c r="F217" s="274"/>
      <c r="G217" s="274"/>
      <c r="H217" s="8"/>
      <c r="I217" s="5"/>
      <c r="J217" s="411">
        <f t="shared" si="12"/>
        <v>0</v>
      </c>
      <c r="K217" s="2"/>
      <c r="L217" s="8"/>
      <c r="M217" s="7"/>
      <c r="N217" s="9" t="str">
        <f t="shared" si="13"/>
        <v/>
      </c>
      <c r="O217" s="20"/>
      <c r="Q217" s="637">
        <f t="shared" si="14"/>
        <v>0</v>
      </c>
      <c r="R217" s="637">
        <f t="shared" si="15"/>
        <v>0</v>
      </c>
    </row>
    <row r="218" spans="1:18">
      <c r="A218" s="619"/>
      <c r="B218" s="620"/>
      <c r="C218" s="624"/>
      <c r="D218" s="624"/>
      <c r="E218" s="3"/>
      <c r="F218" s="274"/>
      <c r="G218" s="274"/>
      <c r="H218" s="8"/>
      <c r="I218" s="5"/>
      <c r="J218" s="411">
        <f t="shared" si="12"/>
        <v>0</v>
      </c>
      <c r="K218" s="2"/>
      <c r="L218" s="8"/>
      <c r="M218" s="7"/>
      <c r="N218" s="9" t="str">
        <f t="shared" si="13"/>
        <v/>
      </c>
      <c r="O218" s="20"/>
      <c r="Q218" s="637">
        <f t="shared" si="14"/>
        <v>0</v>
      </c>
      <c r="R218" s="637">
        <f t="shared" si="15"/>
        <v>0</v>
      </c>
    </row>
    <row r="219" spans="1:18">
      <c r="A219" s="619"/>
      <c r="B219" s="620"/>
      <c r="C219" s="624"/>
      <c r="D219" s="624"/>
      <c r="E219" s="3"/>
      <c r="F219" s="274"/>
      <c r="G219" s="274"/>
      <c r="H219" s="8"/>
      <c r="I219" s="5"/>
      <c r="J219" s="411">
        <f t="shared" si="12"/>
        <v>0</v>
      </c>
      <c r="K219" s="2"/>
      <c r="L219" s="8"/>
      <c r="M219" s="7"/>
      <c r="N219" s="9" t="str">
        <f t="shared" si="13"/>
        <v/>
      </c>
      <c r="O219" s="20"/>
      <c r="Q219" s="637">
        <f t="shared" si="14"/>
        <v>0</v>
      </c>
      <c r="R219" s="637">
        <f t="shared" si="15"/>
        <v>0</v>
      </c>
    </row>
    <row r="220" spans="1:18">
      <c r="A220" s="619"/>
      <c r="B220" s="620"/>
      <c r="C220" s="624"/>
      <c r="D220" s="624"/>
      <c r="E220" s="3"/>
      <c r="F220" s="274"/>
      <c r="G220" s="274"/>
      <c r="H220" s="8"/>
      <c r="I220" s="5"/>
      <c r="J220" s="411">
        <f t="shared" si="12"/>
        <v>0</v>
      </c>
      <c r="K220" s="2"/>
      <c r="L220" s="8"/>
      <c r="M220" s="7"/>
      <c r="N220" s="9" t="str">
        <f t="shared" si="13"/>
        <v/>
      </c>
      <c r="O220" s="20"/>
      <c r="Q220" s="637">
        <f t="shared" si="14"/>
        <v>0</v>
      </c>
      <c r="R220" s="637">
        <f t="shared" si="15"/>
        <v>0</v>
      </c>
    </row>
    <row r="221" spans="1:18">
      <c r="A221" s="619"/>
      <c r="B221" s="620"/>
      <c r="C221" s="624"/>
      <c r="D221" s="624"/>
      <c r="E221" s="3"/>
      <c r="F221" s="274"/>
      <c r="G221" s="274"/>
      <c r="H221" s="8"/>
      <c r="I221" s="5"/>
      <c r="J221" s="411">
        <f t="shared" si="12"/>
        <v>0</v>
      </c>
      <c r="K221" s="2"/>
      <c r="L221" s="8"/>
      <c r="M221" s="7"/>
      <c r="N221" s="9" t="str">
        <f t="shared" si="13"/>
        <v/>
      </c>
      <c r="O221" s="20"/>
      <c r="Q221" s="637">
        <f t="shared" si="14"/>
        <v>0</v>
      </c>
      <c r="R221" s="637">
        <f t="shared" si="15"/>
        <v>0</v>
      </c>
    </row>
    <row r="222" spans="1:18">
      <c r="A222" s="619"/>
      <c r="B222" s="620"/>
      <c r="C222" s="624"/>
      <c r="D222" s="624"/>
      <c r="E222" s="3"/>
      <c r="F222" s="274"/>
      <c r="G222" s="274"/>
      <c r="H222" s="8"/>
      <c r="I222" s="5"/>
      <c r="J222" s="411">
        <f t="shared" si="12"/>
        <v>0</v>
      </c>
      <c r="K222" s="2"/>
      <c r="L222" s="8"/>
      <c r="M222" s="7"/>
      <c r="N222" s="9" t="str">
        <f t="shared" si="13"/>
        <v/>
      </c>
      <c r="O222" s="20"/>
      <c r="Q222" s="637">
        <f t="shared" si="14"/>
        <v>0</v>
      </c>
      <c r="R222" s="637">
        <f t="shared" si="15"/>
        <v>0</v>
      </c>
    </row>
    <row r="223" spans="1:18">
      <c r="A223" s="619"/>
      <c r="B223" s="620"/>
      <c r="C223" s="624"/>
      <c r="D223" s="624"/>
      <c r="E223" s="3"/>
      <c r="F223" s="274"/>
      <c r="G223" s="274"/>
      <c r="H223" s="8"/>
      <c r="I223" s="5"/>
      <c r="J223" s="411">
        <f t="shared" si="12"/>
        <v>0</v>
      </c>
      <c r="K223" s="2"/>
      <c r="L223" s="8"/>
      <c r="M223" s="7"/>
      <c r="N223" s="9" t="str">
        <f t="shared" si="13"/>
        <v/>
      </c>
      <c r="O223" s="20"/>
      <c r="Q223" s="637">
        <f t="shared" si="14"/>
        <v>0</v>
      </c>
      <c r="R223" s="637">
        <f t="shared" si="15"/>
        <v>0</v>
      </c>
    </row>
    <row r="224" spans="1:18">
      <c r="A224" s="619"/>
      <c r="B224" s="620"/>
      <c r="C224" s="624"/>
      <c r="D224" s="624"/>
      <c r="E224" s="3"/>
      <c r="F224" s="274"/>
      <c r="G224" s="274"/>
      <c r="H224" s="8"/>
      <c r="I224" s="5"/>
      <c r="J224" s="411">
        <f t="shared" si="12"/>
        <v>0</v>
      </c>
      <c r="K224" s="2"/>
      <c r="L224" s="8"/>
      <c r="M224" s="7"/>
      <c r="N224" s="9" t="str">
        <f t="shared" si="13"/>
        <v/>
      </c>
      <c r="O224" s="20"/>
      <c r="Q224" s="637">
        <f t="shared" si="14"/>
        <v>0</v>
      </c>
      <c r="R224" s="637">
        <f t="shared" si="15"/>
        <v>0</v>
      </c>
    </row>
    <row r="225" spans="1:18">
      <c r="A225" s="619"/>
      <c r="B225" s="620"/>
      <c r="C225" s="624"/>
      <c r="D225" s="624"/>
      <c r="E225" s="3"/>
      <c r="F225" s="274"/>
      <c r="G225" s="274"/>
      <c r="H225" s="8"/>
      <c r="I225" s="5"/>
      <c r="J225" s="411">
        <f t="shared" si="12"/>
        <v>0</v>
      </c>
      <c r="K225" s="2"/>
      <c r="L225" s="8"/>
      <c r="M225" s="7"/>
      <c r="N225" s="9" t="str">
        <f t="shared" si="13"/>
        <v/>
      </c>
      <c r="O225" s="20"/>
      <c r="Q225" s="637">
        <f t="shared" si="14"/>
        <v>0</v>
      </c>
      <c r="R225" s="637">
        <f t="shared" si="15"/>
        <v>0</v>
      </c>
    </row>
    <row r="226" spans="1:18">
      <c r="A226" s="619"/>
      <c r="B226" s="620"/>
      <c r="C226" s="624"/>
      <c r="D226" s="624"/>
      <c r="E226" s="3"/>
      <c r="F226" s="274"/>
      <c r="G226" s="274"/>
      <c r="H226" s="8"/>
      <c r="I226" s="5"/>
      <c r="J226" s="411">
        <f t="shared" si="12"/>
        <v>0</v>
      </c>
      <c r="K226" s="2"/>
      <c r="L226" s="8"/>
      <c r="M226" s="7"/>
      <c r="N226" s="9" t="str">
        <f t="shared" si="13"/>
        <v/>
      </c>
      <c r="O226" s="20"/>
      <c r="Q226" s="637">
        <f t="shared" si="14"/>
        <v>0</v>
      </c>
      <c r="R226" s="637">
        <f t="shared" si="15"/>
        <v>0</v>
      </c>
    </row>
    <row r="227" spans="1:18">
      <c r="A227" s="619"/>
      <c r="B227" s="620"/>
      <c r="C227" s="624"/>
      <c r="D227" s="624"/>
      <c r="E227" s="3"/>
      <c r="F227" s="274"/>
      <c r="G227" s="274"/>
      <c r="H227" s="8"/>
      <c r="I227" s="5"/>
      <c r="J227" s="411">
        <f t="shared" si="12"/>
        <v>0</v>
      </c>
      <c r="K227" s="2"/>
      <c r="L227" s="8"/>
      <c r="M227" s="7"/>
      <c r="N227" s="9" t="str">
        <f t="shared" si="13"/>
        <v/>
      </c>
      <c r="O227" s="20"/>
      <c r="Q227" s="637">
        <f t="shared" si="14"/>
        <v>0</v>
      </c>
      <c r="R227" s="637">
        <f t="shared" si="15"/>
        <v>0</v>
      </c>
    </row>
    <row r="228" spans="1:18">
      <c r="A228" s="619"/>
      <c r="B228" s="620"/>
      <c r="C228" s="624"/>
      <c r="D228" s="624"/>
      <c r="E228" s="3"/>
      <c r="F228" s="274"/>
      <c r="G228" s="274"/>
      <c r="H228" s="8"/>
      <c r="I228" s="5"/>
      <c r="J228" s="411">
        <f t="shared" si="12"/>
        <v>0</v>
      </c>
      <c r="K228" s="2"/>
      <c r="L228" s="8"/>
      <c r="M228" s="7"/>
      <c r="N228" s="9" t="str">
        <f t="shared" si="13"/>
        <v/>
      </c>
      <c r="O228" s="20"/>
      <c r="Q228" s="637">
        <f t="shared" si="14"/>
        <v>0</v>
      </c>
      <c r="R228" s="637">
        <f t="shared" si="15"/>
        <v>0</v>
      </c>
    </row>
    <row r="229" spans="1:18">
      <c r="A229" s="619"/>
      <c r="B229" s="620"/>
      <c r="C229" s="624"/>
      <c r="D229" s="624"/>
      <c r="E229" s="3"/>
      <c r="F229" s="274"/>
      <c r="G229" s="274"/>
      <c r="H229" s="8"/>
      <c r="I229" s="5"/>
      <c r="J229" s="411">
        <f t="shared" si="12"/>
        <v>0</v>
      </c>
      <c r="K229" s="2"/>
      <c r="L229" s="8"/>
      <c r="M229" s="7"/>
      <c r="N229" s="9" t="str">
        <f t="shared" si="13"/>
        <v/>
      </c>
      <c r="O229" s="20"/>
      <c r="Q229" s="637">
        <f t="shared" si="14"/>
        <v>0</v>
      </c>
      <c r="R229" s="637">
        <f t="shared" si="15"/>
        <v>0</v>
      </c>
    </row>
    <row r="230" spans="1:18">
      <c r="A230" s="619"/>
      <c r="B230" s="620"/>
      <c r="C230" s="624"/>
      <c r="D230" s="624"/>
      <c r="E230" s="3"/>
      <c r="F230" s="274"/>
      <c r="G230" s="274"/>
      <c r="H230" s="8"/>
      <c r="I230" s="5"/>
      <c r="J230" s="411">
        <f t="shared" si="12"/>
        <v>0</v>
      </c>
      <c r="K230" s="2"/>
      <c r="L230" s="8"/>
      <c r="M230" s="7"/>
      <c r="N230" s="9" t="str">
        <f t="shared" si="13"/>
        <v/>
      </c>
      <c r="O230" s="20"/>
      <c r="Q230" s="637">
        <f t="shared" si="14"/>
        <v>0</v>
      </c>
      <c r="R230" s="637">
        <f t="shared" si="15"/>
        <v>0</v>
      </c>
    </row>
    <row r="231" spans="1:18">
      <c r="A231" s="619"/>
      <c r="B231" s="620"/>
      <c r="C231" s="624"/>
      <c r="D231" s="624"/>
      <c r="E231" s="3"/>
      <c r="F231" s="274"/>
      <c r="G231" s="274"/>
      <c r="H231" s="8"/>
      <c r="I231" s="5"/>
      <c r="J231" s="411">
        <f t="shared" si="12"/>
        <v>0</v>
      </c>
      <c r="K231" s="2"/>
      <c r="L231" s="8"/>
      <c r="M231" s="7"/>
      <c r="N231" s="9" t="str">
        <f t="shared" si="13"/>
        <v/>
      </c>
      <c r="O231" s="20"/>
      <c r="Q231" s="637">
        <f t="shared" si="14"/>
        <v>0</v>
      </c>
      <c r="R231" s="637">
        <f t="shared" si="15"/>
        <v>0</v>
      </c>
    </row>
    <row r="232" spans="1:18">
      <c r="A232" s="619"/>
      <c r="B232" s="620"/>
      <c r="C232" s="624"/>
      <c r="D232" s="624"/>
      <c r="E232" s="3"/>
      <c r="F232" s="274"/>
      <c r="G232" s="274"/>
      <c r="H232" s="8"/>
      <c r="I232" s="5"/>
      <c r="J232" s="411">
        <f t="shared" si="12"/>
        <v>0</v>
      </c>
      <c r="K232" s="2"/>
      <c r="L232" s="8"/>
      <c r="M232" s="7"/>
      <c r="N232" s="9" t="str">
        <f t="shared" si="13"/>
        <v/>
      </c>
      <c r="O232" s="20"/>
      <c r="Q232" s="637">
        <f t="shared" si="14"/>
        <v>0</v>
      </c>
      <c r="R232" s="637">
        <f t="shared" si="15"/>
        <v>0</v>
      </c>
    </row>
    <row r="233" spans="1:18">
      <c r="A233" s="619"/>
      <c r="B233" s="620"/>
      <c r="C233" s="624"/>
      <c r="D233" s="624"/>
      <c r="E233" s="3"/>
      <c r="F233" s="274"/>
      <c r="G233" s="274"/>
      <c r="H233" s="8"/>
      <c r="I233" s="5"/>
      <c r="J233" s="411">
        <f t="shared" si="12"/>
        <v>0</v>
      </c>
      <c r="K233" s="2"/>
      <c r="L233" s="8"/>
      <c r="M233" s="7"/>
      <c r="N233" s="9" t="str">
        <f t="shared" si="13"/>
        <v/>
      </c>
      <c r="O233" s="20"/>
      <c r="Q233" s="637">
        <f t="shared" si="14"/>
        <v>0</v>
      </c>
      <c r="R233" s="637">
        <f t="shared" si="15"/>
        <v>0</v>
      </c>
    </row>
    <row r="234" spans="1:18">
      <c r="A234" s="619"/>
      <c r="B234" s="620"/>
      <c r="C234" s="624"/>
      <c r="D234" s="624"/>
      <c r="E234" s="3"/>
      <c r="F234" s="274"/>
      <c r="G234" s="274"/>
      <c r="H234" s="8"/>
      <c r="I234" s="5"/>
      <c r="J234" s="411">
        <f t="shared" si="12"/>
        <v>0</v>
      </c>
      <c r="K234" s="2"/>
      <c r="L234" s="8"/>
      <c r="M234" s="7"/>
      <c r="N234" s="9" t="str">
        <f t="shared" si="13"/>
        <v/>
      </c>
      <c r="O234" s="20"/>
      <c r="Q234" s="637">
        <f t="shared" si="14"/>
        <v>0</v>
      </c>
      <c r="R234" s="637">
        <f t="shared" si="15"/>
        <v>0</v>
      </c>
    </row>
    <row r="235" spans="1:18">
      <c r="A235" s="619"/>
      <c r="B235" s="620"/>
      <c r="C235" s="624"/>
      <c r="D235" s="624"/>
      <c r="E235" s="3"/>
      <c r="F235" s="274"/>
      <c r="G235" s="274"/>
      <c r="H235" s="8"/>
      <c r="I235" s="5"/>
      <c r="J235" s="411">
        <f t="shared" si="12"/>
        <v>0</v>
      </c>
      <c r="K235" s="2"/>
      <c r="L235" s="8"/>
      <c r="M235" s="7"/>
      <c r="N235" s="9" t="str">
        <f t="shared" si="13"/>
        <v/>
      </c>
      <c r="O235" s="20"/>
      <c r="Q235" s="637">
        <f t="shared" si="14"/>
        <v>0</v>
      </c>
      <c r="R235" s="637">
        <f t="shared" si="15"/>
        <v>0</v>
      </c>
    </row>
    <row r="236" spans="1:18">
      <c r="A236" s="619"/>
      <c r="B236" s="620"/>
      <c r="C236" s="624"/>
      <c r="D236" s="624"/>
      <c r="E236" s="3"/>
      <c r="F236" s="274"/>
      <c r="G236" s="274"/>
      <c r="H236" s="8"/>
      <c r="I236" s="5"/>
      <c r="J236" s="411">
        <f t="shared" si="12"/>
        <v>0</v>
      </c>
      <c r="K236" s="2"/>
      <c r="L236" s="8"/>
      <c r="M236" s="7"/>
      <c r="N236" s="9" t="str">
        <f t="shared" si="13"/>
        <v/>
      </c>
      <c r="O236" s="20"/>
      <c r="Q236" s="637">
        <f t="shared" si="14"/>
        <v>0</v>
      </c>
      <c r="R236" s="637">
        <f t="shared" si="15"/>
        <v>0</v>
      </c>
    </row>
    <row r="237" spans="1:18">
      <c r="A237" s="619"/>
      <c r="B237" s="620"/>
      <c r="C237" s="624"/>
      <c r="D237" s="624"/>
      <c r="E237" s="3"/>
      <c r="F237" s="274"/>
      <c r="G237" s="274"/>
      <c r="H237" s="8"/>
      <c r="I237" s="5"/>
      <c r="J237" s="411">
        <f t="shared" si="12"/>
        <v>0</v>
      </c>
      <c r="K237" s="2"/>
      <c r="L237" s="8"/>
      <c r="M237" s="7"/>
      <c r="N237" s="9" t="str">
        <f t="shared" si="13"/>
        <v/>
      </c>
      <c r="O237" s="20"/>
      <c r="Q237" s="637">
        <f t="shared" si="14"/>
        <v>0</v>
      </c>
      <c r="R237" s="637">
        <f t="shared" si="15"/>
        <v>0</v>
      </c>
    </row>
    <row r="238" spans="1:18">
      <c r="A238" s="619"/>
      <c r="B238" s="620"/>
      <c r="C238" s="624"/>
      <c r="D238" s="624"/>
      <c r="E238" s="3"/>
      <c r="F238" s="274"/>
      <c r="G238" s="274"/>
      <c r="H238" s="8"/>
      <c r="I238" s="5"/>
      <c r="J238" s="411">
        <f t="shared" si="12"/>
        <v>0</v>
      </c>
      <c r="K238" s="2"/>
      <c r="L238" s="8"/>
      <c r="M238" s="7"/>
      <c r="N238" s="9" t="str">
        <f t="shared" si="13"/>
        <v/>
      </c>
      <c r="O238" s="20"/>
      <c r="Q238" s="637">
        <f t="shared" si="14"/>
        <v>0</v>
      </c>
      <c r="R238" s="637">
        <f t="shared" si="15"/>
        <v>0</v>
      </c>
    </row>
    <row r="239" spans="1:18">
      <c r="A239" s="619"/>
      <c r="B239" s="620"/>
      <c r="C239" s="624"/>
      <c r="D239" s="624"/>
      <c r="E239" s="3"/>
      <c r="F239" s="274"/>
      <c r="G239" s="274"/>
      <c r="H239" s="8"/>
      <c r="I239" s="5"/>
      <c r="J239" s="411">
        <f t="shared" si="12"/>
        <v>0</v>
      </c>
      <c r="K239" s="2"/>
      <c r="L239" s="8"/>
      <c r="M239" s="7"/>
      <c r="N239" s="9" t="str">
        <f t="shared" si="13"/>
        <v/>
      </c>
      <c r="O239" s="20"/>
      <c r="Q239" s="637">
        <f t="shared" si="14"/>
        <v>0</v>
      </c>
      <c r="R239" s="637">
        <f t="shared" si="15"/>
        <v>0</v>
      </c>
    </row>
    <row r="240" spans="1:18">
      <c r="A240" s="619"/>
      <c r="B240" s="620"/>
      <c r="C240" s="624"/>
      <c r="D240" s="624"/>
      <c r="E240" s="3"/>
      <c r="F240" s="274"/>
      <c r="G240" s="274"/>
      <c r="H240" s="8"/>
      <c r="I240" s="5"/>
      <c r="J240" s="411">
        <f t="shared" si="12"/>
        <v>0</v>
      </c>
      <c r="K240" s="2"/>
      <c r="L240" s="8"/>
      <c r="M240" s="7"/>
      <c r="N240" s="9" t="str">
        <f t="shared" si="13"/>
        <v/>
      </c>
      <c r="O240" s="20"/>
      <c r="Q240" s="637">
        <f t="shared" si="14"/>
        <v>0</v>
      </c>
      <c r="R240" s="637">
        <f t="shared" si="15"/>
        <v>0</v>
      </c>
    </row>
    <row r="241" spans="1:18">
      <c r="A241" s="619"/>
      <c r="B241" s="620"/>
      <c r="C241" s="624"/>
      <c r="D241" s="624"/>
      <c r="E241" s="3"/>
      <c r="F241" s="274"/>
      <c r="G241" s="274"/>
      <c r="H241" s="8"/>
      <c r="I241" s="5"/>
      <c r="J241" s="411">
        <f t="shared" si="12"/>
        <v>0</v>
      </c>
      <c r="K241" s="2"/>
      <c r="L241" s="8"/>
      <c r="M241" s="7"/>
      <c r="N241" s="9" t="str">
        <f t="shared" si="13"/>
        <v/>
      </c>
      <c r="O241" s="20"/>
      <c r="Q241" s="637">
        <f t="shared" si="14"/>
        <v>0</v>
      </c>
      <c r="R241" s="637">
        <f t="shared" si="15"/>
        <v>0</v>
      </c>
    </row>
    <row r="242" spans="1:18">
      <c r="A242" s="619"/>
      <c r="B242" s="620"/>
      <c r="C242" s="624"/>
      <c r="D242" s="624"/>
      <c r="E242" s="3"/>
      <c r="F242" s="274"/>
      <c r="G242" s="274"/>
      <c r="H242" s="8"/>
      <c r="I242" s="5"/>
      <c r="J242" s="411">
        <f t="shared" si="12"/>
        <v>0</v>
      </c>
      <c r="K242" s="2"/>
      <c r="L242" s="8"/>
      <c r="M242" s="7"/>
      <c r="N242" s="9" t="str">
        <f t="shared" si="13"/>
        <v/>
      </c>
      <c r="O242" s="20"/>
      <c r="Q242" s="637">
        <f t="shared" si="14"/>
        <v>0</v>
      </c>
      <c r="R242" s="637">
        <f t="shared" si="15"/>
        <v>0</v>
      </c>
    </row>
    <row r="243" spans="1:18">
      <c r="A243" s="619"/>
      <c r="B243" s="620"/>
      <c r="C243" s="624"/>
      <c r="D243" s="624"/>
      <c r="E243" s="3"/>
      <c r="F243" s="274"/>
      <c r="G243" s="274"/>
      <c r="H243" s="8"/>
      <c r="I243" s="5"/>
      <c r="J243" s="411">
        <f t="shared" si="12"/>
        <v>0</v>
      </c>
      <c r="K243" s="2"/>
      <c r="L243" s="8"/>
      <c r="M243" s="7"/>
      <c r="N243" s="9" t="str">
        <f t="shared" si="13"/>
        <v/>
      </c>
      <c r="O243" s="20"/>
      <c r="Q243" s="637">
        <f t="shared" si="14"/>
        <v>0</v>
      </c>
      <c r="R243" s="637">
        <f t="shared" si="15"/>
        <v>0</v>
      </c>
    </row>
    <row r="244" spans="1:18">
      <c r="A244" s="619"/>
      <c r="B244" s="620"/>
      <c r="C244" s="624"/>
      <c r="D244" s="624"/>
      <c r="E244" s="3"/>
      <c r="F244" s="274"/>
      <c r="G244" s="274"/>
      <c r="H244" s="8"/>
      <c r="I244" s="5"/>
      <c r="J244" s="411">
        <f t="shared" si="12"/>
        <v>0</v>
      </c>
      <c r="K244" s="2"/>
      <c r="L244" s="8"/>
      <c r="M244" s="7"/>
      <c r="N244" s="9" t="str">
        <f t="shared" si="13"/>
        <v/>
      </c>
      <c r="O244" s="20"/>
      <c r="Q244" s="637">
        <f t="shared" si="14"/>
        <v>0</v>
      </c>
      <c r="R244" s="637">
        <f t="shared" si="15"/>
        <v>0</v>
      </c>
    </row>
    <row r="245" spans="1:18">
      <c r="A245" s="619"/>
      <c r="B245" s="620"/>
      <c r="C245" s="624"/>
      <c r="D245" s="624"/>
      <c r="E245" s="3"/>
      <c r="F245" s="274"/>
      <c r="G245" s="274"/>
      <c r="H245" s="8"/>
      <c r="I245" s="5"/>
      <c r="J245" s="411">
        <f t="shared" si="12"/>
        <v>0</v>
      </c>
      <c r="K245" s="2"/>
      <c r="L245" s="8"/>
      <c r="M245" s="7"/>
      <c r="N245" s="9" t="str">
        <f t="shared" si="13"/>
        <v/>
      </c>
      <c r="O245" s="20"/>
      <c r="Q245" s="637">
        <f t="shared" si="14"/>
        <v>0</v>
      </c>
      <c r="R245" s="637">
        <f t="shared" si="15"/>
        <v>0</v>
      </c>
    </row>
    <row r="246" spans="1:18">
      <c r="A246" s="619"/>
      <c r="B246" s="620"/>
      <c r="C246" s="624"/>
      <c r="D246" s="624"/>
      <c r="E246" s="3"/>
      <c r="F246" s="274"/>
      <c r="G246" s="274"/>
      <c r="H246" s="8"/>
      <c r="I246" s="5"/>
      <c r="J246" s="411">
        <f t="shared" si="12"/>
        <v>0</v>
      </c>
      <c r="K246" s="2"/>
      <c r="L246" s="8"/>
      <c r="M246" s="7"/>
      <c r="N246" s="9" t="str">
        <f t="shared" si="13"/>
        <v/>
      </c>
      <c r="O246" s="20"/>
      <c r="Q246" s="637">
        <f t="shared" si="14"/>
        <v>0</v>
      </c>
      <c r="R246" s="637">
        <f t="shared" si="15"/>
        <v>0</v>
      </c>
    </row>
    <row r="247" spans="1:18">
      <c r="A247" s="619"/>
      <c r="B247" s="620"/>
      <c r="C247" s="624"/>
      <c r="D247" s="624"/>
      <c r="E247" s="3"/>
      <c r="F247" s="274"/>
      <c r="G247" s="274"/>
      <c r="H247" s="8"/>
      <c r="I247" s="5"/>
      <c r="J247" s="411">
        <f t="shared" si="12"/>
        <v>0</v>
      </c>
      <c r="K247" s="2"/>
      <c r="L247" s="8"/>
      <c r="M247" s="7"/>
      <c r="N247" s="9" t="str">
        <f t="shared" si="13"/>
        <v/>
      </c>
      <c r="O247" s="20"/>
      <c r="Q247" s="637">
        <f t="shared" si="14"/>
        <v>0</v>
      </c>
      <c r="R247" s="637">
        <f t="shared" si="15"/>
        <v>0</v>
      </c>
    </row>
    <row r="248" spans="1:18">
      <c r="A248" s="619"/>
      <c r="B248" s="620"/>
      <c r="C248" s="624"/>
      <c r="D248" s="624"/>
      <c r="E248" s="3"/>
      <c r="F248" s="274"/>
      <c r="G248" s="274"/>
      <c r="H248" s="8"/>
      <c r="I248" s="5"/>
      <c r="J248" s="411">
        <f t="shared" si="12"/>
        <v>0</v>
      </c>
      <c r="K248" s="2"/>
      <c r="L248" s="8"/>
      <c r="M248" s="7"/>
      <c r="N248" s="9" t="str">
        <f t="shared" si="13"/>
        <v/>
      </c>
      <c r="O248" s="20"/>
      <c r="Q248" s="637">
        <f t="shared" si="14"/>
        <v>0</v>
      </c>
      <c r="R248" s="637">
        <f t="shared" si="15"/>
        <v>0</v>
      </c>
    </row>
    <row r="249" spans="1:18">
      <c r="A249" s="619"/>
      <c r="B249" s="620"/>
      <c r="C249" s="624"/>
      <c r="D249" s="624"/>
      <c r="E249" s="3"/>
      <c r="F249" s="274"/>
      <c r="G249" s="274"/>
      <c r="H249" s="8"/>
      <c r="I249" s="5"/>
      <c r="J249" s="411">
        <f t="shared" si="12"/>
        <v>0</v>
      </c>
      <c r="K249" s="2"/>
      <c r="L249" s="8"/>
      <c r="M249" s="7"/>
      <c r="N249" s="9" t="str">
        <f t="shared" si="13"/>
        <v/>
      </c>
      <c r="O249" s="20"/>
      <c r="Q249" s="637">
        <f t="shared" si="14"/>
        <v>0</v>
      </c>
      <c r="R249" s="637">
        <f t="shared" si="15"/>
        <v>0</v>
      </c>
    </row>
    <row r="250" spans="1:18">
      <c r="A250" s="619"/>
      <c r="B250" s="620"/>
      <c r="C250" s="624"/>
      <c r="D250" s="624"/>
      <c r="E250" s="3"/>
      <c r="F250" s="274"/>
      <c r="G250" s="274"/>
      <c r="H250" s="8"/>
      <c r="I250" s="5"/>
      <c r="J250" s="411">
        <f t="shared" si="12"/>
        <v>0</v>
      </c>
      <c r="K250" s="2"/>
      <c r="L250" s="8"/>
      <c r="M250" s="7"/>
      <c r="N250" s="9" t="str">
        <f t="shared" si="13"/>
        <v/>
      </c>
      <c r="O250" s="20"/>
      <c r="Q250" s="637">
        <f t="shared" si="14"/>
        <v>0</v>
      </c>
      <c r="R250" s="637">
        <f t="shared" si="15"/>
        <v>0</v>
      </c>
    </row>
    <row r="251" spans="1:18">
      <c r="A251" s="619"/>
      <c r="B251" s="620"/>
      <c r="C251" s="624"/>
      <c r="D251" s="624"/>
      <c r="E251" s="3"/>
      <c r="F251" s="274"/>
      <c r="G251" s="274"/>
      <c r="H251" s="8"/>
      <c r="I251" s="5"/>
      <c r="J251" s="411">
        <f t="shared" si="12"/>
        <v>0</v>
      </c>
      <c r="K251" s="2"/>
      <c r="L251" s="8"/>
      <c r="M251" s="7"/>
      <c r="N251" s="9" t="str">
        <f t="shared" si="13"/>
        <v/>
      </c>
      <c r="O251" s="20"/>
      <c r="Q251" s="637">
        <f t="shared" si="14"/>
        <v>0</v>
      </c>
      <c r="R251" s="637">
        <f t="shared" si="15"/>
        <v>0</v>
      </c>
    </row>
    <row r="252" spans="1:18">
      <c r="A252" s="628"/>
      <c r="B252" s="629"/>
      <c r="C252" s="630"/>
      <c r="D252" s="630"/>
      <c r="E252" s="3"/>
      <c r="F252" s="275"/>
      <c r="G252" s="275"/>
      <c r="H252" s="28"/>
      <c r="I252" s="272"/>
      <c r="J252" s="412">
        <f t="shared" si="12"/>
        <v>0</v>
      </c>
      <c r="K252" s="26"/>
      <c r="L252" s="28"/>
      <c r="M252" s="27"/>
      <c r="N252" s="29" t="str">
        <f t="shared" si="13"/>
        <v/>
      </c>
      <c r="O252" s="20"/>
      <c r="Q252" s="637">
        <f t="shared" si="14"/>
        <v>0</v>
      </c>
      <c r="R252" s="637">
        <f t="shared" si="15"/>
        <v>0</v>
      </c>
    </row>
    <row r="253" spans="1:18">
      <c r="A253" s="631"/>
      <c r="B253" s="632"/>
      <c r="C253" s="623"/>
      <c r="D253" s="623"/>
      <c r="E253" s="3"/>
      <c r="F253" s="274"/>
      <c r="G253" s="274"/>
      <c r="H253" s="8"/>
      <c r="I253" s="8"/>
      <c r="J253" s="413">
        <f t="shared" si="12"/>
        <v>0</v>
      </c>
      <c r="K253" s="35"/>
      <c r="L253" s="8"/>
      <c r="M253" s="7"/>
      <c r="N253" s="9" t="str">
        <f t="shared" si="13"/>
        <v/>
      </c>
      <c r="O253" s="20"/>
      <c r="Q253" s="637">
        <f t="shared" si="14"/>
        <v>0</v>
      </c>
      <c r="R253" s="637">
        <f t="shared" si="15"/>
        <v>0</v>
      </c>
    </row>
    <row r="254" spans="1:18">
      <c r="A254" s="631"/>
      <c r="B254" s="632"/>
      <c r="C254" s="623"/>
      <c r="D254" s="623"/>
      <c r="E254" s="3"/>
      <c r="F254" s="274"/>
      <c r="G254" s="274"/>
      <c r="H254" s="8"/>
      <c r="I254" s="8"/>
      <c r="J254" s="413">
        <f t="shared" si="12"/>
        <v>0</v>
      </c>
      <c r="K254" s="35"/>
      <c r="L254" s="8"/>
      <c r="M254" s="7"/>
      <c r="N254" s="9" t="str">
        <f t="shared" si="13"/>
        <v/>
      </c>
      <c r="O254" s="20"/>
      <c r="Q254" s="637">
        <f t="shared" si="14"/>
        <v>0</v>
      </c>
      <c r="R254" s="637">
        <f t="shared" si="15"/>
        <v>0</v>
      </c>
    </row>
    <row r="255" spans="1:18">
      <c r="A255" s="631"/>
      <c r="B255" s="632"/>
      <c r="C255" s="623"/>
      <c r="D255" s="623"/>
      <c r="E255" s="3"/>
      <c r="F255" s="274"/>
      <c r="G255" s="274"/>
      <c r="H255" s="8"/>
      <c r="I255" s="8"/>
      <c r="J255" s="413">
        <f t="shared" si="12"/>
        <v>0</v>
      </c>
      <c r="K255" s="35"/>
      <c r="L255" s="8"/>
      <c r="M255" s="7"/>
      <c r="N255" s="9" t="str">
        <f t="shared" si="13"/>
        <v/>
      </c>
      <c r="O255" s="20"/>
      <c r="Q255" s="637">
        <f t="shared" si="14"/>
        <v>0</v>
      </c>
      <c r="R255" s="637">
        <f t="shared" si="15"/>
        <v>0</v>
      </c>
    </row>
    <row r="256" spans="1:18">
      <c r="A256" s="631"/>
      <c r="B256" s="632"/>
      <c r="C256" s="623"/>
      <c r="D256" s="623"/>
      <c r="E256" s="3"/>
      <c r="F256" s="274"/>
      <c r="G256" s="274"/>
      <c r="H256" s="8"/>
      <c r="I256" s="8"/>
      <c r="J256" s="413">
        <f t="shared" si="12"/>
        <v>0</v>
      </c>
      <c r="K256" s="35"/>
      <c r="L256" s="8"/>
      <c r="M256" s="7"/>
      <c r="N256" s="9" t="str">
        <f t="shared" si="13"/>
        <v/>
      </c>
      <c r="O256" s="20"/>
      <c r="Q256" s="637">
        <f t="shared" si="14"/>
        <v>0</v>
      </c>
      <c r="R256" s="637">
        <f t="shared" si="15"/>
        <v>0</v>
      </c>
    </row>
    <row r="257" spans="1:18">
      <c r="A257" s="631"/>
      <c r="B257" s="632"/>
      <c r="C257" s="623"/>
      <c r="D257" s="623"/>
      <c r="E257" s="3"/>
      <c r="F257" s="274"/>
      <c r="G257" s="274"/>
      <c r="H257" s="8"/>
      <c r="I257" s="8"/>
      <c r="J257" s="413">
        <f t="shared" si="12"/>
        <v>0</v>
      </c>
      <c r="K257" s="35"/>
      <c r="L257" s="8"/>
      <c r="M257" s="7"/>
      <c r="N257" s="9" t="str">
        <f t="shared" si="13"/>
        <v/>
      </c>
      <c r="O257" s="20"/>
      <c r="Q257" s="637">
        <f t="shared" si="14"/>
        <v>0</v>
      </c>
      <c r="R257" s="637">
        <f t="shared" si="15"/>
        <v>0</v>
      </c>
    </row>
    <row r="258" spans="1:18">
      <c r="A258" s="631"/>
      <c r="B258" s="632"/>
      <c r="C258" s="623"/>
      <c r="D258" s="623"/>
      <c r="E258" s="3"/>
      <c r="F258" s="274"/>
      <c r="G258" s="274"/>
      <c r="H258" s="8"/>
      <c r="I258" s="8"/>
      <c r="J258" s="413">
        <f t="shared" si="12"/>
        <v>0</v>
      </c>
      <c r="K258" s="35"/>
      <c r="L258" s="8"/>
      <c r="M258" s="7"/>
      <c r="N258" s="9" t="str">
        <f t="shared" si="13"/>
        <v/>
      </c>
      <c r="O258" s="20"/>
      <c r="Q258" s="637">
        <f t="shared" si="14"/>
        <v>0</v>
      </c>
      <c r="R258" s="637">
        <f t="shared" si="15"/>
        <v>0</v>
      </c>
    </row>
    <row r="259" spans="1:18">
      <c r="A259" s="631"/>
      <c r="B259" s="632"/>
      <c r="C259" s="623"/>
      <c r="D259" s="623"/>
      <c r="E259" s="3"/>
      <c r="F259" s="274"/>
      <c r="G259" s="274"/>
      <c r="H259" s="8"/>
      <c r="I259" s="8"/>
      <c r="J259" s="413">
        <f t="shared" si="12"/>
        <v>0</v>
      </c>
      <c r="K259" s="35"/>
      <c r="L259" s="8"/>
      <c r="M259" s="7"/>
      <c r="N259" s="9" t="str">
        <f t="shared" si="13"/>
        <v/>
      </c>
      <c r="O259" s="20"/>
      <c r="Q259" s="637">
        <f t="shared" si="14"/>
        <v>0</v>
      </c>
      <c r="R259" s="637">
        <f t="shared" si="15"/>
        <v>0</v>
      </c>
    </row>
    <row r="260" spans="1:18">
      <c r="A260" s="631"/>
      <c r="B260" s="632"/>
      <c r="C260" s="623"/>
      <c r="D260" s="623"/>
      <c r="E260" s="3"/>
      <c r="F260" s="274"/>
      <c r="G260" s="274"/>
      <c r="H260" s="8"/>
      <c r="I260" s="8"/>
      <c r="J260" s="413">
        <f t="shared" si="12"/>
        <v>0</v>
      </c>
      <c r="K260" s="35"/>
      <c r="L260" s="8"/>
      <c r="M260" s="7"/>
      <c r="N260" s="9" t="str">
        <f t="shared" si="13"/>
        <v/>
      </c>
      <c r="O260" s="20"/>
      <c r="Q260" s="637">
        <f t="shared" si="14"/>
        <v>0</v>
      </c>
      <c r="R260" s="637">
        <f t="shared" si="15"/>
        <v>0</v>
      </c>
    </row>
    <row r="261" spans="1:18">
      <c r="A261" s="631"/>
      <c r="B261" s="632"/>
      <c r="C261" s="623"/>
      <c r="D261" s="623"/>
      <c r="E261" s="3"/>
      <c r="F261" s="274"/>
      <c r="G261" s="274"/>
      <c r="H261" s="8"/>
      <c r="I261" s="8"/>
      <c r="J261" s="413">
        <f t="shared" si="12"/>
        <v>0</v>
      </c>
      <c r="K261" s="35"/>
      <c r="L261" s="8"/>
      <c r="M261" s="7"/>
      <c r="N261" s="9" t="str">
        <f t="shared" si="13"/>
        <v/>
      </c>
      <c r="O261" s="20"/>
      <c r="Q261" s="637">
        <f t="shared" si="14"/>
        <v>0</v>
      </c>
      <c r="R261" s="637">
        <f t="shared" si="15"/>
        <v>0</v>
      </c>
    </row>
    <row r="262" spans="1:18">
      <c r="A262" s="631"/>
      <c r="B262" s="632"/>
      <c r="C262" s="623"/>
      <c r="D262" s="623"/>
      <c r="E262" s="3"/>
      <c r="F262" s="274"/>
      <c r="G262" s="274"/>
      <c r="H262" s="8"/>
      <c r="I262" s="8"/>
      <c r="J262" s="413">
        <f t="shared" ref="J262:J325" si="16">(+F262*G262+H262*I262)*E262</f>
        <v>0</v>
      </c>
      <c r="K262" s="35"/>
      <c r="L262" s="8"/>
      <c r="M262" s="7"/>
      <c r="N262" s="9" t="str">
        <f t="shared" ref="N262:N325" si="17">IF(K262=0,"",L262*M262*E262)</f>
        <v/>
      </c>
      <c r="O262" s="20"/>
      <c r="Q262" s="637">
        <f t="shared" ref="Q262:Q325" si="18">F262*G262*E262</f>
        <v>0</v>
      </c>
      <c r="R262" s="637">
        <f t="shared" ref="R262:R325" si="19">H262*E262*I262</f>
        <v>0</v>
      </c>
    </row>
    <row r="263" spans="1:18">
      <c r="A263" s="631"/>
      <c r="B263" s="632"/>
      <c r="C263" s="623"/>
      <c r="D263" s="623"/>
      <c r="E263" s="3"/>
      <c r="F263" s="274"/>
      <c r="G263" s="274"/>
      <c r="H263" s="8"/>
      <c r="I263" s="8"/>
      <c r="J263" s="413">
        <f t="shared" si="16"/>
        <v>0</v>
      </c>
      <c r="K263" s="35"/>
      <c r="L263" s="8"/>
      <c r="M263" s="7"/>
      <c r="N263" s="9" t="str">
        <f t="shared" si="17"/>
        <v/>
      </c>
      <c r="O263" s="20"/>
      <c r="Q263" s="637">
        <f t="shared" si="18"/>
        <v>0</v>
      </c>
      <c r="R263" s="637">
        <f t="shared" si="19"/>
        <v>0</v>
      </c>
    </row>
    <row r="264" spans="1:18">
      <c r="A264" s="631"/>
      <c r="B264" s="632"/>
      <c r="C264" s="623"/>
      <c r="D264" s="623"/>
      <c r="E264" s="3"/>
      <c r="F264" s="274"/>
      <c r="G264" s="274"/>
      <c r="H264" s="8"/>
      <c r="I264" s="8"/>
      <c r="J264" s="413">
        <f t="shared" si="16"/>
        <v>0</v>
      </c>
      <c r="K264" s="35"/>
      <c r="L264" s="8"/>
      <c r="M264" s="7"/>
      <c r="N264" s="9" t="str">
        <f t="shared" si="17"/>
        <v/>
      </c>
      <c r="O264" s="20"/>
      <c r="Q264" s="637">
        <f t="shared" si="18"/>
        <v>0</v>
      </c>
      <c r="R264" s="637">
        <f t="shared" si="19"/>
        <v>0</v>
      </c>
    </row>
    <row r="265" spans="1:18">
      <c r="A265" s="631"/>
      <c r="B265" s="632"/>
      <c r="C265" s="623"/>
      <c r="D265" s="623"/>
      <c r="E265" s="3"/>
      <c r="F265" s="274"/>
      <c r="G265" s="274"/>
      <c r="H265" s="8"/>
      <c r="I265" s="8"/>
      <c r="J265" s="413">
        <f t="shared" si="16"/>
        <v>0</v>
      </c>
      <c r="K265" s="35"/>
      <c r="L265" s="8"/>
      <c r="M265" s="7"/>
      <c r="N265" s="9" t="str">
        <f t="shared" si="17"/>
        <v/>
      </c>
      <c r="O265" s="20"/>
      <c r="Q265" s="637">
        <f t="shared" si="18"/>
        <v>0</v>
      </c>
      <c r="R265" s="637">
        <f t="shared" si="19"/>
        <v>0</v>
      </c>
    </row>
    <row r="266" spans="1:18">
      <c r="A266" s="631"/>
      <c r="B266" s="632"/>
      <c r="C266" s="623"/>
      <c r="D266" s="623"/>
      <c r="E266" s="3"/>
      <c r="F266" s="274"/>
      <c r="G266" s="274"/>
      <c r="H266" s="8"/>
      <c r="I266" s="8"/>
      <c r="J266" s="413">
        <f t="shared" si="16"/>
        <v>0</v>
      </c>
      <c r="K266" s="35"/>
      <c r="L266" s="8"/>
      <c r="M266" s="7"/>
      <c r="N266" s="9" t="str">
        <f t="shared" si="17"/>
        <v/>
      </c>
      <c r="O266" s="20"/>
      <c r="Q266" s="637">
        <f t="shared" si="18"/>
        <v>0</v>
      </c>
      <c r="R266" s="637">
        <f t="shared" si="19"/>
        <v>0</v>
      </c>
    </row>
    <row r="267" spans="1:18">
      <c r="A267" s="631"/>
      <c r="B267" s="632"/>
      <c r="C267" s="623"/>
      <c r="D267" s="623"/>
      <c r="E267" s="3"/>
      <c r="F267" s="274"/>
      <c r="G267" s="274"/>
      <c r="H267" s="8"/>
      <c r="I267" s="8"/>
      <c r="J267" s="413">
        <f t="shared" si="16"/>
        <v>0</v>
      </c>
      <c r="K267" s="35"/>
      <c r="L267" s="8"/>
      <c r="M267" s="7"/>
      <c r="N267" s="9" t="str">
        <f t="shared" si="17"/>
        <v/>
      </c>
      <c r="O267" s="20"/>
      <c r="Q267" s="637">
        <f t="shared" si="18"/>
        <v>0</v>
      </c>
      <c r="R267" s="637">
        <f t="shared" si="19"/>
        <v>0</v>
      </c>
    </row>
    <row r="268" spans="1:18">
      <c r="A268" s="631"/>
      <c r="B268" s="632"/>
      <c r="C268" s="623"/>
      <c r="D268" s="623"/>
      <c r="E268" s="3"/>
      <c r="F268" s="274"/>
      <c r="G268" s="274"/>
      <c r="H268" s="8"/>
      <c r="I268" s="8"/>
      <c r="J268" s="413">
        <f t="shared" si="16"/>
        <v>0</v>
      </c>
      <c r="K268" s="35"/>
      <c r="L268" s="8"/>
      <c r="M268" s="7"/>
      <c r="N268" s="9" t="str">
        <f t="shared" si="17"/>
        <v/>
      </c>
      <c r="O268" s="20"/>
      <c r="Q268" s="637">
        <f t="shared" si="18"/>
        <v>0</v>
      </c>
      <c r="R268" s="637">
        <f t="shared" si="19"/>
        <v>0</v>
      </c>
    </row>
    <row r="269" spans="1:18">
      <c r="A269" s="631"/>
      <c r="B269" s="632"/>
      <c r="C269" s="623"/>
      <c r="D269" s="623"/>
      <c r="E269" s="3"/>
      <c r="F269" s="274"/>
      <c r="G269" s="274"/>
      <c r="H269" s="8"/>
      <c r="I269" s="8"/>
      <c r="J269" s="413">
        <f t="shared" si="16"/>
        <v>0</v>
      </c>
      <c r="K269" s="35"/>
      <c r="L269" s="8"/>
      <c r="M269" s="7"/>
      <c r="N269" s="9" t="str">
        <f t="shared" si="17"/>
        <v/>
      </c>
      <c r="O269" s="20"/>
      <c r="Q269" s="637">
        <f t="shared" si="18"/>
        <v>0</v>
      </c>
      <c r="R269" s="637">
        <f t="shared" si="19"/>
        <v>0</v>
      </c>
    </row>
    <row r="270" spans="1:18">
      <c r="A270" s="631"/>
      <c r="B270" s="632"/>
      <c r="C270" s="623"/>
      <c r="D270" s="623"/>
      <c r="E270" s="3"/>
      <c r="F270" s="274"/>
      <c r="G270" s="274"/>
      <c r="H270" s="8"/>
      <c r="I270" s="8"/>
      <c r="J270" s="413">
        <f t="shared" si="16"/>
        <v>0</v>
      </c>
      <c r="K270" s="35"/>
      <c r="L270" s="8"/>
      <c r="M270" s="7"/>
      <c r="N270" s="9" t="str">
        <f t="shared" si="17"/>
        <v/>
      </c>
      <c r="O270" s="20"/>
      <c r="Q270" s="637">
        <f t="shared" si="18"/>
        <v>0</v>
      </c>
      <c r="R270" s="637">
        <f t="shared" si="19"/>
        <v>0</v>
      </c>
    </row>
    <row r="271" spans="1:18">
      <c r="A271" s="631"/>
      <c r="B271" s="632"/>
      <c r="C271" s="623"/>
      <c r="D271" s="623"/>
      <c r="E271" s="3"/>
      <c r="F271" s="274"/>
      <c r="G271" s="274"/>
      <c r="H271" s="8"/>
      <c r="I271" s="8"/>
      <c r="J271" s="413">
        <f t="shared" si="16"/>
        <v>0</v>
      </c>
      <c r="K271" s="35"/>
      <c r="L271" s="8"/>
      <c r="M271" s="7"/>
      <c r="N271" s="9" t="str">
        <f t="shared" si="17"/>
        <v/>
      </c>
      <c r="O271" s="20"/>
      <c r="Q271" s="637">
        <f t="shared" si="18"/>
        <v>0</v>
      </c>
      <c r="R271" s="637">
        <f t="shared" si="19"/>
        <v>0</v>
      </c>
    </row>
    <row r="272" spans="1:18">
      <c r="A272" s="631"/>
      <c r="B272" s="632"/>
      <c r="C272" s="623"/>
      <c r="D272" s="623"/>
      <c r="E272" s="3"/>
      <c r="F272" s="274"/>
      <c r="G272" s="274"/>
      <c r="H272" s="8"/>
      <c r="I272" s="8"/>
      <c r="J272" s="413">
        <f t="shared" si="16"/>
        <v>0</v>
      </c>
      <c r="K272" s="35"/>
      <c r="L272" s="8"/>
      <c r="M272" s="7"/>
      <c r="N272" s="9" t="str">
        <f t="shared" si="17"/>
        <v/>
      </c>
      <c r="O272" s="20"/>
      <c r="Q272" s="637">
        <f t="shared" si="18"/>
        <v>0</v>
      </c>
      <c r="R272" s="637">
        <f t="shared" si="19"/>
        <v>0</v>
      </c>
    </row>
    <row r="273" spans="1:18">
      <c r="A273" s="631"/>
      <c r="B273" s="632"/>
      <c r="C273" s="623"/>
      <c r="D273" s="623"/>
      <c r="E273" s="3"/>
      <c r="F273" s="274"/>
      <c r="G273" s="274"/>
      <c r="H273" s="8"/>
      <c r="I273" s="8"/>
      <c r="J273" s="413">
        <f t="shared" si="16"/>
        <v>0</v>
      </c>
      <c r="K273" s="35"/>
      <c r="L273" s="8"/>
      <c r="M273" s="7"/>
      <c r="N273" s="9" t="str">
        <f t="shared" si="17"/>
        <v/>
      </c>
      <c r="O273" s="20"/>
      <c r="Q273" s="637">
        <f t="shared" si="18"/>
        <v>0</v>
      </c>
      <c r="R273" s="637">
        <f t="shared" si="19"/>
        <v>0</v>
      </c>
    </row>
    <row r="274" spans="1:18">
      <c r="A274" s="631"/>
      <c r="B274" s="632"/>
      <c r="C274" s="623"/>
      <c r="D274" s="623"/>
      <c r="E274" s="3"/>
      <c r="F274" s="274"/>
      <c r="G274" s="274"/>
      <c r="H274" s="8"/>
      <c r="I274" s="8"/>
      <c r="J274" s="413">
        <f t="shared" si="16"/>
        <v>0</v>
      </c>
      <c r="K274" s="35"/>
      <c r="L274" s="8"/>
      <c r="M274" s="7"/>
      <c r="N274" s="9" t="str">
        <f t="shared" si="17"/>
        <v/>
      </c>
      <c r="O274" s="20"/>
      <c r="Q274" s="637">
        <f t="shared" si="18"/>
        <v>0</v>
      </c>
      <c r="R274" s="637">
        <f t="shared" si="19"/>
        <v>0</v>
      </c>
    </row>
    <row r="275" spans="1:18">
      <c r="A275" s="631"/>
      <c r="B275" s="632"/>
      <c r="C275" s="623"/>
      <c r="D275" s="623"/>
      <c r="E275" s="3"/>
      <c r="F275" s="274"/>
      <c r="G275" s="274"/>
      <c r="H275" s="8"/>
      <c r="I275" s="8"/>
      <c r="J275" s="413">
        <f t="shared" si="16"/>
        <v>0</v>
      </c>
      <c r="K275" s="35"/>
      <c r="L275" s="8"/>
      <c r="M275" s="7"/>
      <c r="N275" s="9" t="str">
        <f t="shared" si="17"/>
        <v/>
      </c>
      <c r="O275" s="20"/>
      <c r="Q275" s="637">
        <f t="shared" si="18"/>
        <v>0</v>
      </c>
      <c r="R275" s="637">
        <f t="shared" si="19"/>
        <v>0</v>
      </c>
    </row>
    <row r="276" spans="1:18">
      <c r="A276" s="631"/>
      <c r="B276" s="632"/>
      <c r="C276" s="623"/>
      <c r="D276" s="623"/>
      <c r="E276" s="3"/>
      <c r="F276" s="274"/>
      <c r="G276" s="274"/>
      <c r="H276" s="8"/>
      <c r="I276" s="8"/>
      <c r="J276" s="413">
        <f t="shared" si="16"/>
        <v>0</v>
      </c>
      <c r="K276" s="35"/>
      <c r="L276" s="8"/>
      <c r="M276" s="7"/>
      <c r="N276" s="9" t="str">
        <f t="shared" si="17"/>
        <v/>
      </c>
      <c r="O276" s="20"/>
      <c r="Q276" s="637">
        <f t="shared" si="18"/>
        <v>0</v>
      </c>
      <c r="R276" s="637">
        <f t="shared" si="19"/>
        <v>0</v>
      </c>
    </row>
    <row r="277" spans="1:18">
      <c r="A277" s="631"/>
      <c r="B277" s="632"/>
      <c r="C277" s="623"/>
      <c r="D277" s="623"/>
      <c r="E277" s="3"/>
      <c r="F277" s="274"/>
      <c r="G277" s="274"/>
      <c r="H277" s="8"/>
      <c r="I277" s="8"/>
      <c r="J277" s="413">
        <f t="shared" si="16"/>
        <v>0</v>
      </c>
      <c r="K277" s="35"/>
      <c r="L277" s="8"/>
      <c r="M277" s="7"/>
      <c r="N277" s="9" t="str">
        <f t="shared" si="17"/>
        <v/>
      </c>
      <c r="O277" s="20"/>
      <c r="Q277" s="637">
        <f t="shared" si="18"/>
        <v>0</v>
      </c>
      <c r="R277" s="637">
        <f t="shared" si="19"/>
        <v>0</v>
      </c>
    </row>
    <row r="278" spans="1:18">
      <c r="A278" s="631"/>
      <c r="B278" s="632"/>
      <c r="C278" s="623"/>
      <c r="D278" s="623"/>
      <c r="E278" s="3"/>
      <c r="F278" s="274"/>
      <c r="G278" s="274"/>
      <c r="H278" s="8"/>
      <c r="I278" s="8"/>
      <c r="J278" s="413">
        <f t="shared" si="16"/>
        <v>0</v>
      </c>
      <c r="K278" s="35"/>
      <c r="L278" s="8"/>
      <c r="M278" s="7"/>
      <c r="N278" s="9" t="str">
        <f t="shared" si="17"/>
        <v/>
      </c>
      <c r="O278" s="20"/>
      <c r="Q278" s="637">
        <f t="shared" si="18"/>
        <v>0</v>
      </c>
      <c r="R278" s="637">
        <f t="shared" si="19"/>
        <v>0</v>
      </c>
    </row>
    <row r="279" spans="1:18">
      <c r="A279" s="631"/>
      <c r="B279" s="632"/>
      <c r="C279" s="623"/>
      <c r="D279" s="623"/>
      <c r="E279" s="3"/>
      <c r="F279" s="274"/>
      <c r="G279" s="274"/>
      <c r="H279" s="8"/>
      <c r="I279" s="8"/>
      <c r="J279" s="413">
        <f t="shared" si="16"/>
        <v>0</v>
      </c>
      <c r="K279" s="35"/>
      <c r="L279" s="8"/>
      <c r="M279" s="7"/>
      <c r="N279" s="9" t="str">
        <f t="shared" si="17"/>
        <v/>
      </c>
      <c r="O279" s="20"/>
      <c r="Q279" s="637">
        <f t="shared" si="18"/>
        <v>0</v>
      </c>
      <c r="R279" s="637">
        <f t="shared" si="19"/>
        <v>0</v>
      </c>
    </row>
    <row r="280" spans="1:18">
      <c r="A280" s="631"/>
      <c r="B280" s="632"/>
      <c r="C280" s="623"/>
      <c r="D280" s="623"/>
      <c r="E280" s="3"/>
      <c r="F280" s="274"/>
      <c r="G280" s="274"/>
      <c r="H280" s="8"/>
      <c r="I280" s="8"/>
      <c r="J280" s="413">
        <f t="shared" si="16"/>
        <v>0</v>
      </c>
      <c r="K280" s="35"/>
      <c r="L280" s="8"/>
      <c r="M280" s="7"/>
      <c r="N280" s="9" t="str">
        <f t="shared" si="17"/>
        <v/>
      </c>
      <c r="O280" s="20"/>
      <c r="Q280" s="637">
        <f t="shared" si="18"/>
        <v>0</v>
      </c>
      <c r="R280" s="637">
        <f t="shared" si="19"/>
        <v>0</v>
      </c>
    </row>
    <row r="281" spans="1:18">
      <c r="A281" s="631"/>
      <c r="B281" s="632"/>
      <c r="C281" s="623"/>
      <c r="D281" s="623"/>
      <c r="E281" s="3"/>
      <c r="F281" s="274"/>
      <c r="G281" s="274"/>
      <c r="H281" s="8"/>
      <c r="I281" s="8"/>
      <c r="J281" s="413">
        <f t="shared" si="16"/>
        <v>0</v>
      </c>
      <c r="K281" s="35"/>
      <c r="L281" s="8"/>
      <c r="M281" s="7"/>
      <c r="N281" s="9" t="str">
        <f t="shared" si="17"/>
        <v/>
      </c>
      <c r="O281" s="20"/>
      <c r="Q281" s="637">
        <f t="shared" si="18"/>
        <v>0</v>
      </c>
      <c r="R281" s="637">
        <f t="shared" si="19"/>
        <v>0</v>
      </c>
    </row>
    <row r="282" spans="1:18">
      <c r="A282" s="631"/>
      <c r="B282" s="632"/>
      <c r="C282" s="623"/>
      <c r="D282" s="623"/>
      <c r="E282" s="3"/>
      <c r="F282" s="274"/>
      <c r="G282" s="274"/>
      <c r="H282" s="8"/>
      <c r="I282" s="8"/>
      <c r="J282" s="413">
        <f t="shared" si="16"/>
        <v>0</v>
      </c>
      <c r="K282" s="35"/>
      <c r="L282" s="8"/>
      <c r="M282" s="7"/>
      <c r="N282" s="9" t="str">
        <f t="shared" si="17"/>
        <v/>
      </c>
      <c r="O282" s="20"/>
      <c r="Q282" s="637">
        <f t="shared" si="18"/>
        <v>0</v>
      </c>
      <c r="R282" s="637">
        <f t="shared" si="19"/>
        <v>0</v>
      </c>
    </row>
    <row r="283" spans="1:18">
      <c r="A283" s="631"/>
      <c r="B283" s="632"/>
      <c r="C283" s="623"/>
      <c r="D283" s="623"/>
      <c r="E283" s="3"/>
      <c r="F283" s="274"/>
      <c r="G283" s="274"/>
      <c r="H283" s="8"/>
      <c r="I283" s="8"/>
      <c r="J283" s="413">
        <f t="shared" si="16"/>
        <v>0</v>
      </c>
      <c r="K283" s="35"/>
      <c r="L283" s="8"/>
      <c r="M283" s="7"/>
      <c r="N283" s="9" t="str">
        <f t="shared" si="17"/>
        <v/>
      </c>
      <c r="O283" s="20"/>
      <c r="Q283" s="637">
        <f t="shared" si="18"/>
        <v>0</v>
      </c>
      <c r="R283" s="637">
        <f t="shared" si="19"/>
        <v>0</v>
      </c>
    </row>
    <row r="284" spans="1:18">
      <c r="A284" s="631"/>
      <c r="B284" s="632"/>
      <c r="C284" s="623"/>
      <c r="D284" s="623"/>
      <c r="E284" s="3"/>
      <c r="F284" s="274"/>
      <c r="G284" s="274"/>
      <c r="H284" s="8"/>
      <c r="I284" s="8"/>
      <c r="J284" s="413">
        <f t="shared" si="16"/>
        <v>0</v>
      </c>
      <c r="K284" s="35"/>
      <c r="L284" s="8"/>
      <c r="M284" s="7"/>
      <c r="N284" s="9" t="str">
        <f t="shared" si="17"/>
        <v/>
      </c>
      <c r="O284" s="20"/>
      <c r="Q284" s="637">
        <f t="shared" si="18"/>
        <v>0</v>
      </c>
      <c r="R284" s="637">
        <f t="shared" si="19"/>
        <v>0</v>
      </c>
    </row>
    <row r="285" spans="1:18">
      <c r="A285" s="631"/>
      <c r="B285" s="632"/>
      <c r="C285" s="623"/>
      <c r="D285" s="623"/>
      <c r="E285" s="3"/>
      <c r="F285" s="274"/>
      <c r="G285" s="274"/>
      <c r="H285" s="8"/>
      <c r="I285" s="8"/>
      <c r="J285" s="413">
        <f t="shared" si="16"/>
        <v>0</v>
      </c>
      <c r="K285" s="35"/>
      <c r="L285" s="8"/>
      <c r="M285" s="7"/>
      <c r="N285" s="9" t="str">
        <f t="shared" si="17"/>
        <v/>
      </c>
      <c r="O285" s="20"/>
      <c r="Q285" s="637">
        <f t="shared" si="18"/>
        <v>0</v>
      </c>
      <c r="R285" s="637">
        <f t="shared" si="19"/>
        <v>0</v>
      </c>
    </row>
    <row r="286" spans="1:18">
      <c r="A286" s="631"/>
      <c r="B286" s="632"/>
      <c r="C286" s="623"/>
      <c r="D286" s="623"/>
      <c r="E286" s="3"/>
      <c r="F286" s="274"/>
      <c r="G286" s="274"/>
      <c r="H286" s="8"/>
      <c r="I286" s="8"/>
      <c r="J286" s="413">
        <f t="shared" si="16"/>
        <v>0</v>
      </c>
      <c r="K286" s="35"/>
      <c r="L286" s="8"/>
      <c r="M286" s="7"/>
      <c r="N286" s="9" t="str">
        <f t="shared" si="17"/>
        <v/>
      </c>
      <c r="O286" s="20"/>
      <c r="Q286" s="637">
        <f t="shared" si="18"/>
        <v>0</v>
      </c>
      <c r="R286" s="637">
        <f t="shared" si="19"/>
        <v>0</v>
      </c>
    </row>
    <row r="287" spans="1:18">
      <c r="A287" s="631"/>
      <c r="B287" s="632"/>
      <c r="C287" s="623"/>
      <c r="D287" s="623"/>
      <c r="E287" s="3"/>
      <c r="F287" s="274"/>
      <c r="G287" s="274"/>
      <c r="H287" s="8"/>
      <c r="I287" s="8"/>
      <c r="J287" s="413">
        <f t="shared" si="16"/>
        <v>0</v>
      </c>
      <c r="K287" s="35"/>
      <c r="L287" s="8"/>
      <c r="M287" s="7"/>
      <c r="N287" s="9" t="str">
        <f t="shared" si="17"/>
        <v/>
      </c>
      <c r="O287" s="20"/>
      <c r="Q287" s="637">
        <f t="shared" si="18"/>
        <v>0</v>
      </c>
      <c r="R287" s="637">
        <f t="shared" si="19"/>
        <v>0</v>
      </c>
    </row>
    <row r="288" spans="1:18">
      <c r="A288" s="631"/>
      <c r="B288" s="632"/>
      <c r="C288" s="623"/>
      <c r="D288" s="623"/>
      <c r="E288" s="3"/>
      <c r="F288" s="274"/>
      <c r="G288" s="274"/>
      <c r="H288" s="8"/>
      <c r="I288" s="8"/>
      <c r="J288" s="413">
        <f t="shared" si="16"/>
        <v>0</v>
      </c>
      <c r="K288" s="35"/>
      <c r="L288" s="8"/>
      <c r="M288" s="7"/>
      <c r="N288" s="9" t="str">
        <f t="shared" si="17"/>
        <v/>
      </c>
      <c r="O288" s="20"/>
      <c r="Q288" s="637">
        <f t="shared" si="18"/>
        <v>0</v>
      </c>
      <c r="R288" s="637">
        <f t="shared" si="19"/>
        <v>0</v>
      </c>
    </row>
    <row r="289" spans="1:18">
      <c r="A289" s="631"/>
      <c r="B289" s="632"/>
      <c r="C289" s="623"/>
      <c r="D289" s="623"/>
      <c r="E289" s="3"/>
      <c r="F289" s="274"/>
      <c r="G289" s="274"/>
      <c r="H289" s="8"/>
      <c r="I289" s="8"/>
      <c r="J289" s="413">
        <f t="shared" si="16"/>
        <v>0</v>
      </c>
      <c r="K289" s="35"/>
      <c r="L289" s="8"/>
      <c r="M289" s="7"/>
      <c r="N289" s="9" t="str">
        <f t="shared" si="17"/>
        <v/>
      </c>
      <c r="O289" s="20"/>
      <c r="Q289" s="637">
        <f t="shared" si="18"/>
        <v>0</v>
      </c>
      <c r="R289" s="637">
        <f t="shared" si="19"/>
        <v>0</v>
      </c>
    </row>
    <row r="290" spans="1:18">
      <c r="A290" s="631"/>
      <c r="B290" s="632"/>
      <c r="C290" s="623"/>
      <c r="D290" s="623"/>
      <c r="E290" s="3"/>
      <c r="F290" s="274"/>
      <c r="G290" s="274"/>
      <c r="H290" s="8"/>
      <c r="I290" s="8"/>
      <c r="J290" s="413">
        <f t="shared" si="16"/>
        <v>0</v>
      </c>
      <c r="K290" s="35"/>
      <c r="L290" s="8"/>
      <c r="M290" s="7"/>
      <c r="N290" s="9" t="str">
        <f t="shared" si="17"/>
        <v/>
      </c>
      <c r="O290" s="20"/>
      <c r="Q290" s="637">
        <f t="shared" si="18"/>
        <v>0</v>
      </c>
      <c r="R290" s="637">
        <f t="shared" si="19"/>
        <v>0</v>
      </c>
    </row>
    <row r="291" spans="1:18">
      <c r="A291" s="631"/>
      <c r="B291" s="632"/>
      <c r="C291" s="623"/>
      <c r="D291" s="623"/>
      <c r="E291" s="3"/>
      <c r="F291" s="274"/>
      <c r="G291" s="274"/>
      <c r="H291" s="8"/>
      <c r="I291" s="8"/>
      <c r="J291" s="413">
        <f t="shared" si="16"/>
        <v>0</v>
      </c>
      <c r="K291" s="35"/>
      <c r="L291" s="8"/>
      <c r="M291" s="7"/>
      <c r="N291" s="9" t="str">
        <f t="shared" si="17"/>
        <v/>
      </c>
      <c r="O291" s="20"/>
      <c r="Q291" s="637">
        <f t="shared" si="18"/>
        <v>0</v>
      </c>
      <c r="R291" s="637">
        <f t="shared" si="19"/>
        <v>0</v>
      </c>
    </row>
    <row r="292" spans="1:18">
      <c r="A292" s="631"/>
      <c r="B292" s="632"/>
      <c r="C292" s="623"/>
      <c r="D292" s="623"/>
      <c r="E292" s="3"/>
      <c r="F292" s="274"/>
      <c r="G292" s="274"/>
      <c r="H292" s="8"/>
      <c r="I292" s="8"/>
      <c r="J292" s="413">
        <f t="shared" si="16"/>
        <v>0</v>
      </c>
      <c r="K292" s="35"/>
      <c r="L292" s="8"/>
      <c r="M292" s="7"/>
      <c r="N292" s="9" t="str">
        <f t="shared" si="17"/>
        <v/>
      </c>
      <c r="O292" s="20"/>
      <c r="Q292" s="637">
        <f t="shared" si="18"/>
        <v>0</v>
      </c>
      <c r="R292" s="637">
        <f t="shared" si="19"/>
        <v>0</v>
      </c>
    </row>
    <row r="293" spans="1:18">
      <c r="A293" s="631"/>
      <c r="B293" s="632"/>
      <c r="C293" s="623"/>
      <c r="D293" s="623"/>
      <c r="E293" s="3"/>
      <c r="F293" s="274"/>
      <c r="G293" s="274"/>
      <c r="H293" s="8"/>
      <c r="I293" s="8"/>
      <c r="J293" s="413">
        <f t="shared" si="16"/>
        <v>0</v>
      </c>
      <c r="K293" s="35"/>
      <c r="L293" s="8"/>
      <c r="M293" s="7"/>
      <c r="N293" s="9" t="str">
        <f t="shared" si="17"/>
        <v/>
      </c>
      <c r="O293" s="20"/>
      <c r="Q293" s="637">
        <f t="shared" si="18"/>
        <v>0</v>
      </c>
      <c r="R293" s="637">
        <f t="shared" si="19"/>
        <v>0</v>
      </c>
    </row>
    <row r="294" spans="1:18">
      <c r="A294" s="631"/>
      <c r="B294" s="632"/>
      <c r="C294" s="623"/>
      <c r="D294" s="623"/>
      <c r="E294" s="3"/>
      <c r="F294" s="274"/>
      <c r="G294" s="274"/>
      <c r="H294" s="8"/>
      <c r="I294" s="8"/>
      <c r="J294" s="413">
        <f t="shared" si="16"/>
        <v>0</v>
      </c>
      <c r="K294" s="35"/>
      <c r="L294" s="8"/>
      <c r="M294" s="7"/>
      <c r="N294" s="9" t="str">
        <f t="shared" si="17"/>
        <v/>
      </c>
      <c r="O294" s="20"/>
      <c r="Q294" s="637">
        <f t="shared" si="18"/>
        <v>0</v>
      </c>
      <c r="R294" s="637">
        <f t="shared" si="19"/>
        <v>0</v>
      </c>
    </row>
    <row r="295" spans="1:18">
      <c r="A295" s="631"/>
      <c r="B295" s="632"/>
      <c r="C295" s="623"/>
      <c r="D295" s="623"/>
      <c r="E295" s="3"/>
      <c r="F295" s="274"/>
      <c r="G295" s="274"/>
      <c r="H295" s="8"/>
      <c r="I295" s="8"/>
      <c r="J295" s="413">
        <f t="shared" si="16"/>
        <v>0</v>
      </c>
      <c r="K295" s="35"/>
      <c r="L295" s="8"/>
      <c r="M295" s="7"/>
      <c r="N295" s="9" t="str">
        <f t="shared" si="17"/>
        <v/>
      </c>
      <c r="O295" s="20"/>
      <c r="Q295" s="637">
        <f t="shared" si="18"/>
        <v>0</v>
      </c>
      <c r="R295" s="637">
        <f t="shared" si="19"/>
        <v>0</v>
      </c>
    </row>
    <row r="296" spans="1:18">
      <c r="A296" s="631"/>
      <c r="B296" s="632"/>
      <c r="C296" s="623"/>
      <c r="D296" s="623"/>
      <c r="E296" s="3"/>
      <c r="F296" s="274"/>
      <c r="G296" s="274"/>
      <c r="H296" s="8"/>
      <c r="I296" s="8"/>
      <c r="J296" s="413">
        <f t="shared" si="16"/>
        <v>0</v>
      </c>
      <c r="K296" s="35"/>
      <c r="L296" s="8"/>
      <c r="M296" s="7"/>
      <c r="N296" s="9" t="str">
        <f t="shared" si="17"/>
        <v/>
      </c>
      <c r="O296" s="20"/>
      <c r="Q296" s="637">
        <f t="shared" si="18"/>
        <v>0</v>
      </c>
      <c r="R296" s="637">
        <f t="shared" si="19"/>
        <v>0</v>
      </c>
    </row>
    <row r="297" spans="1:18">
      <c r="A297" s="631"/>
      <c r="B297" s="632"/>
      <c r="C297" s="623"/>
      <c r="D297" s="623"/>
      <c r="E297" s="3"/>
      <c r="F297" s="274"/>
      <c r="G297" s="274"/>
      <c r="H297" s="8"/>
      <c r="I297" s="8"/>
      <c r="J297" s="413">
        <f t="shared" si="16"/>
        <v>0</v>
      </c>
      <c r="K297" s="35"/>
      <c r="L297" s="8"/>
      <c r="M297" s="7"/>
      <c r="N297" s="9" t="str">
        <f t="shared" si="17"/>
        <v/>
      </c>
      <c r="O297" s="20"/>
      <c r="Q297" s="637">
        <f t="shared" si="18"/>
        <v>0</v>
      </c>
      <c r="R297" s="637">
        <f t="shared" si="19"/>
        <v>0</v>
      </c>
    </row>
    <row r="298" spans="1:18">
      <c r="A298" s="631"/>
      <c r="B298" s="632"/>
      <c r="C298" s="623"/>
      <c r="D298" s="623"/>
      <c r="E298" s="3"/>
      <c r="F298" s="274"/>
      <c r="G298" s="274"/>
      <c r="H298" s="8"/>
      <c r="I298" s="8"/>
      <c r="J298" s="413">
        <f t="shared" si="16"/>
        <v>0</v>
      </c>
      <c r="K298" s="35"/>
      <c r="L298" s="8"/>
      <c r="M298" s="7"/>
      <c r="N298" s="9" t="str">
        <f t="shared" si="17"/>
        <v/>
      </c>
      <c r="O298" s="20"/>
      <c r="Q298" s="637">
        <f t="shared" si="18"/>
        <v>0</v>
      </c>
      <c r="R298" s="637">
        <f t="shared" si="19"/>
        <v>0</v>
      </c>
    </row>
    <row r="299" spans="1:18">
      <c r="A299" s="631"/>
      <c r="B299" s="632"/>
      <c r="C299" s="623"/>
      <c r="D299" s="623"/>
      <c r="E299" s="3"/>
      <c r="F299" s="274"/>
      <c r="G299" s="274"/>
      <c r="H299" s="8"/>
      <c r="I299" s="8"/>
      <c r="J299" s="413">
        <f t="shared" si="16"/>
        <v>0</v>
      </c>
      <c r="K299" s="35"/>
      <c r="L299" s="8"/>
      <c r="M299" s="7"/>
      <c r="N299" s="9" t="str">
        <f t="shared" si="17"/>
        <v/>
      </c>
      <c r="O299" s="20"/>
      <c r="Q299" s="637">
        <f t="shared" si="18"/>
        <v>0</v>
      </c>
      <c r="R299" s="637">
        <f t="shared" si="19"/>
        <v>0</v>
      </c>
    </row>
    <row r="300" spans="1:18">
      <c r="A300" s="631"/>
      <c r="B300" s="632"/>
      <c r="C300" s="623"/>
      <c r="D300" s="623"/>
      <c r="E300" s="3"/>
      <c r="F300" s="274"/>
      <c r="G300" s="274"/>
      <c r="H300" s="8"/>
      <c r="I300" s="8"/>
      <c r="J300" s="413">
        <f t="shared" si="16"/>
        <v>0</v>
      </c>
      <c r="K300" s="35"/>
      <c r="L300" s="8"/>
      <c r="M300" s="7"/>
      <c r="N300" s="9" t="str">
        <f t="shared" si="17"/>
        <v/>
      </c>
      <c r="O300" s="20"/>
      <c r="Q300" s="637">
        <f t="shared" si="18"/>
        <v>0</v>
      </c>
      <c r="R300" s="637">
        <f t="shared" si="19"/>
        <v>0</v>
      </c>
    </row>
    <row r="301" spans="1:18">
      <c r="A301" s="631"/>
      <c r="B301" s="632"/>
      <c r="C301" s="623"/>
      <c r="D301" s="623"/>
      <c r="E301" s="3"/>
      <c r="F301" s="274"/>
      <c r="G301" s="274"/>
      <c r="H301" s="8"/>
      <c r="I301" s="8"/>
      <c r="J301" s="413">
        <f t="shared" si="16"/>
        <v>0</v>
      </c>
      <c r="K301" s="35"/>
      <c r="L301" s="8"/>
      <c r="M301" s="7"/>
      <c r="N301" s="9" t="str">
        <f t="shared" si="17"/>
        <v/>
      </c>
      <c r="O301" s="20"/>
      <c r="Q301" s="637">
        <f t="shared" si="18"/>
        <v>0</v>
      </c>
      <c r="R301" s="637">
        <f t="shared" si="19"/>
        <v>0</v>
      </c>
    </row>
    <row r="302" spans="1:18">
      <c r="A302" s="631"/>
      <c r="B302" s="632"/>
      <c r="C302" s="623"/>
      <c r="D302" s="623"/>
      <c r="E302" s="3"/>
      <c r="F302" s="274"/>
      <c r="G302" s="274"/>
      <c r="H302" s="8"/>
      <c r="I302" s="8"/>
      <c r="J302" s="413">
        <f t="shared" si="16"/>
        <v>0</v>
      </c>
      <c r="K302" s="35"/>
      <c r="L302" s="8"/>
      <c r="M302" s="7"/>
      <c r="N302" s="9" t="str">
        <f t="shared" si="17"/>
        <v/>
      </c>
      <c r="O302" s="20"/>
      <c r="Q302" s="637">
        <f t="shared" si="18"/>
        <v>0</v>
      </c>
      <c r="R302" s="637">
        <f t="shared" si="19"/>
        <v>0</v>
      </c>
    </row>
    <row r="303" spans="1:18">
      <c r="A303" s="631"/>
      <c r="B303" s="632"/>
      <c r="C303" s="623"/>
      <c r="D303" s="623"/>
      <c r="E303" s="3"/>
      <c r="F303" s="274"/>
      <c r="G303" s="274"/>
      <c r="H303" s="8"/>
      <c r="I303" s="8"/>
      <c r="J303" s="413">
        <f t="shared" si="16"/>
        <v>0</v>
      </c>
      <c r="K303" s="35"/>
      <c r="L303" s="8"/>
      <c r="M303" s="7"/>
      <c r="N303" s="9" t="str">
        <f t="shared" si="17"/>
        <v/>
      </c>
      <c r="O303" s="20"/>
      <c r="Q303" s="637">
        <f t="shared" si="18"/>
        <v>0</v>
      </c>
      <c r="R303" s="637">
        <f t="shared" si="19"/>
        <v>0</v>
      </c>
    </row>
    <row r="304" spans="1:18">
      <c r="A304" s="631"/>
      <c r="B304" s="632"/>
      <c r="C304" s="623"/>
      <c r="D304" s="623"/>
      <c r="E304" s="3"/>
      <c r="F304" s="274"/>
      <c r="G304" s="274"/>
      <c r="H304" s="8"/>
      <c r="I304" s="8"/>
      <c r="J304" s="413">
        <f t="shared" si="16"/>
        <v>0</v>
      </c>
      <c r="K304" s="35"/>
      <c r="L304" s="8"/>
      <c r="M304" s="7"/>
      <c r="N304" s="9" t="str">
        <f t="shared" si="17"/>
        <v/>
      </c>
      <c r="O304" s="20"/>
      <c r="Q304" s="637">
        <f t="shared" si="18"/>
        <v>0</v>
      </c>
      <c r="R304" s="637">
        <f t="shared" si="19"/>
        <v>0</v>
      </c>
    </row>
    <row r="305" spans="1:18">
      <c r="A305" s="631"/>
      <c r="B305" s="632"/>
      <c r="C305" s="623"/>
      <c r="D305" s="623"/>
      <c r="E305" s="3"/>
      <c r="F305" s="274"/>
      <c r="G305" s="274"/>
      <c r="H305" s="8"/>
      <c r="I305" s="8"/>
      <c r="J305" s="413">
        <f t="shared" si="16"/>
        <v>0</v>
      </c>
      <c r="K305" s="35"/>
      <c r="L305" s="8"/>
      <c r="M305" s="7"/>
      <c r="N305" s="9" t="str">
        <f t="shared" si="17"/>
        <v/>
      </c>
      <c r="O305" s="20"/>
      <c r="Q305" s="637">
        <f t="shared" si="18"/>
        <v>0</v>
      </c>
      <c r="R305" s="637">
        <f t="shared" si="19"/>
        <v>0</v>
      </c>
    </row>
    <row r="306" spans="1:18">
      <c r="A306" s="631"/>
      <c r="B306" s="632"/>
      <c r="C306" s="623"/>
      <c r="D306" s="623"/>
      <c r="E306" s="3"/>
      <c r="F306" s="274"/>
      <c r="G306" s="274"/>
      <c r="H306" s="8"/>
      <c r="I306" s="8"/>
      <c r="J306" s="413">
        <f t="shared" si="16"/>
        <v>0</v>
      </c>
      <c r="K306" s="35"/>
      <c r="L306" s="8"/>
      <c r="M306" s="7"/>
      <c r="N306" s="9" t="str">
        <f t="shared" si="17"/>
        <v/>
      </c>
      <c r="O306" s="20"/>
      <c r="Q306" s="637">
        <f t="shared" si="18"/>
        <v>0</v>
      </c>
      <c r="R306" s="637">
        <f t="shared" si="19"/>
        <v>0</v>
      </c>
    </row>
    <row r="307" spans="1:18">
      <c r="A307" s="631"/>
      <c r="B307" s="632"/>
      <c r="C307" s="623"/>
      <c r="D307" s="623"/>
      <c r="E307" s="3"/>
      <c r="F307" s="274"/>
      <c r="G307" s="274"/>
      <c r="H307" s="8"/>
      <c r="I307" s="8"/>
      <c r="J307" s="413">
        <f t="shared" si="16"/>
        <v>0</v>
      </c>
      <c r="K307" s="35"/>
      <c r="L307" s="8"/>
      <c r="M307" s="7"/>
      <c r="N307" s="9" t="str">
        <f t="shared" si="17"/>
        <v/>
      </c>
      <c r="O307" s="20"/>
      <c r="Q307" s="637">
        <f t="shared" si="18"/>
        <v>0</v>
      </c>
      <c r="R307" s="637">
        <f t="shared" si="19"/>
        <v>0</v>
      </c>
    </row>
    <row r="308" spans="1:18">
      <c r="A308" s="631"/>
      <c r="B308" s="632"/>
      <c r="C308" s="623"/>
      <c r="D308" s="623"/>
      <c r="E308" s="3"/>
      <c r="F308" s="274"/>
      <c r="G308" s="274"/>
      <c r="H308" s="8"/>
      <c r="I308" s="8"/>
      <c r="J308" s="413">
        <f t="shared" si="16"/>
        <v>0</v>
      </c>
      <c r="K308" s="35"/>
      <c r="L308" s="8"/>
      <c r="M308" s="7"/>
      <c r="N308" s="9" t="str">
        <f t="shared" si="17"/>
        <v/>
      </c>
      <c r="O308" s="20"/>
      <c r="Q308" s="637">
        <f t="shared" si="18"/>
        <v>0</v>
      </c>
      <c r="R308" s="637">
        <f t="shared" si="19"/>
        <v>0</v>
      </c>
    </row>
    <row r="309" spans="1:18">
      <c r="A309" s="631"/>
      <c r="B309" s="632"/>
      <c r="C309" s="623"/>
      <c r="D309" s="623"/>
      <c r="E309" s="3"/>
      <c r="F309" s="274"/>
      <c r="G309" s="274"/>
      <c r="H309" s="8"/>
      <c r="I309" s="8"/>
      <c r="J309" s="413">
        <f t="shared" si="16"/>
        <v>0</v>
      </c>
      <c r="K309" s="35"/>
      <c r="L309" s="8"/>
      <c r="M309" s="7"/>
      <c r="N309" s="9" t="str">
        <f t="shared" si="17"/>
        <v/>
      </c>
      <c r="O309" s="20"/>
      <c r="Q309" s="637">
        <f t="shared" si="18"/>
        <v>0</v>
      </c>
      <c r="R309" s="637">
        <f t="shared" si="19"/>
        <v>0</v>
      </c>
    </row>
    <row r="310" spans="1:18">
      <c r="A310" s="631"/>
      <c r="B310" s="632"/>
      <c r="C310" s="623"/>
      <c r="D310" s="623"/>
      <c r="E310" s="3"/>
      <c r="F310" s="274"/>
      <c r="G310" s="274"/>
      <c r="H310" s="8"/>
      <c r="I310" s="8"/>
      <c r="J310" s="413">
        <f t="shared" si="16"/>
        <v>0</v>
      </c>
      <c r="K310" s="35"/>
      <c r="L310" s="8"/>
      <c r="M310" s="7"/>
      <c r="N310" s="9" t="str">
        <f t="shared" si="17"/>
        <v/>
      </c>
      <c r="O310" s="20"/>
      <c r="Q310" s="637">
        <f t="shared" si="18"/>
        <v>0</v>
      </c>
      <c r="R310" s="637">
        <f t="shared" si="19"/>
        <v>0</v>
      </c>
    </row>
    <row r="311" spans="1:18">
      <c r="A311" s="631"/>
      <c r="B311" s="632"/>
      <c r="C311" s="623"/>
      <c r="D311" s="623"/>
      <c r="E311" s="3"/>
      <c r="F311" s="274"/>
      <c r="G311" s="274"/>
      <c r="H311" s="8"/>
      <c r="I311" s="8"/>
      <c r="J311" s="413">
        <f t="shared" si="16"/>
        <v>0</v>
      </c>
      <c r="K311" s="35"/>
      <c r="L311" s="8"/>
      <c r="M311" s="7"/>
      <c r="N311" s="9" t="str">
        <f t="shared" si="17"/>
        <v/>
      </c>
      <c r="O311" s="20"/>
      <c r="Q311" s="637">
        <f t="shared" si="18"/>
        <v>0</v>
      </c>
      <c r="R311" s="637">
        <f t="shared" si="19"/>
        <v>0</v>
      </c>
    </row>
    <row r="312" spans="1:18">
      <c r="A312" s="631"/>
      <c r="B312" s="632"/>
      <c r="C312" s="623"/>
      <c r="D312" s="623"/>
      <c r="E312" s="3"/>
      <c r="F312" s="274"/>
      <c r="G312" s="274"/>
      <c r="H312" s="8"/>
      <c r="I312" s="8"/>
      <c r="J312" s="413">
        <f t="shared" si="16"/>
        <v>0</v>
      </c>
      <c r="K312" s="35"/>
      <c r="L312" s="8"/>
      <c r="M312" s="7"/>
      <c r="N312" s="9" t="str">
        <f t="shared" si="17"/>
        <v/>
      </c>
      <c r="O312" s="20"/>
      <c r="Q312" s="637">
        <f t="shared" si="18"/>
        <v>0</v>
      </c>
      <c r="R312" s="637">
        <f t="shared" si="19"/>
        <v>0</v>
      </c>
    </row>
    <row r="313" spans="1:18">
      <c r="A313" s="631"/>
      <c r="B313" s="632"/>
      <c r="C313" s="623"/>
      <c r="D313" s="623"/>
      <c r="E313" s="3"/>
      <c r="F313" s="274"/>
      <c r="G313" s="274"/>
      <c r="H313" s="8"/>
      <c r="I313" s="8"/>
      <c r="J313" s="413">
        <f t="shared" si="16"/>
        <v>0</v>
      </c>
      <c r="K313" s="35"/>
      <c r="L313" s="8"/>
      <c r="M313" s="7"/>
      <c r="N313" s="9" t="str">
        <f t="shared" si="17"/>
        <v/>
      </c>
      <c r="O313" s="20"/>
      <c r="Q313" s="637">
        <f t="shared" si="18"/>
        <v>0</v>
      </c>
      <c r="R313" s="637">
        <f t="shared" si="19"/>
        <v>0</v>
      </c>
    </row>
    <row r="314" spans="1:18">
      <c r="A314" s="631"/>
      <c r="B314" s="632"/>
      <c r="C314" s="623"/>
      <c r="D314" s="623"/>
      <c r="E314" s="3"/>
      <c r="F314" s="274"/>
      <c r="G314" s="274"/>
      <c r="H314" s="8"/>
      <c r="I314" s="8"/>
      <c r="J314" s="413">
        <f t="shared" si="16"/>
        <v>0</v>
      </c>
      <c r="K314" s="35"/>
      <c r="L314" s="8"/>
      <c r="M314" s="7"/>
      <c r="N314" s="9" t="str">
        <f t="shared" si="17"/>
        <v/>
      </c>
      <c r="O314" s="20"/>
      <c r="Q314" s="637">
        <f t="shared" si="18"/>
        <v>0</v>
      </c>
      <c r="R314" s="637">
        <f t="shared" si="19"/>
        <v>0</v>
      </c>
    </row>
    <row r="315" spans="1:18">
      <c r="A315" s="631"/>
      <c r="B315" s="632"/>
      <c r="C315" s="623"/>
      <c r="D315" s="623"/>
      <c r="E315" s="3"/>
      <c r="F315" s="274"/>
      <c r="G315" s="274"/>
      <c r="H315" s="8"/>
      <c r="I315" s="8"/>
      <c r="J315" s="413">
        <f t="shared" si="16"/>
        <v>0</v>
      </c>
      <c r="K315" s="35"/>
      <c r="L315" s="8"/>
      <c r="M315" s="7"/>
      <c r="N315" s="9" t="str">
        <f t="shared" si="17"/>
        <v/>
      </c>
      <c r="O315" s="20"/>
      <c r="Q315" s="637">
        <f t="shared" si="18"/>
        <v>0</v>
      </c>
      <c r="R315" s="637">
        <f t="shared" si="19"/>
        <v>0</v>
      </c>
    </row>
    <row r="316" spans="1:18">
      <c r="A316" s="631"/>
      <c r="B316" s="632"/>
      <c r="C316" s="623"/>
      <c r="D316" s="623"/>
      <c r="E316" s="3"/>
      <c r="F316" s="274"/>
      <c r="G316" s="274"/>
      <c r="H316" s="8"/>
      <c r="I316" s="8"/>
      <c r="J316" s="413">
        <f t="shared" si="16"/>
        <v>0</v>
      </c>
      <c r="K316" s="35"/>
      <c r="L316" s="8"/>
      <c r="M316" s="7"/>
      <c r="N316" s="9" t="str">
        <f t="shared" si="17"/>
        <v/>
      </c>
      <c r="O316" s="20"/>
      <c r="Q316" s="637">
        <f t="shared" si="18"/>
        <v>0</v>
      </c>
      <c r="R316" s="637">
        <f t="shared" si="19"/>
        <v>0</v>
      </c>
    </row>
    <row r="317" spans="1:18">
      <c r="A317" s="631"/>
      <c r="B317" s="632"/>
      <c r="C317" s="623"/>
      <c r="D317" s="623"/>
      <c r="E317" s="3"/>
      <c r="F317" s="274"/>
      <c r="G317" s="274"/>
      <c r="H317" s="8"/>
      <c r="I317" s="8"/>
      <c r="J317" s="413">
        <f t="shared" si="16"/>
        <v>0</v>
      </c>
      <c r="K317" s="35"/>
      <c r="L317" s="8"/>
      <c r="M317" s="7"/>
      <c r="N317" s="9" t="str">
        <f t="shared" si="17"/>
        <v/>
      </c>
      <c r="O317" s="20"/>
      <c r="Q317" s="637">
        <f t="shared" si="18"/>
        <v>0</v>
      </c>
      <c r="R317" s="637">
        <f t="shared" si="19"/>
        <v>0</v>
      </c>
    </row>
    <row r="318" spans="1:18">
      <c r="A318" s="631"/>
      <c r="B318" s="632"/>
      <c r="C318" s="623"/>
      <c r="D318" s="623"/>
      <c r="E318" s="3"/>
      <c r="F318" s="274"/>
      <c r="G318" s="274"/>
      <c r="H318" s="8"/>
      <c r="I318" s="8"/>
      <c r="J318" s="413">
        <f t="shared" si="16"/>
        <v>0</v>
      </c>
      <c r="K318" s="35"/>
      <c r="L318" s="8"/>
      <c r="M318" s="7"/>
      <c r="N318" s="9" t="str">
        <f t="shared" si="17"/>
        <v/>
      </c>
      <c r="O318" s="20"/>
      <c r="Q318" s="637">
        <f t="shared" si="18"/>
        <v>0</v>
      </c>
      <c r="R318" s="637">
        <f t="shared" si="19"/>
        <v>0</v>
      </c>
    </row>
    <row r="319" spans="1:18">
      <c r="A319" s="631"/>
      <c r="B319" s="632"/>
      <c r="C319" s="623"/>
      <c r="D319" s="623"/>
      <c r="E319" s="3"/>
      <c r="F319" s="274"/>
      <c r="G319" s="274"/>
      <c r="H319" s="8"/>
      <c r="I319" s="8"/>
      <c r="J319" s="413">
        <f t="shared" si="16"/>
        <v>0</v>
      </c>
      <c r="K319" s="35"/>
      <c r="L319" s="8"/>
      <c r="M319" s="7"/>
      <c r="N319" s="9" t="str">
        <f t="shared" si="17"/>
        <v/>
      </c>
      <c r="O319" s="20"/>
      <c r="Q319" s="637">
        <f t="shared" si="18"/>
        <v>0</v>
      </c>
      <c r="R319" s="637">
        <f t="shared" si="19"/>
        <v>0</v>
      </c>
    </row>
    <row r="320" spans="1:18">
      <c r="A320" s="631"/>
      <c r="B320" s="632"/>
      <c r="C320" s="623"/>
      <c r="D320" s="623"/>
      <c r="E320" s="3"/>
      <c r="F320" s="274"/>
      <c r="G320" s="274"/>
      <c r="H320" s="8"/>
      <c r="I320" s="8"/>
      <c r="J320" s="413">
        <f t="shared" si="16"/>
        <v>0</v>
      </c>
      <c r="K320" s="35"/>
      <c r="L320" s="8"/>
      <c r="M320" s="7"/>
      <c r="N320" s="9" t="str">
        <f t="shared" si="17"/>
        <v/>
      </c>
      <c r="O320" s="20"/>
      <c r="Q320" s="637">
        <f t="shared" si="18"/>
        <v>0</v>
      </c>
      <c r="R320" s="637">
        <f t="shared" si="19"/>
        <v>0</v>
      </c>
    </row>
    <row r="321" spans="1:18">
      <c r="A321" s="631"/>
      <c r="B321" s="632"/>
      <c r="C321" s="623"/>
      <c r="D321" s="623"/>
      <c r="E321" s="3"/>
      <c r="F321" s="274"/>
      <c r="G321" s="274"/>
      <c r="H321" s="8"/>
      <c r="I321" s="8"/>
      <c r="J321" s="413">
        <f t="shared" si="16"/>
        <v>0</v>
      </c>
      <c r="K321" s="35"/>
      <c r="L321" s="8"/>
      <c r="M321" s="7"/>
      <c r="N321" s="9" t="str">
        <f t="shared" si="17"/>
        <v/>
      </c>
      <c r="O321" s="20"/>
      <c r="Q321" s="637">
        <f t="shared" si="18"/>
        <v>0</v>
      </c>
      <c r="R321" s="637">
        <f t="shared" si="19"/>
        <v>0</v>
      </c>
    </row>
    <row r="322" spans="1:18">
      <c r="A322" s="631"/>
      <c r="B322" s="632"/>
      <c r="C322" s="623"/>
      <c r="D322" s="623"/>
      <c r="E322" s="3"/>
      <c r="F322" s="274"/>
      <c r="G322" s="274"/>
      <c r="H322" s="8"/>
      <c r="I322" s="8"/>
      <c r="J322" s="413">
        <f t="shared" si="16"/>
        <v>0</v>
      </c>
      <c r="K322" s="35"/>
      <c r="L322" s="8"/>
      <c r="M322" s="7"/>
      <c r="N322" s="9" t="str">
        <f t="shared" si="17"/>
        <v/>
      </c>
      <c r="O322" s="20"/>
      <c r="Q322" s="637">
        <f t="shared" si="18"/>
        <v>0</v>
      </c>
      <c r="R322" s="637">
        <f t="shared" si="19"/>
        <v>0</v>
      </c>
    </row>
    <row r="323" spans="1:18">
      <c r="A323" s="631"/>
      <c r="B323" s="632"/>
      <c r="C323" s="623"/>
      <c r="D323" s="623"/>
      <c r="E323" s="25"/>
      <c r="F323" s="274"/>
      <c r="G323" s="274"/>
      <c r="H323" s="8"/>
      <c r="I323" s="8"/>
      <c r="J323" s="413">
        <f t="shared" si="16"/>
        <v>0</v>
      </c>
      <c r="K323" s="35"/>
      <c r="L323" s="8"/>
      <c r="M323" s="7"/>
      <c r="N323" s="9" t="str">
        <f t="shared" si="17"/>
        <v/>
      </c>
      <c r="O323" s="20"/>
      <c r="Q323" s="637">
        <f t="shared" si="18"/>
        <v>0</v>
      </c>
      <c r="R323" s="637">
        <f t="shared" si="19"/>
        <v>0</v>
      </c>
    </row>
    <row r="324" spans="1:18">
      <c r="A324" s="631"/>
      <c r="B324" s="632"/>
      <c r="C324" s="623"/>
      <c r="D324" s="623"/>
      <c r="E324" s="25"/>
      <c r="F324" s="274"/>
      <c r="G324" s="274"/>
      <c r="H324" s="8"/>
      <c r="I324" s="8"/>
      <c r="J324" s="413">
        <f t="shared" si="16"/>
        <v>0</v>
      </c>
      <c r="K324" s="35"/>
      <c r="L324" s="8"/>
      <c r="M324" s="7"/>
      <c r="N324" s="9" t="str">
        <f t="shared" si="17"/>
        <v/>
      </c>
      <c r="O324" s="20"/>
      <c r="Q324" s="637">
        <f t="shared" si="18"/>
        <v>0</v>
      </c>
      <c r="R324" s="637">
        <f t="shared" si="19"/>
        <v>0</v>
      </c>
    </row>
    <row r="325" spans="1:18">
      <c r="A325" s="631"/>
      <c r="B325" s="632"/>
      <c r="C325" s="623"/>
      <c r="D325" s="623"/>
      <c r="E325" s="25"/>
      <c r="F325" s="274"/>
      <c r="G325" s="274"/>
      <c r="H325" s="8"/>
      <c r="I325" s="8"/>
      <c r="J325" s="413">
        <f t="shared" si="16"/>
        <v>0</v>
      </c>
      <c r="K325" s="35"/>
      <c r="L325" s="8"/>
      <c r="M325" s="7"/>
      <c r="N325" s="9" t="str">
        <f t="shared" si="17"/>
        <v/>
      </c>
      <c r="O325" s="20"/>
      <c r="Q325" s="637">
        <f t="shared" si="18"/>
        <v>0</v>
      </c>
      <c r="R325" s="637">
        <f t="shared" si="19"/>
        <v>0</v>
      </c>
    </row>
    <row r="326" spans="1:18">
      <c r="A326" s="631"/>
      <c r="B326" s="632"/>
      <c r="C326" s="623"/>
      <c r="D326" s="623"/>
      <c r="E326" s="25"/>
      <c r="F326" s="274"/>
      <c r="G326" s="274"/>
      <c r="H326" s="8"/>
      <c r="I326" s="8"/>
      <c r="J326" s="413">
        <f t="shared" ref="J326:J353" si="20">(+F326*G326+H326*I326)*E326</f>
        <v>0</v>
      </c>
      <c r="K326" s="35"/>
      <c r="L326" s="8"/>
      <c r="M326" s="7"/>
      <c r="N326" s="9" t="str">
        <f t="shared" ref="N326:N353" si="21">IF(K326=0,"",L326*M326*E326)</f>
        <v/>
      </c>
      <c r="O326" s="20"/>
      <c r="Q326" s="637">
        <f t="shared" ref="Q326:Q353" si="22">F326*G326*E326</f>
        <v>0</v>
      </c>
      <c r="R326" s="637">
        <f t="shared" ref="R326:R353" si="23">H326*E326*I326</f>
        <v>0</v>
      </c>
    </row>
    <row r="327" spans="1:18">
      <c r="A327" s="631"/>
      <c r="B327" s="632"/>
      <c r="C327" s="623"/>
      <c r="D327" s="623"/>
      <c r="E327" s="25"/>
      <c r="F327" s="274"/>
      <c r="G327" s="274"/>
      <c r="H327" s="8"/>
      <c r="I327" s="8"/>
      <c r="J327" s="413">
        <f t="shared" si="20"/>
        <v>0</v>
      </c>
      <c r="K327" s="35"/>
      <c r="L327" s="8"/>
      <c r="M327" s="7"/>
      <c r="N327" s="9" t="str">
        <f t="shared" si="21"/>
        <v/>
      </c>
      <c r="O327" s="20"/>
      <c r="Q327" s="637">
        <f t="shared" si="22"/>
        <v>0</v>
      </c>
      <c r="R327" s="637">
        <f t="shared" si="23"/>
        <v>0</v>
      </c>
    </row>
    <row r="328" spans="1:18">
      <c r="A328" s="631"/>
      <c r="B328" s="632"/>
      <c r="C328" s="623"/>
      <c r="D328" s="623"/>
      <c r="E328" s="25"/>
      <c r="F328" s="274"/>
      <c r="G328" s="274"/>
      <c r="H328" s="8"/>
      <c r="I328" s="8"/>
      <c r="J328" s="413">
        <f t="shared" si="20"/>
        <v>0</v>
      </c>
      <c r="K328" s="35"/>
      <c r="L328" s="8"/>
      <c r="M328" s="7"/>
      <c r="N328" s="9" t="str">
        <f t="shared" si="21"/>
        <v/>
      </c>
      <c r="O328" s="20"/>
      <c r="Q328" s="637">
        <f t="shared" si="22"/>
        <v>0</v>
      </c>
      <c r="R328" s="637">
        <f t="shared" si="23"/>
        <v>0</v>
      </c>
    </row>
    <row r="329" spans="1:18">
      <c r="A329" s="631"/>
      <c r="B329" s="632"/>
      <c r="C329" s="623"/>
      <c r="D329" s="623"/>
      <c r="E329" s="25"/>
      <c r="F329" s="274"/>
      <c r="G329" s="274"/>
      <c r="H329" s="8"/>
      <c r="I329" s="8"/>
      <c r="J329" s="413">
        <f t="shared" si="20"/>
        <v>0</v>
      </c>
      <c r="K329" s="35"/>
      <c r="L329" s="8"/>
      <c r="M329" s="7"/>
      <c r="N329" s="9" t="str">
        <f t="shared" si="21"/>
        <v/>
      </c>
      <c r="O329" s="20"/>
      <c r="Q329" s="637">
        <f t="shared" si="22"/>
        <v>0</v>
      </c>
      <c r="R329" s="637">
        <f t="shared" si="23"/>
        <v>0</v>
      </c>
    </row>
    <row r="330" spans="1:18">
      <c r="A330" s="631"/>
      <c r="B330" s="632"/>
      <c r="C330" s="623"/>
      <c r="D330" s="623"/>
      <c r="E330" s="25"/>
      <c r="F330" s="274"/>
      <c r="G330" s="274"/>
      <c r="H330" s="8"/>
      <c r="I330" s="8"/>
      <c r="J330" s="413">
        <f t="shared" si="20"/>
        <v>0</v>
      </c>
      <c r="K330" s="35"/>
      <c r="L330" s="8"/>
      <c r="M330" s="7"/>
      <c r="N330" s="9" t="str">
        <f t="shared" si="21"/>
        <v/>
      </c>
      <c r="O330" s="20"/>
      <c r="Q330" s="637">
        <f t="shared" si="22"/>
        <v>0</v>
      </c>
      <c r="R330" s="637">
        <f t="shared" si="23"/>
        <v>0</v>
      </c>
    </row>
    <row r="331" spans="1:18">
      <c r="A331" s="631"/>
      <c r="B331" s="632"/>
      <c r="C331" s="623"/>
      <c r="D331" s="623"/>
      <c r="E331" s="25"/>
      <c r="F331" s="274"/>
      <c r="G331" s="274"/>
      <c r="H331" s="8"/>
      <c r="I331" s="8"/>
      <c r="J331" s="413">
        <f t="shared" si="20"/>
        <v>0</v>
      </c>
      <c r="K331" s="35"/>
      <c r="L331" s="8"/>
      <c r="M331" s="7"/>
      <c r="N331" s="9" t="str">
        <f t="shared" si="21"/>
        <v/>
      </c>
      <c r="O331" s="20"/>
      <c r="Q331" s="637">
        <f t="shared" si="22"/>
        <v>0</v>
      </c>
      <c r="R331" s="637">
        <f t="shared" si="23"/>
        <v>0</v>
      </c>
    </row>
    <row r="332" spans="1:18">
      <c r="A332" s="631"/>
      <c r="B332" s="632"/>
      <c r="C332" s="623"/>
      <c r="D332" s="623"/>
      <c r="E332" s="25"/>
      <c r="F332" s="274"/>
      <c r="G332" s="274"/>
      <c r="H332" s="8"/>
      <c r="I332" s="8"/>
      <c r="J332" s="413">
        <f t="shared" si="20"/>
        <v>0</v>
      </c>
      <c r="K332" s="35"/>
      <c r="L332" s="8"/>
      <c r="M332" s="7"/>
      <c r="N332" s="9" t="str">
        <f t="shared" si="21"/>
        <v/>
      </c>
      <c r="O332" s="20"/>
      <c r="Q332" s="637">
        <f t="shared" si="22"/>
        <v>0</v>
      </c>
      <c r="R332" s="637">
        <f t="shared" si="23"/>
        <v>0</v>
      </c>
    </row>
    <row r="333" spans="1:18">
      <c r="A333" s="631"/>
      <c r="B333" s="632"/>
      <c r="C333" s="623"/>
      <c r="D333" s="623"/>
      <c r="E333" s="25"/>
      <c r="F333" s="274"/>
      <c r="G333" s="274"/>
      <c r="H333" s="8"/>
      <c r="I333" s="8"/>
      <c r="J333" s="413">
        <f t="shared" si="20"/>
        <v>0</v>
      </c>
      <c r="K333" s="35"/>
      <c r="L333" s="8"/>
      <c r="M333" s="7"/>
      <c r="N333" s="9" t="str">
        <f t="shared" si="21"/>
        <v/>
      </c>
      <c r="O333" s="20"/>
      <c r="Q333" s="637">
        <f t="shared" si="22"/>
        <v>0</v>
      </c>
      <c r="R333" s="637">
        <f t="shared" si="23"/>
        <v>0</v>
      </c>
    </row>
    <row r="334" spans="1:18">
      <c r="A334" s="631"/>
      <c r="B334" s="632"/>
      <c r="C334" s="623"/>
      <c r="D334" s="623"/>
      <c r="E334" s="25"/>
      <c r="F334" s="274"/>
      <c r="G334" s="274"/>
      <c r="H334" s="8"/>
      <c r="I334" s="8"/>
      <c r="J334" s="413">
        <f t="shared" si="20"/>
        <v>0</v>
      </c>
      <c r="K334" s="35"/>
      <c r="L334" s="8"/>
      <c r="M334" s="7"/>
      <c r="N334" s="9" t="str">
        <f t="shared" si="21"/>
        <v/>
      </c>
      <c r="O334" s="20"/>
      <c r="Q334" s="637">
        <f t="shared" si="22"/>
        <v>0</v>
      </c>
      <c r="R334" s="637">
        <f t="shared" si="23"/>
        <v>0</v>
      </c>
    </row>
    <row r="335" spans="1:18">
      <c r="A335" s="631"/>
      <c r="B335" s="632"/>
      <c r="C335" s="623"/>
      <c r="D335" s="623"/>
      <c r="E335" s="25"/>
      <c r="F335" s="274"/>
      <c r="G335" s="274"/>
      <c r="H335" s="8"/>
      <c r="I335" s="8"/>
      <c r="J335" s="413">
        <f t="shared" si="20"/>
        <v>0</v>
      </c>
      <c r="K335" s="35"/>
      <c r="L335" s="8"/>
      <c r="M335" s="7"/>
      <c r="N335" s="9" t="str">
        <f t="shared" si="21"/>
        <v/>
      </c>
      <c r="O335" s="20"/>
      <c r="Q335" s="637">
        <f t="shared" si="22"/>
        <v>0</v>
      </c>
      <c r="R335" s="637">
        <f t="shared" si="23"/>
        <v>0</v>
      </c>
    </row>
    <row r="336" spans="1:18">
      <c r="A336" s="631"/>
      <c r="B336" s="632"/>
      <c r="C336" s="623"/>
      <c r="D336" s="623"/>
      <c r="E336" s="25"/>
      <c r="F336" s="274"/>
      <c r="G336" s="274"/>
      <c r="H336" s="8"/>
      <c r="I336" s="8"/>
      <c r="J336" s="413">
        <f t="shared" si="20"/>
        <v>0</v>
      </c>
      <c r="K336" s="35"/>
      <c r="L336" s="8"/>
      <c r="M336" s="7"/>
      <c r="N336" s="9" t="str">
        <f t="shared" si="21"/>
        <v/>
      </c>
      <c r="O336" s="20"/>
      <c r="Q336" s="637">
        <f t="shared" si="22"/>
        <v>0</v>
      </c>
      <c r="R336" s="637">
        <f t="shared" si="23"/>
        <v>0</v>
      </c>
    </row>
    <row r="337" spans="1:18">
      <c r="A337" s="631"/>
      <c r="B337" s="632"/>
      <c r="C337" s="623"/>
      <c r="D337" s="623"/>
      <c r="E337" s="25"/>
      <c r="F337" s="274"/>
      <c r="G337" s="274"/>
      <c r="H337" s="8"/>
      <c r="I337" s="8"/>
      <c r="J337" s="413">
        <f t="shared" si="20"/>
        <v>0</v>
      </c>
      <c r="K337" s="35"/>
      <c r="L337" s="8"/>
      <c r="M337" s="7"/>
      <c r="N337" s="9" t="str">
        <f t="shared" si="21"/>
        <v/>
      </c>
      <c r="O337" s="20"/>
      <c r="Q337" s="637">
        <f t="shared" si="22"/>
        <v>0</v>
      </c>
      <c r="R337" s="637">
        <f t="shared" si="23"/>
        <v>0</v>
      </c>
    </row>
    <row r="338" spans="1:18">
      <c r="A338" s="631"/>
      <c r="B338" s="632"/>
      <c r="C338" s="623"/>
      <c r="D338" s="623"/>
      <c r="E338" s="25"/>
      <c r="F338" s="274"/>
      <c r="G338" s="274"/>
      <c r="H338" s="8"/>
      <c r="I338" s="8"/>
      <c r="J338" s="413">
        <f t="shared" si="20"/>
        <v>0</v>
      </c>
      <c r="K338" s="35"/>
      <c r="L338" s="8"/>
      <c r="M338" s="7"/>
      <c r="N338" s="9" t="str">
        <f t="shared" si="21"/>
        <v/>
      </c>
      <c r="O338" s="20"/>
      <c r="Q338" s="637">
        <f t="shared" si="22"/>
        <v>0</v>
      </c>
      <c r="R338" s="637">
        <f t="shared" si="23"/>
        <v>0</v>
      </c>
    </row>
    <row r="339" spans="1:18">
      <c r="A339" s="631"/>
      <c r="B339" s="632"/>
      <c r="C339" s="623"/>
      <c r="D339" s="623"/>
      <c r="E339" s="25"/>
      <c r="F339" s="274"/>
      <c r="G339" s="274"/>
      <c r="H339" s="8"/>
      <c r="I339" s="8"/>
      <c r="J339" s="413">
        <f t="shared" si="20"/>
        <v>0</v>
      </c>
      <c r="K339" s="35"/>
      <c r="L339" s="8"/>
      <c r="M339" s="7"/>
      <c r="N339" s="9" t="str">
        <f t="shared" si="21"/>
        <v/>
      </c>
      <c r="O339" s="20"/>
      <c r="Q339" s="637">
        <f t="shared" si="22"/>
        <v>0</v>
      </c>
      <c r="R339" s="637">
        <f t="shared" si="23"/>
        <v>0</v>
      </c>
    </row>
    <row r="340" spans="1:18">
      <c r="A340" s="631"/>
      <c r="B340" s="632"/>
      <c r="C340" s="623"/>
      <c r="D340" s="623"/>
      <c r="E340" s="25"/>
      <c r="F340" s="274"/>
      <c r="G340" s="274"/>
      <c r="H340" s="8"/>
      <c r="I340" s="8"/>
      <c r="J340" s="413">
        <f t="shared" si="20"/>
        <v>0</v>
      </c>
      <c r="K340" s="35"/>
      <c r="L340" s="8"/>
      <c r="M340" s="7"/>
      <c r="N340" s="9" t="str">
        <f t="shared" si="21"/>
        <v/>
      </c>
      <c r="O340" s="20"/>
      <c r="Q340" s="637">
        <f t="shared" si="22"/>
        <v>0</v>
      </c>
      <c r="R340" s="637">
        <f t="shared" si="23"/>
        <v>0</v>
      </c>
    </row>
    <row r="341" spans="1:18">
      <c r="A341" s="631"/>
      <c r="B341" s="632"/>
      <c r="C341" s="623"/>
      <c r="D341" s="623"/>
      <c r="E341" s="25"/>
      <c r="F341" s="274"/>
      <c r="G341" s="274"/>
      <c r="H341" s="8"/>
      <c r="I341" s="8"/>
      <c r="J341" s="413">
        <f t="shared" si="20"/>
        <v>0</v>
      </c>
      <c r="K341" s="35"/>
      <c r="L341" s="8"/>
      <c r="M341" s="7"/>
      <c r="N341" s="9" t="str">
        <f t="shared" si="21"/>
        <v/>
      </c>
      <c r="O341" s="20"/>
      <c r="Q341" s="637">
        <f t="shared" si="22"/>
        <v>0</v>
      </c>
      <c r="R341" s="637">
        <f t="shared" si="23"/>
        <v>0</v>
      </c>
    </row>
    <row r="342" spans="1:18">
      <c r="A342" s="631"/>
      <c r="B342" s="632"/>
      <c r="C342" s="623"/>
      <c r="D342" s="623"/>
      <c r="E342" s="25"/>
      <c r="F342" s="274"/>
      <c r="G342" s="274"/>
      <c r="H342" s="8"/>
      <c r="I342" s="8"/>
      <c r="J342" s="413">
        <f t="shared" si="20"/>
        <v>0</v>
      </c>
      <c r="K342" s="35"/>
      <c r="L342" s="8"/>
      <c r="M342" s="7"/>
      <c r="N342" s="9" t="str">
        <f t="shared" si="21"/>
        <v/>
      </c>
      <c r="O342" s="20"/>
      <c r="Q342" s="637">
        <f t="shared" si="22"/>
        <v>0</v>
      </c>
      <c r="R342" s="637">
        <f t="shared" si="23"/>
        <v>0</v>
      </c>
    </row>
    <row r="343" spans="1:18">
      <c r="A343" s="631"/>
      <c r="B343" s="632"/>
      <c r="C343" s="623"/>
      <c r="D343" s="623"/>
      <c r="E343" s="25"/>
      <c r="F343" s="274"/>
      <c r="G343" s="274"/>
      <c r="H343" s="8"/>
      <c r="I343" s="8"/>
      <c r="J343" s="413">
        <f t="shared" si="20"/>
        <v>0</v>
      </c>
      <c r="K343" s="35"/>
      <c r="L343" s="8"/>
      <c r="M343" s="7"/>
      <c r="N343" s="9" t="str">
        <f t="shared" si="21"/>
        <v/>
      </c>
      <c r="O343" s="20"/>
      <c r="Q343" s="637">
        <f t="shared" si="22"/>
        <v>0</v>
      </c>
      <c r="R343" s="637">
        <f t="shared" si="23"/>
        <v>0</v>
      </c>
    </row>
    <row r="344" spans="1:18">
      <c r="A344" s="631"/>
      <c r="B344" s="632"/>
      <c r="C344" s="623"/>
      <c r="D344" s="623"/>
      <c r="E344" s="25"/>
      <c r="F344" s="274"/>
      <c r="G344" s="274"/>
      <c r="H344" s="8"/>
      <c r="I344" s="8"/>
      <c r="J344" s="413">
        <f t="shared" si="20"/>
        <v>0</v>
      </c>
      <c r="K344" s="35"/>
      <c r="L344" s="8"/>
      <c r="M344" s="7"/>
      <c r="N344" s="9" t="str">
        <f t="shared" si="21"/>
        <v/>
      </c>
      <c r="O344" s="20"/>
      <c r="Q344" s="637">
        <f t="shared" si="22"/>
        <v>0</v>
      </c>
      <c r="R344" s="637">
        <f t="shared" si="23"/>
        <v>0</v>
      </c>
    </row>
    <row r="345" spans="1:18">
      <c r="A345" s="631"/>
      <c r="B345" s="632"/>
      <c r="C345" s="623"/>
      <c r="D345" s="623"/>
      <c r="E345" s="25"/>
      <c r="F345" s="274"/>
      <c r="G345" s="274"/>
      <c r="H345" s="8"/>
      <c r="I345" s="8"/>
      <c r="J345" s="413">
        <f t="shared" si="20"/>
        <v>0</v>
      </c>
      <c r="K345" s="35"/>
      <c r="L345" s="8"/>
      <c r="M345" s="7"/>
      <c r="N345" s="9" t="str">
        <f t="shared" si="21"/>
        <v/>
      </c>
      <c r="O345" s="20"/>
      <c r="Q345" s="637">
        <f t="shared" si="22"/>
        <v>0</v>
      </c>
      <c r="R345" s="637">
        <f t="shared" si="23"/>
        <v>0</v>
      </c>
    </row>
    <row r="346" spans="1:18">
      <c r="A346" s="631"/>
      <c r="B346" s="632"/>
      <c r="C346" s="623"/>
      <c r="D346" s="623"/>
      <c r="E346" s="25"/>
      <c r="F346" s="274"/>
      <c r="G346" s="274"/>
      <c r="H346" s="8"/>
      <c r="I346" s="8"/>
      <c r="J346" s="413">
        <f t="shared" si="20"/>
        <v>0</v>
      </c>
      <c r="K346" s="35"/>
      <c r="L346" s="8"/>
      <c r="M346" s="7"/>
      <c r="N346" s="9" t="str">
        <f t="shared" si="21"/>
        <v/>
      </c>
      <c r="O346" s="20"/>
      <c r="Q346" s="637">
        <f t="shared" si="22"/>
        <v>0</v>
      </c>
      <c r="R346" s="637">
        <f t="shared" si="23"/>
        <v>0</v>
      </c>
    </row>
    <row r="347" spans="1:18">
      <c r="A347" s="631"/>
      <c r="B347" s="632"/>
      <c r="C347" s="623"/>
      <c r="D347" s="623"/>
      <c r="E347" s="25"/>
      <c r="F347" s="274"/>
      <c r="G347" s="274"/>
      <c r="H347" s="8"/>
      <c r="I347" s="8"/>
      <c r="J347" s="413">
        <f t="shared" si="20"/>
        <v>0</v>
      </c>
      <c r="K347" s="35"/>
      <c r="L347" s="8"/>
      <c r="M347" s="7"/>
      <c r="N347" s="9" t="str">
        <f t="shared" si="21"/>
        <v/>
      </c>
      <c r="O347" s="20"/>
      <c r="Q347" s="637">
        <f t="shared" si="22"/>
        <v>0</v>
      </c>
      <c r="R347" s="637">
        <f t="shared" si="23"/>
        <v>0</v>
      </c>
    </row>
    <row r="348" spans="1:18">
      <c r="A348" s="631"/>
      <c r="B348" s="632"/>
      <c r="C348" s="623"/>
      <c r="D348" s="623"/>
      <c r="E348" s="25"/>
      <c r="F348" s="274"/>
      <c r="G348" s="274"/>
      <c r="H348" s="8"/>
      <c r="I348" s="8"/>
      <c r="J348" s="413">
        <f t="shared" si="20"/>
        <v>0</v>
      </c>
      <c r="K348" s="35"/>
      <c r="L348" s="8"/>
      <c r="M348" s="7"/>
      <c r="N348" s="9" t="str">
        <f t="shared" si="21"/>
        <v/>
      </c>
      <c r="O348" s="20"/>
      <c r="Q348" s="637">
        <f t="shared" si="22"/>
        <v>0</v>
      </c>
      <c r="R348" s="637">
        <f t="shared" si="23"/>
        <v>0</v>
      </c>
    </row>
    <row r="349" spans="1:18">
      <c r="A349" s="631"/>
      <c r="B349" s="632"/>
      <c r="C349" s="623"/>
      <c r="D349" s="623"/>
      <c r="E349" s="25"/>
      <c r="F349" s="274"/>
      <c r="G349" s="274"/>
      <c r="H349" s="8"/>
      <c r="I349" s="8"/>
      <c r="J349" s="413">
        <f t="shared" si="20"/>
        <v>0</v>
      </c>
      <c r="K349" s="35"/>
      <c r="L349" s="8"/>
      <c r="M349" s="7"/>
      <c r="N349" s="9" t="str">
        <f t="shared" si="21"/>
        <v/>
      </c>
      <c r="O349" s="20"/>
      <c r="Q349" s="637">
        <f t="shared" si="22"/>
        <v>0</v>
      </c>
      <c r="R349" s="637">
        <f t="shared" si="23"/>
        <v>0</v>
      </c>
    </row>
    <row r="350" spans="1:18">
      <c r="A350" s="631"/>
      <c r="B350" s="632"/>
      <c r="C350" s="623"/>
      <c r="D350" s="623"/>
      <c r="E350" s="25"/>
      <c r="F350" s="274"/>
      <c r="G350" s="274"/>
      <c r="H350" s="8"/>
      <c r="I350" s="8"/>
      <c r="J350" s="413">
        <f t="shared" si="20"/>
        <v>0</v>
      </c>
      <c r="K350" s="35"/>
      <c r="L350" s="8"/>
      <c r="M350" s="7"/>
      <c r="N350" s="9" t="str">
        <f t="shared" si="21"/>
        <v/>
      </c>
      <c r="O350" s="20"/>
      <c r="Q350" s="637">
        <f t="shared" si="22"/>
        <v>0</v>
      </c>
      <c r="R350" s="637">
        <f t="shared" si="23"/>
        <v>0</v>
      </c>
    </row>
    <row r="351" spans="1:18">
      <c r="A351" s="631"/>
      <c r="B351" s="632"/>
      <c r="C351" s="623"/>
      <c r="D351" s="623"/>
      <c r="E351" s="25"/>
      <c r="F351" s="274"/>
      <c r="G351" s="274"/>
      <c r="H351" s="8"/>
      <c r="I351" s="8"/>
      <c r="J351" s="413">
        <f t="shared" si="20"/>
        <v>0</v>
      </c>
      <c r="K351" s="35"/>
      <c r="L351" s="8"/>
      <c r="M351" s="7"/>
      <c r="N351" s="9" t="str">
        <f t="shared" si="21"/>
        <v/>
      </c>
      <c r="O351" s="20"/>
      <c r="Q351" s="637">
        <f t="shared" si="22"/>
        <v>0</v>
      </c>
      <c r="R351" s="637">
        <f t="shared" si="23"/>
        <v>0</v>
      </c>
    </row>
    <row r="352" spans="1:18">
      <c r="A352" s="631"/>
      <c r="B352" s="632"/>
      <c r="C352" s="623"/>
      <c r="D352" s="623"/>
      <c r="E352" s="25"/>
      <c r="F352" s="274"/>
      <c r="G352" s="274"/>
      <c r="H352" s="8"/>
      <c r="I352" s="8"/>
      <c r="J352" s="413">
        <f t="shared" si="20"/>
        <v>0</v>
      </c>
      <c r="K352" s="35"/>
      <c r="L352" s="8"/>
      <c r="M352" s="7"/>
      <c r="N352" s="9" t="str">
        <f t="shared" si="21"/>
        <v/>
      </c>
      <c r="O352" s="20"/>
      <c r="Q352" s="637">
        <f t="shared" si="22"/>
        <v>0</v>
      </c>
      <c r="R352" s="637">
        <f t="shared" si="23"/>
        <v>0</v>
      </c>
    </row>
    <row r="353" spans="1:18" ht="14.25" thickBot="1">
      <c r="A353" s="633"/>
      <c r="B353" s="634"/>
      <c r="C353" s="635"/>
      <c r="D353" s="635"/>
      <c r="E353" s="31"/>
      <c r="F353" s="276"/>
      <c r="G353" s="276"/>
      <c r="H353" s="33"/>
      <c r="I353" s="33"/>
      <c r="J353" s="414">
        <f t="shared" si="20"/>
        <v>0</v>
      </c>
      <c r="K353" s="30"/>
      <c r="L353" s="33"/>
      <c r="M353" s="32"/>
      <c r="N353" s="34" t="str">
        <f t="shared" si="21"/>
        <v/>
      </c>
      <c r="O353" s="21"/>
      <c r="Q353" s="637">
        <f t="shared" si="22"/>
        <v>0</v>
      </c>
      <c r="R353" s="637">
        <f t="shared" si="23"/>
        <v>0</v>
      </c>
    </row>
  </sheetData>
  <sheetProtection sheet="1" objects="1" scenarios="1" selectLockedCells="1"/>
  <mergeCells count="15">
    <mergeCell ref="O2:O4"/>
    <mergeCell ref="F3:G3"/>
    <mergeCell ref="H3:I3"/>
    <mergeCell ref="J3:J4"/>
    <mergeCell ref="K3:K4"/>
    <mergeCell ref="L3:L4"/>
    <mergeCell ref="M3:M4"/>
    <mergeCell ref="N3:N4"/>
    <mergeCell ref="F2:J2"/>
    <mergeCell ref="K2:N2"/>
    <mergeCell ref="A2:A4"/>
    <mergeCell ref="B2:B4"/>
    <mergeCell ref="C2:C4"/>
    <mergeCell ref="D2:D4"/>
    <mergeCell ref="E2:E4"/>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8" activePane="bottomRight" state="frozen"/>
      <selection pane="topRight" activeCell="B1" sqref="B1"/>
      <selection pane="bottomLeft" activeCell="A8" sqref="A8"/>
      <selection pane="bottomRight" activeCell="H20" sqref="H20"/>
    </sheetView>
  </sheetViews>
  <sheetFormatPr defaultRowHeight="13.5"/>
  <cols>
    <col min="1" max="1" width="9" style="307"/>
    <col min="2" max="7" width="12.625" style="307" customWidth="1"/>
    <col min="8" max="8" width="48.5" style="307" customWidth="1"/>
    <col min="9" max="9" width="9" style="307"/>
    <col min="10" max="10" width="24.125" style="307" customWidth="1"/>
    <col min="11" max="13" width="9" style="307"/>
    <col min="14" max="14" width="13.125" style="307" customWidth="1"/>
    <col min="15" max="15" width="12.625" style="307" bestFit="1" customWidth="1"/>
    <col min="16" max="16" width="13.125" style="307" bestFit="1" customWidth="1"/>
    <col min="17" max="17" width="15.5" style="307" bestFit="1" customWidth="1"/>
    <col min="18" max="16384" width="9" style="307"/>
  </cols>
  <sheetData>
    <row r="1" spans="1:17" ht="17.25">
      <c r="A1" s="311"/>
    </row>
    <row r="2" spans="1:17" ht="14.25" thickBot="1">
      <c r="A2" s="87"/>
      <c r="B2" s="642" t="s">
        <v>660</v>
      </c>
      <c r="C2" s="643"/>
      <c r="D2" s="643"/>
      <c r="E2" s="310"/>
      <c r="F2" s="646" t="s">
        <v>661</v>
      </c>
    </row>
    <row r="3" spans="1:17" ht="14.25" thickBot="1">
      <c r="A3" s="87"/>
      <c r="B3" s="644" t="s">
        <v>655</v>
      </c>
      <c r="C3" s="645">
        <v>0.2</v>
      </c>
      <c r="D3" s="644" t="s">
        <v>634</v>
      </c>
      <c r="E3" s="310"/>
      <c r="F3" s="647">
        <v>0.8</v>
      </c>
    </row>
    <row r="5" spans="1:17" ht="14.25" thickBot="1"/>
    <row r="6" spans="1:17" ht="18" customHeight="1">
      <c r="A6" s="506"/>
      <c r="B6" s="830" t="s">
        <v>405</v>
      </c>
      <c r="C6" s="831"/>
      <c r="D6" s="832"/>
      <c r="E6" s="828" t="s">
        <v>407</v>
      </c>
      <c r="F6" s="833" t="s">
        <v>408</v>
      </c>
      <c r="G6" s="828" t="s">
        <v>639</v>
      </c>
      <c r="H6" s="835" t="s">
        <v>663</v>
      </c>
      <c r="I6" s="308"/>
    </row>
    <row r="7" spans="1:17" ht="18" customHeight="1" thickBot="1">
      <c r="A7" s="507" t="s">
        <v>381</v>
      </c>
      <c r="B7" s="618" t="s">
        <v>645</v>
      </c>
      <c r="C7" s="616" t="s">
        <v>640</v>
      </c>
      <c r="D7" s="617" t="s">
        <v>382</v>
      </c>
      <c r="E7" s="829"/>
      <c r="F7" s="834"/>
      <c r="G7" s="829"/>
      <c r="H7" s="836"/>
      <c r="I7" s="309"/>
    </row>
    <row r="8" spans="1:17" ht="18" customHeight="1">
      <c r="A8" s="508">
        <v>1</v>
      </c>
      <c r="B8" s="534"/>
      <c r="C8" s="535"/>
      <c r="D8" s="536">
        <f>B8*C8</f>
        <v>0</v>
      </c>
      <c r="E8" s="550"/>
      <c r="F8" s="551"/>
      <c r="G8" s="552">
        <f>SUM(D8:F8)</f>
        <v>0</v>
      </c>
      <c r="H8" s="673"/>
      <c r="I8" s="310"/>
      <c r="Q8" s="90"/>
    </row>
    <row r="9" spans="1:17" ht="18" customHeight="1">
      <c r="A9" s="509">
        <v>2</v>
      </c>
      <c r="B9" s="537"/>
      <c r="C9" s="538"/>
      <c r="D9" s="539">
        <f t="shared" ref="D9:D13" si="0">B9*C9</f>
        <v>0</v>
      </c>
      <c r="E9" s="553"/>
      <c r="F9" s="554"/>
      <c r="G9" s="555">
        <f t="shared" ref="G9:G20" si="1">SUM(D9:F9)</f>
        <v>0</v>
      </c>
      <c r="H9" s="674"/>
      <c r="I9" s="310"/>
      <c r="Q9" s="90"/>
    </row>
    <row r="10" spans="1:17" ht="18" customHeight="1">
      <c r="A10" s="509">
        <v>3</v>
      </c>
      <c r="B10" s="537"/>
      <c r="C10" s="538"/>
      <c r="D10" s="539">
        <f t="shared" si="0"/>
        <v>0</v>
      </c>
      <c r="E10" s="553"/>
      <c r="F10" s="554"/>
      <c r="G10" s="555">
        <f t="shared" si="1"/>
        <v>0</v>
      </c>
      <c r="H10" s="674"/>
      <c r="I10" s="310"/>
    </row>
    <row r="11" spans="1:17" ht="18" customHeight="1">
      <c r="A11" s="509">
        <v>4</v>
      </c>
      <c r="B11" s="537"/>
      <c r="C11" s="538"/>
      <c r="D11" s="539">
        <f t="shared" si="0"/>
        <v>0</v>
      </c>
      <c r="E11" s="553"/>
      <c r="F11" s="554"/>
      <c r="G11" s="555">
        <f t="shared" si="1"/>
        <v>0</v>
      </c>
      <c r="H11" s="674"/>
      <c r="I11" s="310"/>
    </row>
    <row r="12" spans="1:17" ht="18" customHeight="1">
      <c r="A12" s="509">
        <v>5</v>
      </c>
      <c r="B12" s="537"/>
      <c r="C12" s="538"/>
      <c r="D12" s="539">
        <f t="shared" si="0"/>
        <v>0</v>
      </c>
      <c r="E12" s="553"/>
      <c r="F12" s="554"/>
      <c r="G12" s="555">
        <f t="shared" si="1"/>
        <v>0</v>
      </c>
      <c r="H12" s="674"/>
      <c r="I12" s="310"/>
    </row>
    <row r="13" spans="1:17" ht="18" customHeight="1">
      <c r="A13" s="509">
        <v>6</v>
      </c>
      <c r="B13" s="537"/>
      <c r="C13" s="538"/>
      <c r="D13" s="539">
        <f t="shared" si="0"/>
        <v>0</v>
      </c>
      <c r="E13" s="553"/>
      <c r="F13" s="554"/>
      <c r="G13" s="555">
        <f t="shared" si="1"/>
        <v>0</v>
      </c>
      <c r="H13" s="674"/>
      <c r="I13" s="310"/>
    </row>
    <row r="14" spans="1:17" ht="18" customHeight="1">
      <c r="A14" s="509">
        <v>7</v>
      </c>
      <c r="B14" s="537"/>
      <c r="C14" s="538"/>
      <c r="D14" s="540">
        <f t="shared" ref="D14:D19" si="2">B14*C14</f>
        <v>0</v>
      </c>
      <c r="E14" s="553"/>
      <c r="F14" s="554"/>
      <c r="G14" s="555">
        <f t="shared" si="1"/>
        <v>0</v>
      </c>
      <c r="H14" s="674"/>
      <c r="I14" s="310"/>
    </row>
    <row r="15" spans="1:17" ht="18" customHeight="1">
      <c r="A15" s="509">
        <v>8</v>
      </c>
      <c r="B15" s="537"/>
      <c r="C15" s="538"/>
      <c r="D15" s="540">
        <f t="shared" si="2"/>
        <v>0</v>
      </c>
      <c r="E15" s="553"/>
      <c r="F15" s="554"/>
      <c r="G15" s="555">
        <f t="shared" si="1"/>
        <v>0</v>
      </c>
      <c r="H15" s="674"/>
      <c r="I15" s="310"/>
    </row>
    <row r="16" spans="1:17" ht="18" customHeight="1">
      <c r="A16" s="509">
        <v>9</v>
      </c>
      <c r="B16" s="537"/>
      <c r="C16" s="538"/>
      <c r="D16" s="540">
        <f t="shared" si="2"/>
        <v>0</v>
      </c>
      <c r="E16" s="553"/>
      <c r="F16" s="554"/>
      <c r="G16" s="555">
        <f t="shared" si="1"/>
        <v>0</v>
      </c>
      <c r="H16" s="674"/>
      <c r="I16" s="310"/>
    </row>
    <row r="17" spans="1:9" ht="18" customHeight="1">
      <c r="A17" s="509">
        <v>10</v>
      </c>
      <c r="B17" s="537"/>
      <c r="C17" s="538"/>
      <c r="D17" s="540">
        <f t="shared" si="2"/>
        <v>0</v>
      </c>
      <c r="E17" s="553"/>
      <c r="F17" s="554"/>
      <c r="G17" s="555">
        <f t="shared" si="1"/>
        <v>0</v>
      </c>
      <c r="H17" s="674"/>
      <c r="I17" s="310"/>
    </row>
    <row r="18" spans="1:9" ht="18" customHeight="1">
      <c r="A18" s="509">
        <v>11</v>
      </c>
      <c r="B18" s="537"/>
      <c r="C18" s="538"/>
      <c r="D18" s="540">
        <f t="shared" si="2"/>
        <v>0</v>
      </c>
      <c r="E18" s="553"/>
      <c r="F18" s="554"/>
      <c r="G18" s="555">
        <f t="shared" si="1"/>
        <v>0</v>
      </c>
      <c r="H18" s="674"/>
      <c r="I18" s="310"/>
    </row>
    <row r="19" spans="1:9" ht="18" customHeight="1" thickBot="1">
      <c r="A19" s="510">
        <v>12</v>
      </c>
      <c r="B19" s="541"/>
      <c r="C19" s="542"/>
      <c r="D19" s="543">
        <f t="shared" si="2"/>
        <v>0</v>
      </c>
      <c r="E19" s="556"/>
      <c r="F19" s="557"/>
      <c r="G19" s="558">
        <f t="shared" si="1"/>
        <v>0</v>
      </c>
      <c r="H19" s="675"/>
      <c r="I19" s="310"/>
    </row>
    <row r="20" spans="1:9" ht="18" customHeight="1" thickBot="1">
      <c r="A20" s="512" t="s">
        <v>406</v>
      </c>
      <c r="B20" s="564">
        <v>0.2</v>
      </c>
      <c r="C20" s="544">
        <v>256000</v>
      </c>
      <c r="D20" s="545">
        <f>B20*C20</f>
        <v>51200</v>
      </c>
      <c r="E20" s="559"/>
      <c r="F20" s="560"/>
      <c r="G20" s="561">
        <f t="shared" si="1"/>
        <v>51200</v>
      </c>
      <c r="H20" s="676" t="s">
        <v>503</v>
      </c>
      <c r="I20" s="310"/>
    </row>
    <row r="21" spans="1:9" ht="18" customHeight="1" thickTop="1" thickBot="1">
      <c r="A21" s="511" t="s">
        <v>383</v>
      </c>
      <c r="B21" s="565">
        <f>SUM(B8:B20)</f>
        <v>0.2</v>
      </c>
      <c r="C21" s="546">
        <f>D21/B21</f>
        <v>256000</v>
      </c>
      <c r="D21" s="547">
        <f>SUM(D8:D20)</f>
        <v>51200</v>
      </c>
      <c r="E21" s="548">
        <f t="shared" ref="E21:G21" si="3">SUM(E8:E20)</f>
        <v>0</v>
      </c>
      <c r="F21" s="549">
        <f t="shared" si="3"/>
        <v>0</v>
      </c>
      <c r="G21" s="548">
        <f t="shared" si="3"/>
        <v>51200</v>
      </c>
      <c r="H21" s="677"/>
      <c r="I21" s="310"/>
    </row>
    <row r="22" spans="1:9" ht="18" customHeight="1"/>
  </sheetData>
  <sheetProtection sheet="1" objects="1" scenarios="1" selectLockedCells="1"/>
  <mergeCells count="5">
    <mergeCell ref="G6:G7"/>
    <mergeCell ref="B6:D6"/>
    <mergeCell ref="E6:E7"/>
    <mergeCell ref="F6:F7"/>
    <mergeCell ref="H6:H7"/>
  </mergeCells>
  <phoneticPr fontId="14"/>
  <dataValidations count="2">
    <dataValidation type="list" allowBlank="1" showInputMessage="1" showErrorMessage="1" sqref="B3">
      <formula1>植付本数</formula1>
    </dataValidation>
    <dataValidation type="list" allowBlank="1" showInputMessage="1" showErrorMessage="1" sqref="D3">
      <formula1>本</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30"/>
  <sheetViews>
    <sheetView showGridLines="0" zoomScalePageLayoutView="75" workbookViewId="0">
      <pane ySplit="2" topLeftCell="A143" activePane="bottomLeft" state="frozen"/>
      <selection activeCell="I22" sqref="I22"/>
      <selection pane="bottomLeft" activeCell="H4" sqref="H4"/>
    </sheetView>
  </sheetViews>
  <sheetFormatPr defaultRowHeight="12" zeroHeight="1" outlineLevelRow="1"/>
  <cols>
    <col min="1" max="1" width="2.125" style="200" customWidth="1"/>
    <col min="2" max="2" width="5.125" style="200" customWidth="1"/>
    <col min="3" max="3" width="18.875" style="200" bestFit="1" customWidth="1"/>
    <col min="4" max="4" width="9.625" style="200" bestFit="1" customWidth="1"/>
    <col min="5" max="5" width="6.625" style="200" customWidth="1"/>
    <col min="6" max="6" width="10.625" style="464" customWidth="1"/>
    <col min="7" max="7" width="7" style="200" customWidth="1"/>
    <col min="8" max="8" width="7.375" style="200" bestFit="1" customWidth="1"/>
    <col min="9" max="9" width="9.625" style="468" bestFit="1" customWidth="1"/>
    <col min="10" max="10" width="11.25" style="468" customWidth="1"/>
    <col min="11" max="12" width="11.25" style="465" hidden="1" customWidth="1"/>
    <col min="13" max="13" width="6.625" style="466" hidden="1" customWidth="1"/>
    <col min="14" max="16" width="11.25" style="465" hidden="1" customWidth="1"/>
    <col min="17" max="19" width="11.25" style="467" hidden="1" customWidth="1"/>
    <col min="20" max="22" width="11.25" style="200" hidden="1" customWidth="1"/>
    <col min="23" max="23" width="24.25" style="200" customWidth="1"/>
    <col min="24" max="16384" width="9" style="200"/>
  </cols>
  <sheetData>
    <row r="1" spans="2:23" ht="18" customHeight="1" thickBot="1">
      <c r="B1" s="350" t="s">
        <v>277</v>
      </c>
      <c r="C1" s="351"/>
      <c r="D1" s="851" t="s">
        <v>76</v>
      </c>
      <c r="E1" s="851"/>
      <c r="F1" s="422"/>
      <c r="G1" s="352"/>
      <c r="H1" s="353">
        <v>10</v>
      </c>
      <c r="I1" s="516"/>
      <c r="J1" s="517"/>
      <c r="K1" s="354"/>
      <c r="L1" s="354"/>
      <c r="M1" s="355"/>
      <c r="N1" s="354"/>
      <c r="O1" s="354"/>
      <c r="P1" s="354"/>
      <c r="Q1" s="356"/>
      <c r="R1" s="356"/>
      <c r="S1" s="356"/>
      <c r="T1" s="160"/>
      <c r="U1" s="160"/>
      <c r="V1" s="160"/>
      <c r="W1" s="357" t="str">
        <f>①技術体系!A2</f>
        <v>放牧牛肉</v>
      </c>
    </row>
    <row r="2" spans="2:23" s="358" customFormat="1" ht="18" customHeight="1" thickBot="1">
      <c r="B2" s="599" t="s">
        <v>77</v>
      </c>
      <c r="C2" s="600" t="s">
        <v>78</v>
      </c>
      <c r="D2" s="601" t="s">
        <v>79</v>
      </c>
      <c r="E2" s="602" t="s">
        <v>80</v>
      </c>
      <c r="F2" s="603" t="s">
        <v>19</v>
      </c>
      <c r="G2" s="604" t="s">
        <v>81</v>
      </c>
      <c r="H2" s="601" t="s">
        <v>24</v>
      </c>
      <c r="I2" s="605" t="s">
        <v>82</v>
      </c>
      <c r="J2" s="605" t="s">
        <v>83</v>
      </c>
      <c r="K2" s="606" t="s">
        <v>84</v>
      </c>
      <c r="L2" s="606" t="s">
        <v>85</v>
      </c>
      <c r="M2" s="607" t="s">
        <v>80</v>
      </c>
      <c r="N2" s="606" t="s">
        <v>86</v>
      </c>
      <c r="O2" s="608" t="s">
        <v>87</v>
      </c>
      <c r="P2" s="609" t="s">
        <v>80</v>
      </c>
      <c r="Q2" s="610" t="s">
        <v>88</v>
      </c>
      <c r="R2" s="611" t="s">
        <v>89</v>
      </c>
      <c r="S2" s="612" t="s">
        <v>90</v>
      </c>
      <c r="T2" s="613" t="s">
        <v>91</v>
      </c>
      <c r="U2" s="614" t="s">
        <v>92</v>
      </c>
      <c r="V2" s="614" t="s">
        <v>93</v>
      </c>
      <c r="W2" s="615" t="s">
        <v>94</v>
      </c>
    </row>
    <row r="3" spans="2:23" s="358" customFormat="1" ht="12.95" customHeight="1">
      <c r="B3" s="852" t="s">
        <v>98</v>
      </c>
      <c r="C3" s="261"/>
      <c r="D3" s="220"/>
      <c r="E3" s="262"/>
      <c r="F3" s="423"/>
      <c r="G3" s="222"/>
      <c r="H3" s="223"/>
      <c r="I3" s="360" t="str">
        <f>IF(C3=0,"",D3*1/G3*H3)</f>
        <v/>
      </c>
      <c r="J3" s="520" t="str">
        <f>IF(C3=0,"",ROUND(F3*I3,0))</f>
        <v/>
      </c>
      <c r="K3" s="224"/>
      <c r="L3" s="224"/>
      <c r="M3" s="225"/>
      <c r="N3" s="224"/>
      <c r="O3" s="226">
        <v>0</v>
      </c>
      <c r="P3" s="227"/>
      <c r="Q3" s="228"/>
      <c r="R3" s="229"/>
      <c r="S3" s="230"/>
      <c r="T3" s="231" t="s">
        <v>288</v>
      </c>
      <c r="U3" s="232" t="s">
        <v>288</v>
      </c>
      <c r="V3" s="233" t="s">
        <v>288</v>
      </c>
      <c r="W3" s="263"/>
    </row>
    <row r="4" spans="2:23" s="358" customFormat="1" ht="12.95" customHeight="1">
      <c r="B4" s="844"/>
      <c r="C4" s="197"/>
      <c r="D4" s="178"/>
      <c r="E4" s="196"/>
      <c r="F4" s="424"/>
      <c r="G4" s="181"/>
      <c r="H4" s="182"/>
      <c r="I4" s="362" t="str">
        <f t="shared" ref="I4:I7" si="0">IF(C4=0,"",D4*1/G4*H4)</f>
        <v/>
      </c>
      <c r="J4" s="521" t="str">
        <f t="shared" ref="J4:J7" si="1">IF(C4=0,"",ROUND(F4*I4,0))</f>
        <v/>
      </c>
      <c r="K4" s="183"/>
      <c r="L4" s="183"/>
      <c r="M4" s="184"/>
      <c r="N4" s="183"/>
      <c r="O4" s="185"/>
      <c r="P4" s="186"/>
      <c r="Q4" s="187"/>
      <c r="R4" s="188"/>
      <c r="S4" s="189"/>
      <c r="T4" s="190"/>
      <c r="U4" s="191"/>
      <c r="V4" s="192"/>
      <c r="W4" s="264"/>
    </row>
    <row r="5" spans="2:23" s="358" customFormat="1" ht="12.95" customHeight="1">
      <c r="B5" s="844"/>
      <c r="C5" s="197"/>
      <c r="D5" s="178"/>
      <c r="E5" s="196"/>
      <c r="F5" s="424"/>
      <c r="G5" s="181"/>
      <c r="H5" s="182"/>
      <c r="I5" s="362" t="str">
        <f t="shared" si="0"/>
        <v/>
      </c>
      <c r="J5" s="521" t="str">
        <f t="shared" si="1"/>
        <v/>
      </c>
      <c r="K5" s="183"/>
      <c r="L5" s="183"/>
      <c r="M5" s="184"/>
      <c r="N5" s="183"/>
      <c r="O5" s="185"/>
      <c r="P5" s="186"/>
      <c r="Q5" s="187"/>
      <c r="R5" s="188"/>
      <c r="S5" s="189"/>
      <c r="T5" s="190"/>
      <c r="U5" s="191"/>
      <c r="V5" s="192"/>
      <c r="W5" s="264"/>
    </row>
    <row r="6" spans="2:23" s="358" customFormat="1" ht="12.95" customHeight="1">
      <c r="B6" s="844"/>
      <c r="C6" s="197"/>
      <c r="D6" s="178"/>
      <c r="E6" s="196"/>
      <c r="F6" s="424"/>
      <c r="G6" s="181"/>
      <c r="H6" s="182"/>
      <c r="I6" s="362" t="str">
        <f t="shared" si="0"/>
        <v/>
      </c>
      <c r="J6" s="521" t="str">
        <f t="shared" si="1"/>
        <v/>
      </c>
      <c r="K6" s="183"/>
      <c r="L6" s="183"/>
      <c r="M6" s="184"/>
      <c r="N6" s="183"/>
      <c r="O6" s="185"/>
      <c r="P6" s="186"/>
      <c r="Q6" s="187"/>
      <c r="R6" s="188"/>
      <c r="S6" s="189"/>
      <c r="T6" s="190"/>
      <c r="U6" s="191"/>
      <c r="V6" s="192"/>
      <c r="W6" s="264"/>
    </row>
    <row r="7" spans="2:23" s="358" customFormat="1" ht="12.95" customHeight="1" thickBot="1">
      <c r="B7" s="844"/>
      <c r="C7" s="265"/>
      <c r="D7" s="237"/>
      <c r="E7" s="258"/>
      <c r="F7" s="425"/>
      <c r="G7" s="239"/>
      <c r="H7" s="240"/>
      <c r="I7" s="363" t="str">
        <f t="shared" si="0"/>
        <v/>
      </c>
      <c r="J7" s="522" t="str">
        <f t="shared" si="1"/>
        <v/>
      </c>
      <c r="K7" s="241"/>
      <c r="L7" s="241"/>
      <c r="M7" s="242"/>
      <c r="N7" s="241"/>
      <c r="O7" s="243"/>
      <c r="P7" s="244"/>
      <c r="Q7" s="245"/>
      <c r="R7" s="246"/>
      <c r="S7" s="247"/>
      <c r="T7" s="248"/>
      <c r="U7" s="249"/>
      <c r="V7" s="250"/>
      <c r="W7" s="266"/>
    </row>
    <row r="8" spans="2:23" s="358" customFormat="1" ht="12.95" customHeight="1" thickTop="1" thickBot="1">
      <c r="B8" s="845"/>
      <c r="C8" s="514" t="s">
        <v>289</v>
      </c>
      <c r="D8" s="236"/>
      <c r="E8" s="336"/>
      <c r="F8" s="426"/>
      <c r="G8" s="337"/>
      <c r="H8" s="338"/>
      <c r="I8" s="347"/>
      <c r="J8" s="519">
        <f>SUM(J3:J7)</f>
        <v>0</v>
      </c>
      <c r="K8" s="339"/>
      <c r="L8" s="339"/>
      <c r="M8" s="340"/>
      <c r="N8" s="339"/>
      <c r="O8" s="341"/>
      <c r="P8" s="342"/>
      <c r="Q8" s="343"/>
      <c r="R8" s="344"/>
      <c r="S8" s="345"/>
      <c r="T8" s="515"/>
      <c r="U8" s="347"/>
      <c r="V8" s="348"/>
      <c r="W8" s="349"/>
    </row>
    <row r="9" spans="2:23" ht="12.95" customHeight="1">
      <c r="B9" s="846" t="s">
        <v>95</v>
      </c>
      <c r="C9" s="252"/>
      <c r="D9" s="220"/>
      <c r="E9" s="221"/>
      <c r="F9" s="423"/>
      <c r="G9" s="222"/>
      <c r="H9" s="223"/>
      <c r="I9" s="360" t="str">
        <f t="shared" ref="I9:I19" si="2">IF(C9=0,"",D9*1/G9*H9)</f>
        <v/>
      </c>
      <c r="J9" s="520" t="str">
        <f t="shared" ref="J9:J75" si="3">IF(C9=0,"",ROUND(F9*I9,0))</f>
        <v/>
      </c>
      <c r="K9" s="224"/>
      <c r="L9" s="224"/>
      <c r="M9" s="225"/>
      <c r="N9" s="224"/>
      <c r="O9" s="226">
        <v>0</v>
      </c>
      <c r="P9" s="227"/>
      <c r="Q9" s="228"/>
      <c r="R9" s="229"/>
      <c r="S9" s="230"/>
      <c r="T9" s="231" t="s">
        <v>288</v>
      </c>
      <c r="U9" s="232" t="s">
        <v>288</v>
      </c>
      <c r="V9" s="233" t="s">
        <v>288</v>
      </c>
      <c r="W9" s="234"/>
    </row>
    <row r="10" spans="2:23" ht="12.95" customHeight="1">
      <c r="B10" s="847"/>
      <c r="C10" s="253"/>
      <c r="D10" s="161"/>
      <c r="E10" s="162"/>
      <c r="F10" s="427"/>
      <c r="G10" s="163"/>
      <c r="H10" s="164"/>
      <c r="I10" s="523" t="str">
        <f t="shared" si="2"/>
        <v/>
      </c>
      <c r="J10" s="524" t="str">
        <f t="shared" si="3"/>
        <v/>
      </c>
      <c r="K10" s="165"/>
      <c r="L10" s="165"/>
      <c r="M10" s="166"/>
      <c r="N10" s="165"/>
      <c r="O10" s="167">
        <v>0</v>
      </c>
      <c r="P10" s="168"/>
      <c r="Q10" s="169"/>
      <c r="R10" s="170"/>
      <c r="S10" s="171"/>
      <c r="T10" s="172" t="s">
        <v>288</v>
      </c>
      <c r="U10" s="173" t="s">
        <v>288</v>
      </c>
      <c r="V10" s="174" t="s">
        <v>288</v>
      </c>
      <c r="W10" s="235"/>
    </row>
    <row r="11" spans="2:23" ht="12.95" customHeight="1">
      <c r="B11" s="847"/>
      <c r="C11" s="254"/>
      <c r="D11" s="161"/>
      <c r="E11" s="162"/>
      <c r="F11" s="427"/>
      <c r="G11" s="163"/>
      <c r="H11" s="164"/>
      <c r="I11" s="523" t="str">
        <f t="shared" si="2"/>
        <v/>
      </c>
      <c r="J11" s="524" t="str">
        <f t="shared" si="3"/>
        <v/>
      </c>
      <c r="K11" s="165"/>
      <c r="L11" s="165"/>
      <c r="M11" s="166"/>
      <c r="N11" s="165"/>
      <c r="O11" s="167">
        <v>0</v>
      </c>
      <c r="P11" s="168"/>
      <c r="Q11" s="169"/>
      <c r="R11" s="170"/>
      <c r="S11" s="171"/>
      <c r="T11" s="172" t="s">
        <v>288</v>
      </c>
      <c r="U11" s="173" t="s">
        <v>288</v>
      </c>
      <c r="V11" s="174" t="s">
        <v>288</v>
      </c>
      <c r="W11" s="235"/>
    </row>
    <row r="12" spans="2:23" ht="12.95" hidden="1" customHeight="1" outlineLevel="1">
      <c r="B12" s="847"/>
      <c r="C12" s="255"/>
      <c r="D12" s="161"/>
      <c r="E12" s="162"/>
      <c r="F12" s="427"/>
      <c r="G12" s="163"/>
      <c r="H12" s="164"/>
      <c r="I12" s="523" t="str">
        <f t="shared" si="2"/>
        <v/>
      </c>
      <c r="J12" s="524" t="str">
        <f t="shared" si="3"/>
        <v/>
      </c>
      <c r="K12" s="165"/>
      <c r="L12" s="165"/>
      <c r="M12" s="166"/>
      <c r="N12" s="165"/>
      <c r="O12" s="167"/>
      <c r="P12" s="168"/>
      <c r="Q12" s="169"/>
      <c r="R12" s="170"/>
      <c r="S12" s="171"/>
      <c r="T12" s="172"/>
      <c r="U12" s="173"/>
      <c r="V12" s="174"/>
      <c r="W12" s="235"/>
    </row>
    <row r="13" spans="2:23" ht="12.95" hidden="1" customHeight="1" outlineLevel="1">
      <c r="B13" s="847"/>
      <c r="C13" s="255"/>
      <c r="D13" s="161"/>
      <c r="E13" s="162"/>
      <c r="F13" s="427"/>
      <c r="G13" s="163"/>
      <c r="H13" s="164"/>
      <c r="I13" s="523" t="str">
        <f t="shared" si="2"/>
        <v/>
      </c>
      <c r="J13" s="524" t="str">
        <f t="shared" si="3"/>
        <v/>
      </c>
      <c r="K13" s="165"/>
      <c r="L13" s="165"/>
      <c r="M13" s="166"/>
      <c r="N13" s="165"/>
      <c r="O13" s="167"/>
      <c r="P13" s="168"/>
      <c r="Q13" s="169"/>
      <c r="R13" s="170"/>
      <c r="S13" s="171"/>
      <c r="T13" s="172"/>
      <c r="U13" s="173"/>
      <c r="V13" s="174"/>
      <c r="W13" s="235"/>
    </row>
    <row r="14" spans="2:23" ht="12.95" hidden="1" customHeight="1" outlineLevel="1">
      <c r="B14" s="847"/>
      <c r="C14" s="255"/>
      <c r="D14" s="161"/>
      <c r="E14" s="162"/>
      <c r="F14" s="427"/>
      <c r="G14" s="163"/>
      <c r="H14" s="164"/>
      <c r="I14" s="523" t="str">
        <f t="shared" si="2"/>
        <v/>
      </c>
      <c r="J14" s="524" t="str">
        <f t="shared" si="3"/>
        <v/>
      </c>
      <c r="K14" s="165"/>
      <c r="L14" s="165"/>
      <c r="M14" s="166"/>
      <c r="N14" s="165"/>
      <c r="O14" s="167"/>
      <c r="P14" s="168"/>
      <c r="Q14" s="169"/>
      <c r="R14" s="170"/>
      <c r="S14" s="171"/>
      <c r="T14" s="172"/>
      <c r="U14" s="173"/>
      <c r="V14" s="174"/>
      <c r="W14" s="235"/>
    </row>
    <row r="15" spans="2:23" ht="12.95" hidden="1" customHeight="1" outlineLevel="1">
      <c r="B15" s="847"/>
      <c r="C15" s="255"/>
      <c r="D15" s="161"/>
      <c r="E15" s="162"/>
      <c r="F15" s="427"/>
      <c r="G15" s="163"/>
      <c r="H15" s="164"/>
      <c r="I15" s="523" t="str">
        <f t="shared" si="2"/>
        <v/>
      </c>
      <c r="J15" s="524" t="str">
        <f t="shared" si="3"/>
        <v/>
      </c>
      <c r="K15" s="165"/>
      <c r="L15" s="165"/>
      <c r="M15" s="166"/>
      <c r="N15" s="165"/>
      <c r="O15" s="167"/>
      <c r="P15" s="168"/>
      <c r="Q15" s="169"/>
      <c r="R15" s="170"/>
      <c r="S15" s="171"/>
      <c r="T15" s="172"/>
      <c r="U15" s="173"/>
      <c r="V15" s="174"/>
      <c r="W15" s="235"/>
    </row>
    <row r="16" spans="2:23" ht="12.95" hidden="1" customHeight="1" outlineLevel="1">
      <c r="B16" s="847"/>
      <c r="C16" s="255"/>
      <c r="D16" s="161"/>
      <c r="E16" s="162"/>
      <c r="F16" s="427"/>
      <c r="G16" s="163"/>
      <c r="H16" s="164"/>
      <c r="I16" s="523" t="str">
        <f t="shared" si="2"/>
        <v/>
      </c>
      <c r="J16" s="524" t="str">
        <f t="shared" si="3"/>
        <v/>
      </c>
      <c r="K16" s="165"/>
      <c r="L16" s="165"/>
      <c r="M16" s="166"/>
      <c r="N16" s="165"/>
      <c r="O16" s="167"/>
      <c r="P16" s="168"/>
      <c r="Q16" s="169"/>
      <c r="R16" s="170"/>
      <c r="S16" s="171"/>
      <c r="T16" s="172"/>
      <c r="U16" s="173"/>
      <c r="V16" s="174"/>
      <c r="W16" s="235"/>
    </row>
    <row r="17" spans="2:23" ht="12.95" hidden="1" customHeight="1" outlineLevel="1">
      <c r="B17" s="847"/>
      <c r="C17" s="255"/>
      <c r="D17" s="161"/>
      <c r="E17" s="162"/>
      <c r="F17" s="427"/>
      <c r="G17" s="163"/>
      <c r="H17" s="164"/>
      <c r="I17" s="523" t="str">
        <f t="shared" si="2"/>
        <v/>
      </c>
      <c r="J17" s="524" t="str">
        <f t="shared" si="3"/>
        <v/>
      </c>
      <c r="K17" s="165"/>
      <c r="L17" s="165"/>
      <c r="M17" s="166"/>
      <c r="N17" s="165"/>
      <c r="O17" s="167"/>
      <c r="P17" s="168"/>
      <c r="Q17" s="169"/>
      <c r="R17" s="170"/>
      <c r="S17" s="171"/>
      <c r="T17" s="172"/>
      <c r="U17" s="173"/>
      <c r="V17" s="174"/>
      <c r="W17" s="235"/>
    </row>
    <row r="18" spans="2:23" ht="12.95" hidden="1" customHeight="1" outlineLevel="1">
      <c r="B18" s="847"/>
      <c r="C18" s="255"/>
      <c r="D18" s="161"/>
      <c r="E18" s="162"/>
      <c r="F18" s="427"/>
      <c r="G18" s="163"/>
      <c r="H18" s="164"/>
      <c r="I18" s="523" t="str">
        <f t="shared" si="2"/>
        <v/>
      </c>
      <c r="J18" s="524" t="str">
        <f t="shared" si="3"/>
        <v/>
      </c>
      <c r="K18" s="165"/>
      <c r="L18" s="165"/>
      <c r="M18" s="166"/>
      <c r="N18" s="165"/>
      <c r="O18" s="167"/>
      <c r="P18" s="168"/>
      <c r="Q18" s="169"/>
      <c r="R18" s="170"/>
      <c r="S18" s="171"/>
      <c r="T18" s="172"/>
      <c r="U18" s="173"/>
      <c r="V18" s="174"/>
      <c r="W18" s="235"/>
    </row>
    <row r="19" spans="2:23" ht="12.95" hidden="1" customHeight="1" outlineLevel="1" thickBot="1">
      <c r="B19" s="847"/>
      <c r="C19" s="256"/>
      <c r="D19" s="237"/>
      <c r="E19" s="238"/>
      <c r="F19" s="425"/>
      <c r="G19" s="239"/>
      <c r="H19" s="240"/>
      <c r="I19" s="363" t="str">
        <f t="shared" si="2"/>
        <v/>
      </c>
      <c r="J19" s="522" t="str">
        <f t="shared" si="3"/>
        <v/>
      </c>
      <c r="K19" s="241"/>
      <c r="L19" s="241"/>
      <c r="M19" s="242"/>
      <c r="N19" s="241"/>
      <c r="O19" s="243"/>
      <c r="P19" s="244"/>
      <c r="Q19" s="245"/>
      <c r="R19" s="246"/>
      <c r="S19" s="247"/>
      <c r="T19" s="248"/>
      <c r="U19" s="249"/>
      <c r="V19" s="250"/>
      <c r="W19" s="251"/>
    </row>
    <row r="20" spans="2:23" ht="12.95" customHeight="1" collapsed="1" thickBot="1">
      <c r="B20" s="848"/>
      <c r="C20" s="514" t="s">
        <v>289</v>
      </c>
      <c r="D20" s="236"/>
      <c r="E20" s="336"/>
      <c r="F20" s="426"/>
      <c r="G20" s="337"/>
      <c r="H20" s="338"/>
      <c r="I20" s="347"/>
      <c r="J20" s="519">
        <f>SUM(J9:J19)</f>
        <v>0</v>
      </c>
      <c r="K20" s="339"/>
      <c r="L20" s="339"/>
      <c r="M20" s="340"/>
      <c r="N20" s="339"/>
      <c r="O20" s="341"/>
      <c r="P20" s="342"/>
      <c r="Q20" s="343"/>
      <c r="R20" s="344"/>
      <c r="S20" s="345"/>
      <c r="T20" s="515"/>
      <c r="U20" s="347"/>
      <c r="V20" s="348"/>
      <c r="W20" s="349"/>
    </row>
    <row r="21" spans="2:23" ht="12.95" customHeight="1">
      <c r="B21" s="843" t="s">
        <v>101</v>
      </c>
      <c r="C21" s="219"/>
      <c r="D21" s="220"/>
      <c r="E21" s="221"/>
      <c r="F21" s="423"/>
      <c r="G21" s="222"/>
      <c r="H21" s="223"/>
      <c r="I21" s="360" t="str">
        <f t="shared" ref="I21:I60" si="4">IF(C21=0,"",D21*1/G21*H21)</f>
        <v/>
      </c>
      <c r="J21" s="520" t="str">
        <f t="shared" si="3"/>
        <v/>
      </c>
      <c r="K21" s="224"/>
      <c r="L21" s="224"/>
      <c r="M21" s="225"/>
      <c r="N21" s="224"/>
      <c r="O21" s="226">
        <v>0</v>
      </c>
      <c r="P21" s="227"/>
      <c r="Q21" s="228"/>
      <c r="R21" s="229"/>
      <c r="S21" s="230"/>
      <c r="T21" s="231" t="s">
        <v>288</v>
      </c>
      <c r="U21" s="232" t="s">
        <v>288</v>
      </c>
      <c r="V21" s="233" t="s">
        <v>288</v>
      </c>
      <c r="W21" s="234"/>
    </row>
    <row r="22" spans="2:23" ht="12.95" customHeight="1">
      <c r="B22" s="844"/>
      <c r="C22" s="176"/>
      <c r="D22" s="161"/>
      <c r="E22" s="162"/>
      <c r="F22" s="427"/>
      <c r="G22" s="163"/>
      <c r="H22" s="164"/>
      <c r="I22" s="523" t="str">
        <f t="shared" si="4"/>
        <v/>
      </c>
      <c r="J22" s="524" t="str">
        <f t="shared" si="3"/>
        <v/>
      </c>
      <c r="K22" s="165"/>
      <c r="L22" s="165"/>
      <c r="M22" s="166"/>
      <c r="N22" s="165"/>
      <c r="O22" s="167">
        <v>0</v>
      </c>
      <c r="P22" s="168"/>
      <c r="Q22" s="169"/>
      <c r="R22" s="170"/>
      <c r="S22" s="171"/>
      <c r="T22" s="172" t="s">
        <v>288</v>
      </c>
      <c r="U22" s="173" t="s">
        <v>288</v>
      </c>
      <c r="V22" s="174" t="s">
        <v>288</v>
      </c>
      <c r="W22" s="235"/>
    </row>
    <row r="23" spans="2:23" ht="12.95" customHeight="1">
      <c r="B23" s="844"/>
      <c r="C23" s="176"/>
      <c r="D23" s="161"/>
      <c r="E23" s="162"/>
      <c r="F23" s="427"/>
      <c r="G23" s="163"/>
      <c r="H23" s="164"/>
      <c r="I23" s="523" t="str">
        <f t="shared" si="4"/>
        <v/>
      </c>
      <c r="J23" s="524" t="str">
        <f t="shared" si="3"/>
        <v/>
      </c>
      <c r="K23" s="165"/>
      <c r="L23" s="165"/>
      <c r="M23" s="166"/>
      <c r="N23" s="165"/>
      <c r="O23" s="167">
        <v>0</v>
      </c>
      <c r="P23" s="168"/>
      <c r="Q23" s="169"/>
      <c r="R23" s="170"/>
      <c r="S23" s="171"/>
      <c r="T23" s="172" t="s">
        <v>288</v>
      </c>
      <c r="U23" s="173" t="s">
        <v>288</v>
      </c>
      <c r="V23" s="174" t="s">
        <v>288</v>
      </c>
      <c r="W23" s="235"/>
    </row>
    <row r="24" spans="2:23" ht="12.95" customHeight="1">
      <c r="B24" s="844"/>
      <c r="C24" s="176"/>
      <c r="D24" s="161"/>
      <c r="E24" s="162"/>
      <c r="F24" s="427"/>
      <c r="G24" s="163"/>
      <c r="H24" s="164"/>
      <c r="I24" s="523" t="str">
        <f t="shared" si="4"/>
        <v/>
      </c>
      <c r="J24" s="524" t="str">
        <f t="shared" si="3"/>
        <v/>
      </c>
      <c r="K24" s="165"/>
      <c r="L24" s="165"/>
      <c r="M24" s="166"/>
      <c r="N24" s="165"/>
      <c r="O24" s="167">
        <v>0</v>
      </c>
      <c r="P24" s="168"/>
      <c r="Q24" s="169"/>
      <c r="R24" s="170"/>
      <c r="S24" s="171"/>
      <c r="T24" s="172" t="s">
        <v>288</v>
      </c>
      <c r="U24" s="173" t="s">
        <v>288</v>
      </c>
      <c r="V24" s="174" t="s">
        <v>288</v>
      </c>
      <c r="W24" s="235"/>
    </row>
    <row r="25" spans="2:23" ht="12.95" customHeight="1">
      <c r="B25" s="844"/>
      <c r="C25" s="176"/>
      <c r="D25" s="161"/>
      <c r="E25" s="162"/>
      <c r="F25" s="427"/>
      <c r="G25" s="163"/>
      <c r="H25" s="164"/>
      <c r="I25" s="523" t="str">
        <f t="shared" si="4"/>
        <v/>
      </c>
      <c r="J25" s="524" t="str">
        <f t="shared" si="3"/>
        <v/>
      </c>
      <c r="K25" s="165"/>
      <c r="L25" s="165"/>
      <c r="M25" s="166"/>
      <c r="N25" s="165"/>
      <c r="O25" s="167">
        <v>0</v>
      </c>
      <c r="P25" s="168"/>
      <c r="Q25" s="169"/>
      <c r="R25" s="170"/>
      <c r="S25" s="171"/>
      <c r="T25" s="172" t="s">
        <v>288</v>
      </c>
      <c r="U25" s="173" t="s">
        <v>288</v>
      </c>
      <c r="V25" s="174" t="s">
        <v>288</v>
      </c>
      <c r="W25" s="235"/>
    </row>
    <row r="26" spans="2:23" ht="12.95" customHeight="1">
      <c r="B26" s="844"/>
      <c r="C26" s="176"/>
      <c r="D26" s="161"/>
      <c r="E26" s="162"/>
      <c r="F26" s="427"/>
      <c r="G26" s="163"/>
      <c r="H26" s="164"/>
      <c r="I26" s="523" t="str">
        <f t="shared" si="4"/>
        <v/>
      </c>
      <c r="J26" s="524" t="str">
        <f t="shared" si="3"/>
        <v/>
      </c>
      <c r="K26" s="165"/>
      <c r="L26" s="165"/>
      <c r="M26" s="166"/>
      <c r="N26" s="165"/>
      <c r="O26" s="167">
        <v>0</v>
      </c>
      <c r="P26" s="168"/>
      <c r="Q26" s="169"/>
      <c r="R26" s="170"/>
      <c r="S26" s="171"/>
      <c r="T26" s="172" t="s">
        <v>288</v>
      </c>
      <c r="U26" s="173" t="s">
        <v>288</v>
      </c>
      <c r="V26" s="174" t="s">
        <v>288</v>
      </c>
      <c r="W26" s="235"/>
    </row>
    <row r="27" spans="2:23" ht="12.95" customHeight="1">
      <c r="B27" s="844"/>
      <c r="C27" s="176"/>
      <c r="D27" s="161"/>
      <c r="E27" s="162"/>
      <c r="F27" s="427"/>
      <c r="G27" s="163"/>
      <c r="H27" s="164"/>
      <c r="I27" s="523" t="str">
        <f t="shared" si="4"/>
        <v/>
      </c>
      <c r="J27" s="524" t="str">
        <f t="shared" si="3"/>
        <v/>
      </c>
      <c r="K27" s="165"/>
      <c r="L27" s="165"/>
      <c r="M27" s="166"/>
      <c r="N27" s="165"/>
      <c r="O27" s="167">
        <v>0</v>
      </c>
      <c r="P27" s="168"/>
      <c r="Q27" s="169"/>
      <c r="R27" s="170"/>
      <c r="S27" s="171"/>
      <c r="T27" s="172" t="s">
        <v>288</v>
      </c>
      <c r="U27" s="173" t="s">
        <v>288</v>
      </c>
      <c r="V27" s="174" t="s">
        <v>288</v>
      </c>
      <c r="W27" s="259"/>
    </row>
    <row r="28" spans="2:23" ht="12.95" hidden="1" customHeight="1" outlineLevel="1">
      <c r="B28" s="844"/>
      <c r="C28" s="176"/>
      <c r="D28" s="161"/>
      <c r="E28" s="162"/>
      <c r="F28" s="427"/>
      <c r="G28" s="163"/>
      <c r="H28" s="164"/>
      <c r="I28" s="523" t="str">
        <f t="shared" si="4"/>
        <v/>
      </c>
      <c r="J28" s="524" t="str">
        <f t="shared" si="3"/>
        <v/>
      </c>
      <c r="K28" s="165"/>
      <c r="L28" s="165"/>
      <c r="M28" s="166"/>
      <c r="N28" s="165"/>
      <c r="O28" s="167">
        <v>0</v>
      </c>
      <c r="P28" s="168"/>
      <c r="Q28" s="169"/>
      <c r="R28" s="170"/>
      <c r="S28" s="171"/>
      <c r="T28" s="172" t="s">
        <v>288</v>
      </c>
      <c r="U28" s="173" t="s">
        <v>288</v>
      </c>
      <c r="V28" s="174" t="s">
        <v>288</v>
      </c>
      <c r="W28" s="259"/>
    </row>
    <row r="29" spans="2:23" ht="12.95" hidden="1" customHeight="1" outlineLevel="1">
      <c r="B29" s="844"/>
      <c r="C29" s="176"/>
      <c r="D29" s="161"/>
      <c r="E29" s="162"/>
      <c r="F29" s="427"/>
      <c r="G29" s="163"/>
      <c r="H29" s="164"/>
      <c r="I29" s="523" t="str">
        <f t="shared" si="4"/>
        <v/>
      </c>
      <c r="J29" s="524" t="str">
        <f t="shared" si="3"/>
        <v/>
      </c>
      <c r="K29" s="165"/>
      <c r="L29" s="165"/>
      <c r="M29" s="166"/>
      <c r="N29" s="165"/>
      <c r="O29" s="167">
        <v>0</v>
      </c>
      <c r="P29" s="168"/>
      <c r="Q29" s="169"/>
      <c r="R29" s="170"/>
      <c r="S29" s="171"/>
      <c r="T29" s="172" t="s">
        <v>288</v>
      </c>
      <c r="U29" s="173" t="s">
        <v>288</v>
      </c>
      <c r="V29" s="174" t="s">
        <v>288</v>
      </c>
      <c r="W29" s="259"/>
    </row>
    <row r="30" spans="2:23" ht="12.95" hidden="1" customHeight="1" outlineLevel="1">
      <c r="B30" s="844"/>
      <c r="C30" s="176"/>
      <c r="D30" s="161"/>
      <c r="E30" s="162"/>
      <c r="F30" s="427"/>
      <c r="G30" s="163"/>
      <c r="H30" s="164"/>
      <c r="I30" s="523" t="str">
        <f t="shared" si="4"/>
        <v/>
      </c>
      <c r="J30" s="524" t="str">
        <f t="shared" si="3"/>
        <v/>
      </c>
      <c r="K30" s="165"/>
      <c r="L30" s="165"/>
      <c r="M30" s="166"/>
      <c r="N30" s="165"/>
      <c r="O30" s="167">
        <v>0</v>
      </c>
      <c r="P30" s="168"/>
      <c r="Q30" s="169"/>
      <c r="R30" s="170"/>
      <c r="S30" s="171"/>
      <c r="T30" s="172" t="s">
        <v>288</v>
      </c>
      <c r="U30" s="173" t="s">
        <v>288</v>
      </c>
      <c r="V30" s="174" t="s">
        <v>288</v>
      </c>
      <c r="W30" s="259"/>
    </row>
    <row r="31" spans="2:23" ht="12.95" hidden="1" customHeight="1" outlineLevel="1">
      <c r="B31" s="844"/>
      <c r="C31" s="176"/>
      <c r="D31" s="161"/>
      <c r="E31" s="162"/>
      <c r="F31" s="427"/>
      <c r="G31" s="163"/>
      <c r="H31" s="164"/>
      <c r="I31" s="523" t="str">
        <f t="shared" si="4"/>
        <v/>
      </c>
      <c r="J31" s="524" t="str">
        <f t="shared" si="3"/>
        <v/>
      </c>
      <c r="K31" s="165"/>
      <c r="L31" s="165"/>
      <c r="M31" s="166"/>
      <c r="N31" s="165"/>
      <c r="O31" s="167">
        <v>0</v>
      </c>
      <c r="P31" s="168"/>
      <c r="Q31" s="169"/>
      <c r="R31" s="170"/>
      <c r="S31" s="171"/>
      <c r="T31" s="172" t="s">
        <v>288</v>
      </c>
      <c r="U31" s="173" t="s">
        <v>288</v>
      </c>
      <c r="V31" s="174" t="s">
        <v>288</v>
      </c>
      <c r="W31" s="259"/>
    </row>
    <row r="32" spans="2:23" ht="12.95" hidden="1" customHeight="1" outlineLevel="1">
      <c r="B32" s="844"/>
      <c r="C32" s="176"/>
      <c r="D32" s="161"/>
      <c r="E32" s="162"/>
      <c r="F32" s="427"/>
      <c r="G32" s="163"/>
      <c r="H32" s="164"/>
      <c r="I32" s="523" t="str">
        <f t="shared" si="4"/>
        <v/>
      </c>
      <c r="J32" s="524" t="str">
        <f t="shared" si="3"/>
        <v/>
      </c>
      <c r="K32" s="165"/>
      <c r="L32" s="165"/>
      <c r="M32" s="166"/>
      <c r="N32" s="165"/>
      <c r="O32" s="167">
        <v>0</v>
      </c>
      <c r="P32" s="168"/>
      <c r="Q32" s="169"/>
      <c r="R32" s="170"/>
      <c r="S32" s="171"/>
      <c r="T32" s="172" t="s">
        <v>288</v>
      </c>
      <c r="U32" s="173" t="s">
        <v>288</v>
      </c>
      <c r="V32" s="174" t="s">
        <v>288</v>
      </c>
      <c r="W32" s="259"/>
    </row>
    <row r="33" spans="2:23" ht="12.95" hidden="1" customHeight="1" outlineLevel="1">
      <c r="B33" s="844"/>
      <c r="C33" s="176"/>
      <c r="D33" s="161"/>
      <c r="E33" s="162"/>
      <c r="F33" s="427"/>
      <c r="G33" s="163"/>
      <c r="H33" s="164"/>
      <c r="I33" s="523" t="str">
        <f t="shared" si="4"/>
        <v/>
      </c>
      <c r="J33" s="524" t="str">
        <f t="shared" si="3"/>
        <v/>
      </c>
      <c r="K33" s="165"/>
      <c r="L33" s="165"/>
      <c r="M33" s="166"/>
      <c r="N33" s="165"/>
      <c r="O33" s="167">
        <v>0</v>
      </c>
      <c r="P33" s="168"/>
      <c r="Q33" s="169"/>
      <c r="R33" s="170"/>
      <c r="S33" s="171"/>
      <c r="T33" s="172" t="s">
        <v>288</v>
      </c>
      <c r="U33" s="173" t="s">
        <v>288</v>
      </c>
      <c r="V33" s="174" t="s">
        <v>288</v>
      </c>
      <c r="W33" s="235"/>
    </row>
    <row r="34" spans="2:23" ht="12.95" hidden="1" customHeight="1" outlineLevel="1">
      <c r="B34" s="844"/>
      <c r="C34" s="176"/>
      <c r="D34" s="161"/>
      <c r="E34" s="162"/>
      <c r="F34" s="427"/>
      <c r="G34" s="163"/>
      <c r="H34" s="164"/>
      <c r="I34" s="523" t="str">
        <f t="shared" si="4"/>
        <v/>
      </c>
      <c r="J34" s="524" t="str">
        <f t="shared" si="3"/>
        <v/>
      </c>
      <c r="K34" s="165"/>
      <c r="L34" s="165"/>
      <c r="M34" s="166"/>
      <c r="N34" s="165"/>
      <c r="O34" s="167">
        <v>0</v>
      </c>
      <c r="P34" s="168"/>
      <c r="Q34" s="169"/>
      <c r="R34" s="170"/>
      <c r="S34" s="171"/>
      <c r="T34" s="172" t="s">
        <v>288</v>
      </c>
      <c r="U34" s="173" t="s">
        <v>288</v>
      </c>
      <c r="V34" s="174" t="s">
        <v>288</v>
      </c>
      <c r="W34" s="235"/>
    </row>
    <row r="35" spans="2:23" ht="12.95" hidden="1" customHeight="1" outlineLevel="1">
      <c r="B35" s="844"/>
      <c r="C35" s="176"/>
      <c r="D35" s="161"/>
      <c r="E35" s="162"/>
      <c r="F35" s="427"/>
      <c r="G35" s="163"/>
      <c r="H35" s="164"/>
      <c r="I35" s="523" t="str">
        <f t="shared" si="4"/>
        <v/>
      </c>
      <c r="J35" s="524" t="str">
        <f t="shared" si="3"/>
        <v/>
      </c>
      <c r="K35" s="165"/>
      <c r="L35" s="165"/>
      <c r="M35" s="166"/>
      <c r="N35" s="165"/>
      <c r="O35" s="167">
        <v>0</v>
      </c>
      <c r="P35" s="168"/>
      <c r="Q35" s="169"/>
      <c r="R35" s="170"/>
      <c r="S35" s="171"/>
      <c r="T35" s="172" t="s">
        <v>288</v>
      </c>
      <c r="U35" s="173" t="s">
        <v>288</v>
      </c>
      <c r="V35" s="174" t="s">
        <v>288</v>
      </c>
      <c r="W35" s="235"/>
    </row>
    <row r="36" spans="2:23" ht="12.95" hidden="1" customHeight="1" outlineLevel="1">
      <c r="B36" s="844"/>
      <c r="C36" s="176"/>
      <c r="D36" s="161"/>
      <c r="E36" s="162"/>
      <c r="F36" s="427"/>
      <c r="G36" s="163"/>
      <c r="H36" s="164"/>
      <c r="I36" s="523" t="str">
        <f t="shared" si="4"/>
        <v/>
      </c>
      <c r="J36" s="524" t="str">
        <f t="shared" si="3"/>
        <v/>
      </c>
      <c r="K36" s="165"/>
      <c r="L36" s="165"/>
      <c r="M36" s="166"/>
      <c r="N36" s="165"/>
      <c r="O36" s="167"/>
      <c r="P36" s="168"/>
      <c r="Q36" s="169"/>
      <c r="R36" s="170"/>
      <c r="S36" s="171"/>
      <c r="T36" s="172"/>
      <c r="U36" s="173"/>
      <c r="V36" s="174"/>
      <c r="W36" s="235"/>
    </row>
    <row r="37" spans="2:23" ht="12.95" hidden="1" customHeight="1" outlineLevel="1">
      <c r="B37" s="844"/>
      <c r="C37" s="176"/>
      <c r="D37" s="161"/>
      <c r="E37" s="162"/>
      <c r="F37" s="427"/>
      <c r="G37" s="163"/>
      <c r="H37" s="164"/>
      <c r="I37" s="523" t="str">
        <f t="shared" si="4"/>
        <v/>
      </c>
      <c r="J37" s="524" t="str">
        <f t="shared" si="3"/>
        <v/>
      </c>
      <c r="K37" s="165"/>
      <c r="L37" s="165"/>
      <c r="M37" s="166"/>
      <c r="N37" s="165"/>
      <c r="O37" s="167"/>
      <c r="P37" s="168"/>
      <c r="Q37" s="169"/>
      <c r="R37" s="170"/>
      <c r="S37" s="171"/>
      <c r="T37" s="172"/>
      <c r="U37" s="173"/>
      <c r="V37" s="174"/>
      <c r="W37" s="235"/>
    </row>
    <row r="38" spans="2:23" ht="12.95" hidden="1" customHeight="1" outlineLevel="1">
      <c r="B38" s="844"/>
      <c r="C38" s="176"/>
      <c r="D38" s="161"/>
      <c r="E38" s="162"/>
      <c r="F38" s="427"/>
      <c r="G38" s="163"/>
      <c r="H38" s="164"/>
      <c r="I38" s="523" t="str">
        <f t="shared" si="4"/>
        <v/>
      </c>
      <c r="J38" s="524" t="str">
        <f t="shared" si="3"/>
        <v/>
      </c>
      <c r="K38" s="165"/>
      <c r="L38" s="165"/>
      <c r="M38" s="166"/>
      <c r="N38" s="165"/>
      <c r="O38" s="167"/>
      <c r="P38" s="168"/>
      <c r="Q38" s="169"/>
      <c r="R38" s="170"/>
      <c r="S38" s="171"/>
      <c r="T38" s="172"/>
      <c r="U38" s="173"/>
      <c r="V38" s="174"/>
      <c r="W38" s="235"/>
    </row>
    <row r="39" spans="2:23" ht="12.95" hidden="1" customHeight="1" outlineLevel="1">
      <c r="B39" s="844"/>
      <c r="C39" s="177"/>
      <c r="D39" s="178"/>
      <c r="E39" s="179"/>
      <c r="F39" s="424"/>
      <c r="G39" s="181"/>
      <c r="H39" s="182"/>
      <c r="I39" s="362" t="str">
        <f t="shared" si="4"/>
        <v/>
      </c>
      <c r="J39" s="521" t="str">
        <f t="shared" si="3"/>
        <v/>
      </c>
      <c r="K39" s="183"/>
      <c r="L39" s="183"/>
      <c r="M39" s="184"/>
      <c r="N39" s="183"/>
      <c r="O39" s="185"/>
      <c r="P39" s="186"/>
      <c r="Q39" s="187"/>
      <c r="R39" s="188"/>
      <c r="S39" s="189"/>
      <c r="T39" s="190"/>
      <c r="U39" s="191"/>
      <c r="V39" s="192"/>
      <c r="W39" s="235"/>
    </row>
    <row r="40" spans="2:23" ht="12.95" hidden="1" customHeight="1" outlineLevel="1">
      <c r="B40" s="844"/>
      <c r="C40" s="175"/>
      <c r="D40" s="178"/>
      <c r="E40" s="179"/>
      <c r="F40" s="424"/>
      <c r="G40" s="181"/>
      <c r="H40" s="182"/>
      <c r="I40" s="362" t="str">
        <f t="shared" si="4"/>
        <v/>
      </c>
      <c r="J40" s="521" t="str">
        <f t="shared" si="3"/>
        <v/>
      </c>
      <c r="K40" s="183"/>
      <c r="L40" s="183"/>
      <c r="M40" s="184"/>
      <c r="N40" s="183"/>
      <c r="O40" s="185"/>
      <c r="P40" s="186"/>
      <c r="Q40" s="187"/>
      <c r="R40" s="188"/>
      <c r="S40" s="189"/>
      <c r="T40" s="190"/>
      <c r="U40" s="191"/>
      <c r="V40" s="192"/>
      <c r="W40" s="235"/>
    </row>
    <row r="41" spans="2:23" ht="12.95" hidden="1" customHeight="1" outlineLevel="1">
      <c r="B41" s="844"/>
      <c r="C41" s="175"/>
      <c r="D41" s="178"/>
      <c r="E41" s="179"/>
      <c r="F41" s="424"/>
      <c r="G41" s="181"/>
      <c r="H41" s="182"/>
      <c r="I41" s="362" t="str">
        <f t="shared" si="4"/>
        <v/>
      </c>
      <c r="J41" s="521" t="str">
        <f t="shared" si="3"/>
        <v/>
      </c>
      <c r="K41" s="183"/>
      <c r="L41" s="183"/>
      <c r="M41" s="184"/>
      <c r="N41" s="183"/>
      <c r="O41" s="185"/>
      <c r="P41" s="186"/>
      <c r="Q41" s="187"/>
      <c r="R41" s="188"/>
      <c r="S41" s="189"/>
      <c r="T41" s="190"/>
      <c r="U41" s="191"/>
      <c r="V41" s="192"/>
      <c r="W41" s="259"/>
    </row>
    <row r="42" spans="2:23" ht="12.95" hidden="1" customHeight="1" outlineLevel="1">
      <c r="B42" s="844"/>
      <c r="C42" s="175"/>
      <c r="D42" s="178"/>
      <c r="E42" s="179"/>
      <c r="F42" s="424"/>
      <c r="G42" s="181"/>
      <c r="H42" s="182"/>
      <c r="I42" s="362" t="str">
        <f t="shared" si="4"/>
        <v/>
      </c>
      <c r="J42" s="521" t="str">
        <f t="shared" si="3"/>
        <v/>
      </c>
      <c r="K42" s="183"/>
      <c r="L42" s="183"/>
      <c r="M42" s="184"/>
      <c r="N42" s="183"/>
      <c r="O42" s="185"/>
      <c r="P42" s="186"/>
      <c r="Q42" s="187"/>
      <c r="R42" s="188"/>
      <c r="S42" s="189"/>
      <c r="T42" s="190"/>
      <c r="U42" s="191"/>
      <c r="V42" s="192"/>
      <c r="W42" s="259"/>
    </row>
    <row r="43" spans="2:23" ht="12.95" hidden="1" customHeight="1" outlineLevel="1">
      <c r="B43" s="844"/>
      <c r="C43" s="193"/>
      <c r="D43" s="178"/>
      <c r="E43" s="194"/>
      <c r="F43" s="424"/>
      <c r="G43" s="181"/>
      <c r="H43" s="182"/>
      <c r="I43" s="362" t="str">
        <f t="shared" si="4"/>
        <v/>
      </c>
      <c r="J43" s="521" t="str">
        <f t="shared" si="3"/>
        <v/>
      </c>
      <c r="K43" s="183"/>
      <c r="L43" s="183"/>
      <c r="M43" s="184"/>
      <c r="N43" s="183"/>
      <c r="O43" s="185"/>
      <c r="P43" s="186"/>
      <c r="Q43" s="187"/>
      <c r="R43" s="188"/>
      <c r="S43" s="189"/>
      <c r="T43" s="190"/>
      <c r="U43" s="191"/>
      <c r="V43" s="192"/>
      <c r="W43" s="259"/>
    </row>
    <row r="44" spans="2:23" ht="12.95" hidden="1" customHeight="1" outlineLevel="1">
      <c r="B44" s="844"/>
      <c r="C44" s="216"/>
      <c r="D44" s="180"/>
      <c r="E44" s="206"/>
      <c r="F44" s="428"/>
      <c r="G44" s="217"/>
      <c r="H44" s="218"/>
      <c r="I44" s="525" t="str">
        <f t="shared" si="4"/>
        <v/>
      </c>
      <c r="J44" s="526" t="str">
        <f t="shared" si="3"/>
        <v/>
      </c>
      <c r="K44" s="183"/>
      <c r="L44" s="183"/>
      <c r="M44" s="184"/>
      <c r="N44" s="183"/>
      <c r="O44" s="185"/>
      <c r="P44" s="186"/>
      <c r="Q44" s="187"/>
      <c r="R44" s="188"/>
      <c r="S44" s="189"/>
      <c r="T44" s="190"/>
      <c r="U44" s="191"/>
      <c r="V44" s="192"/>
      <c r="W44" s="260"/>
    </row>
    <row r="45" spans="2:23" ht="12.95" hidden="1" customHeight="1" outlineLevel="1">
      <c r="B45" s="844"/>
      <c r="C45" s="193"/>
      <c r="D45" s="178"/>
      <c r="E45" s="179"/>
      <c r="F45" s="424"/>
      <c r="G45" s="181"/>
      <c r="H45" s="182"/>
      <c r="I45" s="362" t="str">
        <f t="shared" si="4"/>
        <v/>
      </c>
      <c r="J45" s="521" t="str">
        <f t="shared" si="3"/>
        <v/>
      </c>
      <c r="K45" s="183"/>
      <c r="L45" s="183"/>
      <c r="M45" s="184"/>
      <c r="N45" s="183"/>
      <c r="O45" s="185"/>
      <c r="P45" s="186"/>
      <c r="Q45" s="187"/>
      <c r="R45" s="188"/>
      <c r="S45" s="189"/>
      <c r="T45" s="190"/>
      <c r="U45" s="191"/>
      <c r="V45" s="192"/>
      <c r="W45" s="259"/>
    </row>
    <row r="46" spans="2:23" ht="12.95" hidden="1" customHeight="1" outlineLevel="1">
      <c r="B46" s="844"/>
      <c r="C46" s="193"/>
      <c r="D46" s="178"/>
      <c r="E46" s="194"/>
      <c r="F46" s="424"/>
      <c r="G46" s="181"/>
      <c r="H46" s="182"/>
      <c r="I46" s="362" t="str">
        <f t="shared" si="4"/>
        <v/>
      </c>
      <c r="J46" s="521" t="str">
        <f t="shared" si="3"/>
        <v/>
      </c>
      <c r="K46" s="183"/>
      <c r="L46" s="183"/>
      <c r="M46" s="184"/>
      <c r="N46" s="183"/>
      <c r="O46" s="185"/>
      <c r="P46" s="186"/>
      <c r="Q46" s="187"/>
      <c r="R46" s="188"/>
      <c r="S46" s="189"/>
      <c r="T46" s="190"/>
      <c r="U46" s="191"/>
      <c r="V46" s="192"/>
      <c r="W46" s="235"/>
    </row>
    <row r="47" spans="2:23" ht="12.95" hidden="1" customHeight="1" outlineLevel="1">
      <c r="B47" s="844"/>
      <c r="C47" s="193"/>
      <c r="D47" s="178"/>
      <c r="E47" s="194"/>
      <c r="F47" s="424"/>
      <c r="G47" s="181"/>
      <c r="H47" s="182"/>
      <c r="I47" s="362" t="str">
        <f t="shared" si="4"/>
        <v/>
      </c>
      <c r="J47" s="521" t="str">
        <f t="shared" si="3"/>
        <v/>
      </c>
      <c r="K47" s="183"/>
      <c r="L47" s="183"/>
      <c r="M47" s="184"/>
      <c r="N47" s="183"/>
      <c r="O47" s="185"/>
      <c r="P47" s="186"/>
      <c r="Q47" s="187"/>
      <c r="R47" s="188"/>
      <c r="S47" s="189"/>
      <c r="T47" s="190"/>
      <c r="U47" s="191"/>
      <c r="V47" s="192"/>
      <c r="W47" s="235"/>
    </row>
    <row r="48" spans="2:23" ht="12.95" hidden="1" customHeight="1" outlineLevel="1">
      <c r="B48" s="844"/>
      <c r="C48" s="193"/>
      <c r="D48" s="178"/>
      <c r="E48" s="194"/>
      <c r="F48" s="424"/>
      <c r="G48" s="181"/>
      <c r="H48" s="182"/>
      <c r="I48" s="362" t="str">
        <f t="shared" si="4"/>
        <v/>
      </c>
      <c r="J48" s="521" t="str">
        <f t="shared" si="3"/>
        <v/>
      </c>
      <c r="K48" s="183"/>
      <c r="L48" s="183"/>
      <c r="M48" s="184"/>
      <c r="N48" s="183"/>
      <c r="O48" s="185"/>
      <c r="P48" s="186"/>
      <c r="Q48" s="187"/>
      <c r="R48" s="188"/>
      <c r="S48" s="189"/>
      <c r="T48" s="190"/>
      <c r="U48" s="191"/>
      <c r="V48" s="192"/>
      <c r="W48" s="235"/>
    </row>
    <row r="49" spans="2:23" ht="12.95" hidden="1" customHeight="1" outlineLevel="1">
      <c r="B49" s="844"/>
      <c r="C49" s="193"/>
      <c r="D49" s="178"/>
      <c r="E49" s="179"/>
      <c r="F49" s="424"/>
      <c r="G49" s="181"/>
      <c r="H49" s="182"/>
      <c r="I49" s="362" t="str">
        <f t="shared" si="4"/>
        <v/>
      </c>
      <c r="J49" s="521" t="str">
        <f t="shared" si="3"/>
        <v/>
      </c>
      <c r="K49" s="183"/>
      <c r="L49" s="183"/>
      <c r="M49" s="184"/>
      <c r="N49" s="183"/>
      <c r="O49" s="185"/>
      <c r="P49" s="186"/>
      <c r="Q49" s="187"/>
      <c r="R49" s="188"/>
      <c r="S49" s="189"/>
      <c r="T49" s="190"/>
      <c r="U49" s="191"/>
      <c r="V49" s="192"/>
      <c r="W49" s="259"/>
    </row>
    <row r="50" spans="2:23" ht="12.95" hidden="1" customHeight="1" outlineLevel="1">
      <c r="B50" s="844"/>
      <c r="C50" s="193"/>
      <c r="D50" s="178"/>
      <c r="E50" s="194"/>
      <c r="F50" s="424"/>
      <c r="G50" s="181"/>
      <c r="H50" s="182"/>
      <c r="I50" s="362" t="str">
        <f t="shared" si="4"/>
        <v/>
      </c>
      <c r="J50" s="521" t="str">
        <f t="shared" si="3"/>
        <v/>
      </c>
      <c r="K50" s="183"/>
      <c r="L50" s="183"/>
      <c r="M50" s="184"/>
      <c r="N50" s="183"/>
      <c r="O50" s="185"/>
      <c r="P50" s="186"/>
      <c r="Q50" s="187"/>
      <c r="R50" s="188"/>
      <c r="S50" s="189"/>
      <c r="T50" s="190"/>
      <c r="U50" s="191"/>
      <c r="V50" s="192"/>
      <c r="W50" s="259"/>
    </row>
    <row r="51" spans="2:23" ht="12.95" hidden="1" customHeight="1" outlineLevel="1">
      <c r="B51" s="844"/>
      <c r="C51" s="193"/>
      <c r="D51" s="178"/>
      <c r="E51" s="194"/>
      <c r="F51" s="424"/>
      <c r="G51" s="181"/>
      <c r="H51" s="182"/>
      <c r="I51" s="362" t="str">
        <f t="shared" si="4"/>
        <v/>
      </c>
      <c r="J51" s="521" t="str">
        <f t="shared" si="3"/>
        <v/>
      </c>
      <c r="K51" s="183"/>
      <c r="L51" s="183"/>
      <c r="M51" s="184"/>
      <c r="N51" s="183"/>
      <c r="O51" s="185"/>
      <c r="P51" s="186"/>
      <c r="Q51" s="187"/>
      <c r="R51" s="188"/>
      <c r="S51" s="189"/>
      <c r="T51" s="190"/>
      <c r="U51" s="191"/>
      <c r="V51" s="192"/>
      <c r="W51" s="259"/>
    </row>
    <row r="52" spans="2:23" ht="12.95" hidden="1" customHeight="1" outlineLevel="1">
      <c r="B52" s="844"/>
      <c r="C52" s="193"/>
      <c r="D52" s="178"/>
      <c r="E52" s="206"/>
      <c r="F52" s="428"/>
      <c r="G52" s="181"/>
      <c r="H52" s="182"/>
      <c r="I52" s="362" t="str">
        <f t="shared" si="4"/>
        <v/>
      </c>
      <c r="J52" s="521" t="str">
        <f t="shared" si="3"/>
        <v/>
      </c>
      <c r="K52" s="183"/>
      <c r="L52" s="183"/>
      <c r="M52" s="184"/>
      <c r="N52" s="183"/>
      <c r="O52" s="185"/>
      <c r="P52" s="186"/>
      <c r="Q52" s="187"/>
      <c r="R52" s="188"/>
      <c r="S52" s="189"/>
      <c r="T52" s="190"/>
      <c r="U52" s="191"/>
      <c r="V52" s="192"/>
      <c r="W52" s="259"/>
    </row>
    <row r="53" spans="2:23" ht="12.95" hidden="1" customHeight="1" outlineLevel="1">
      <c r="B53" s="844"/>
      <c r="C53" s="175"/>
      <c r="D53" s="178"/>
      <c r="E53" s="206"/>
      <c r="F53" s="424"/>
      <c r="G53" s="181"/>
      <c r="H53" s="182"/>
      <c r="I53" s="362" t="str">
        <f t="shared" si="4"/>
        <v/>
      </c>
      <c r="J53" s="521" t="str">
        <f t="shared" si="3"/>
        <v/>
      </c>
      <c r="K53" s="183"/>
      <c r="L53" s="183"/>
      <c r="M53" s="184"/>
      <c r="N53" s="183"/>
      <c r="O53" s="185"/>
      <c r="P53" s="186"/>
      <c r="Q53" s="187"/>
      <c r="R53" s="188"/>
      <c r="S53" s="189"/>
      <c r="T53" s="190"/>
      <c r="U53" s="191"/>
      <c r="V53" s="192"/>
      <c r="W53" s="259"/>
    </row>
    <row r="54" spans="2:23" ht="12.95" hidden="1" customHeight="1" outlineLevel="1">
      <c r="B54" s="844"/>
      <c r="C54" s="175"/>
      <c r="D54" s="178"/>
      <c r="E54" s="206"/>
      <c r="F54" s="424"/>
      <c r="G54" s="181"/>
      <c r="H54" s="182"/>
      <c r="I54" s="362" t="str">
        <f t="shared" si="4"/>
        <v/>
      </c>
      <c r="J54" s="521" t="str">
        <f t="shared" si="3"/>
        <v/>
      </c>
      <c r="K54" s="183"/>
      <c r="L54" s="183"/>
      <c r="M54" s="184"/>
      <c r="N54" s="183"/>
      <c r="O54" s="185"/>
      <c r="P54" s="186"/>
      <c r="Q54" s="187"/>
      <c r="R54" s="188"/>
      <c r="S54" s="189"/>
      <c r="T54" s="190"/>
      <c r="U54" s="191"/>
      <c r="V54" s="192"/>
      <c r="W54" s="259"/>
    </row>
    <row r="55" spans="2:23" ht="12.95" hidden="1" customHeight="1" outlineLevel="1">
      <c r="B55" s="844"/>
      <c r="C55" s="175"/>
      <c r="D55" s="178"/>
      <c r="E55" s="194"/>
      <c r="F55" s="424"/>
      <c r="G55" s="181"/>
      <c r="H55" s="182"/>
      <c r="I55" s="362" t="str">
        <f t="shared" si="4"/>
        <v/>
      </c>
      <c r="J55" s="521" t="str">
        <f t="shared" si="3"/>
        <v/>
      </c>
      <c r="K55" s="183"/>
      <c r="L55" s="183"/>
      <c r="M55" s="184"/>
      <c r="N55" s="183"/>
      <c r="O55" s="185"/>
      <c r="P55" s="186"/>
      <c r="Q55" s="187"/>
      <c r="R55" s="188"/>
      <c r="S55" s="189"/>
      <c r="T55" s="190"/>
      <c r="U55" s="191"/>
      <c r="V55" s="192"/>
      <c r="W55" s="259"/>
    </row>
    <row r="56" spans="2:23" ht="12.95" hidden="1" customHeight="1" outlineLevel="1">
      <c r="B56" s="844"/>
      <c r="C56" s="175"/>
      <c r="D56" s="178"/>
      <c r="E56" s="206"/>
      <c r="F56" s="424"/>
      <c r="G56" s="181"/>
      <c r="H56" s="182"/>
      <c r="I56" s="362" t="str">
        <f t="shared" si="4"/>
        <v/>
      </c>
      <c r="J56" s="521" t="str">
        <f t="shared" si="3"/>
        <v/>
      </c>
      <c r="K56" s="183"/>
      <c r="L56" s="183"/>
      <c r="M56" s="184"/>
      <c r="N56" s="183"/>
      <c r="O56" s="185"/>
      <c r="P56" s="186"/>
      <c r="Q56" s="187"/>
      <c r="R56" s="188"/>
      <c r="S56" s="189"/>
      <c r="T56" s="190"/>
      <c r="U56" s="191"/>
      <c r="V56" s="192"/>
      <c r="W56" s="259"/>
    </row>
    <row r="57" spans="2:23" ht="12.95" hidden="1" customHeight="1" outlineLevel="1">
      <c r="B57" s="844"/>
      <c r="C57" s="195"/>
      <c r="D57" s="178"/>
      <c r="E57" s="196"/>
      <c r="F57" s="424"/>
      <c r="G57" s="181"/>
      <c r="H57" s="182"/>
      <c r="I57" s="362" t="str">
        <f t="shared" si="4"/>
        <v/>
      </c>
      <c r="J57" s="521" t="str">
        <f t="shared" si="3"/>
        <v/>
      </c>
      <c r="K57" s="183"/>
      <c r="L57" s="183"/>
      <c r="M57" s="184"/>
      <c r="N57" s="183"/>
      <c r="O57" s="185"/>
      <c r="P57" s="186"/>
      <c r="Q57" s="187"/>
      <c r="R57" s="188"/>
      <c r="S57" s="189"/>
      <c r="T57" s="190"/>
      <c r="U57" s="191"/>
      <c r="V57" s="192"/>
      <c r="W57" s="259"/>
    </row>
    <row r="58" spans="2:23" ht="12.95" hidden="1" customHeight="1" outlineLevel="1">
      <c r="B58" s="844"/>
      <c r="C58" s="195"/>
      <c r="D58" s="178"/>
      <c r="E58" s="196"/>
      <c r="F58" s="428"/>
      <c r="G58" s="181"/>
      <c r="H58" s="182"/>
      <c r="I58" s="362" t="str">
        <f t="shared" si="4"/>
        <v/>
      </c>
      <c r="J58" s="521" t="str">
        <f t="shared" si="3"/>
        <v/>
      </c>
      <c r="K58" s="183"/>
      <c r="L58" s="183"/>
      <c r="M58" s="184"/>
      <c r="N58" s="183"/>
      <c r="O58" s="185"/>
      <c r="P58" s="186"/>
      <c r="Q58" s="187"/>
      <c r="R58" s="188"/>
      <c r="S58" s="189"/>
      <c r="T58" s="190"/>
      <c r="U58" s="191"/>
      <c r="V58" s="192"/>
      <c r="W58" s="259"/>
    </row>
    <row r="59" spans="2:23" ht="12.95" hidden="1" customHeight="1" outlineLevel="1">
      <c r="B59" s="844"/>
      <c r="C59" s="195"/>
      <c r="D59" s="178"/>
      <c r="E59" s="196"/>
      <c r="F59" s="424"/>
      <c r="G59" s="181"/>
      <c r="H59" s="182"/>
      <c r="I59" s="362" t="str">
        <f t="shared" si="4"/>
        <v/>
      </c>
      <c r="J59" s="521" t="str">
        <f t="shared" si="3"/>
        <v/>
      </c>
      <c r="K59" s="183"/>
      <c r="L59" s="183"/>
      <c r="M59" s="184"/>
      <c r="N59" s="183"/>
      <c r="O59" s="185">
        <f t="shared" ref="O59:O99" si="5">IF(K59*L59*N59=0,0,(L59*N59)/K59)</f>
        <v>0</v>
      </c>
      <c r="P59" s="186"/>
      <c r="Q59" s="187"/>
      <c r="R59" s="188"/>
      <c r="S59" s="189"/>
      <c r="T59" s="190" t="str">
        <f t="shared" ref="T59:V60" si="6">IF(Q59="","",Q59*$D59)</f>
        <v/>
      </c>
      <c r="U59" s="191" t="str">
        <f t="shared" si="6"/>
        <v/>
      </c>
      <c r="V59" s="192" t="str">
        <f t="shared" si="6"/>
        <v/>
      </c>
      <c r="W59" s="259"/>
    </row>
    <row r="60" spans="2:23" ht="12.95" hidden="1" customHeight="1" outlineLevel="1" thickBot="1">
      <c r="B60" s="844"/>
      <c r="C60" s="257"/>
      <c r="D60" s="237"/>
      <c r="E60" s="258"/>
      <c r="F60" s="425"/>
      <c r="G60" s="239"/>
      <c r="H60" s="240"/>
      <c r="I60" s="363" t="str">
        <f t="shared" si="4"/>
        <v/>
      </c>
      <c r="J60" s="522" t="str">
        <f t="shared" si="3"/>
        <v/>
      </c>
      <c r="K60" s="241"/>
      <c r="L60" s="241"/>
      <c r="M60" s="242"/>
      <c r="N60" s="241"/>
      <c r="O60" s="243">
        <f t="shared" si="5"/>
        <v>0</v>
      </c>
      <c r="P60" s="244"/>
      <c r="Q60" s="245"/>
      <c r="R60" s="246"/>
      <c r="S60" s="247"/>
      <c r="T60" s="248" t="str">
        <f t="shared" si="6"/>
        <v/>
      </c>
      <c r="U60" s="249" t="str">
        <f t="shared" si="6"/>
        <v/>
      </c>
      <c r="V60" s="250" t="str">
        <f t="shared" si="6"/>
        <v/>
      </c>
      <c r="W60" s="251"/>
    </row>
    <row r="61" spans="2:23" ht="12.95" customHeight="1" collapsed="1" thickBot="1">
      <c r="B61" s="845"/>
      <c r="C61" s="335" t="s">
        <v>289</v>
      </c>
      <c r="D61" s="236"/>
      <c r="E61" s="336"/>
      <c r="F61" s="426"/>
      <c r="G61" s="337"/>
      <c r="H61" s="338"/>
      <c r="I61" s="347"/>
      <c r="J61" s="519">
        <f>SUM(J21:J60)</f>
        <v>0</v>
      </c>
      <c r="K61" s="339"/>
      <c r="L61" s="339"/>
      <c r="M61" s="340"/>
      <c r="N61" s="339"/>
      <c r="O61" s="341"/>
      <c r="P61" s="342"/>
      <c r="Q61" s="343"/>
      <c r="R61" s="344"/>
      <c r="S61" s="345"/>
      <c r="T61" s="346"/>
      <c r="U61" s="347"/>
      <c r="V61" s="348"/>
      <c r="W61" s="349"/>
    </row>
    <row r="62" spans="2:23" ht="12.95" customHeight="1">
      <c r="B62" s="843" t="s">
        <v>148</v>
      </c>
      <c r="C62" s="359" t="str">
        <f>科目設定!G2</f>
        <v>ガソリン</v>
      </c>
      <c r="D62" s="360">
        <f>SUMIF(③労働時間!$K$5:$K$353,$C62,③労働時間!$N$5:$N$353)</f>
        <v>0</v>
      </c>
      <c r="E62" s="364" t="s">
        <v>204</v>
      </c>
      <c r="F62" s="423">
        <v>137</v>
      </c>
      <c r="G62" s="222">
        <v>1</v>
      </c>
      <c r="H62" s="223">
        <v>1</v>
      </c>
      <c r="I62" s="528" t="str">
        <f>IF(D62=0,"",D62*1/G62*H62)</f>
        <v/>
      </c>
      <c r="J62" s="520">
        <f>IF(D62=0,0,ROUND(F62*I62,0))</f>
        <v>0</v>
      </c>
      <c r="K62" s="224"/>
      <c r="L62" s="224"/>
      <c r="M62" s="225"/>
      <c r="N62" s="224"/>
      <c r="O62" s="226">
        <v>0</v>
      </c>
      <c r="P62" s="227"/>
      <c r="Q62" s="228"/>
      <c r="R62" s="229"/>
      <c r="S62" s="230"/>
      <c r="T62" s="231" t="s">
        <v>288</v>
      </c>
      <c r="U62" s="232" t="s">
        <v>288</v>
      </c>
      <c r="V62" s="233" t="s">
        <v>288</v>
      </c>
      <c r="W62" s="234" t="s">
        <v>666</v>
      </c>
    </row>
    <row r="63" spans="2:23" ht="12.95" customHeight="1">
      <c r="B63" s="844"/>
      <c r="C63" s="361" t="str">
        <f>科目設定!G3</f>
        <v>軽油</v>
      </c>
      <c r="D63" s="362">
        <f>SUMIF(③労働時間!$K$5:$K$353,$C63,③労働時間!$N$5:$N$353)</f>
        <v>0</v>
      </c>
      <c r="E63" s="365" t="s">
        <v>204</v>
      </c>
      <c r="F63" s="424">
        <v>93.8</v>
      </c>
      <c r="G63" s="181">
        <v>1</v>
      </c>
      <c r="H63" s="182">
        <v>1</v>
      </c>
      <c r="I63" s="529" t="str">
        <f t="shared" ref="I63" si="7">IF(D63=0,"",D63*1/G63*H63)</f>
        <v/>
      </c>
      <c r="J63" s="521">
        <f>IF(D63=0,0,ROUND(F63*I63,0))</f>
        <v>0</v>
      </c>
      <c r="K63" s="183"/>
      <c r="L63" s="183"/>
      <c r="M63" s="184"/>
      <c r="N63" s="183"/>
      <c r="O63" s="185">
        <v>0</v>
      </c>
      <c r="P63" s="186"/>
      <c r="Q63" s="187"/>
      <c r="R63" s="188"/>
      <c r="S63" s="189"/>
      <c r="T63" s="190" t="s">
        <v>288</v>
      </c>
      <c r="U63" s="191" t="s">
        <v>288</v>
      </c>
      <c r="V63" s="192" t="s">
        <v>288</v>
      </c>
      <c r="W63" s="259" t="s">
        <v>666</v>
      </c>
    </row>
    <row r="64" spans="2:23" ht="12.95" customHeight="1">
      <c r="B64" s="844"/>
      <c r="C64" s="361" t="str">
        <f>科目設定!G4</f>
        <v>Ａ重油</v>
      </c>
      <c r="D64" s="362">
        <f>SUMIF(③労働時間!$K$5:$K$353,$C64,③労働時間!$N$5:$N$353)</f>
        <v>0</v>
      </c>
      <c r="E64" s="365" t="s">
        <v>204</v>
      </c>
      <c r="F64" s="424">
        <v>75.900000000000006</v>
      </c>
      <c r="G64" s="181">
        <v>1</v>
      </c>
      <c r="H64" s="182">
        <v>1</v>
      </c>
      <c r="I64" s="529" t="str">
        <f t="shared" ref="I64:I70" si="8">IF(D64=0,"",D64*1/G64*H64)</f>
        <v/>
      </c>
      <c r="J64" s="521" t="str">
        <f t="shared" ref="J64:J70" si="9">IF(D64=0,"",ROUND(F64*I64,0))</f>
        <v/>
      </c>
      <c r="K64" s="183"/>
      <c r="L64" s="183"/>
      <c r="M64" s="184"/>
      <c r="N64" s="183"/>
      <c r="O64" s="185">
        <v>0</v>
      </c>
      <c r="P64" s="186"/>
      <c r="Q64" s="187"/>
      <c r="R64" s="188"/>
      <c r="S64" s="189"/>
      <c r="T64" s="190" t="s">
        <v>288</v>
      </c>
      <c r="U64" s="191" t="s">
        <v>288</v>
      </c>
      <c r="V64" s="192" t="s">
        <v>288</v>
      </c>
      <c r="W64" s="259" t="s">
        <v>666</v>
      </c>
    </row>
    <row r="65" spans="2:23" ht="12.95" customHeight="1">
      <c r="B65" s="844"/>
      <c r="C65" s="361" t="str">
        <f>科目設定!G5</f>
        <v>電気料</v>
      </c>
      <c r="D65" s="362">
        <f>SUMIF(③労働時間!$K$5:$K$353,$C65,③労働時間!$N$5:$N$353)</f>
        <v>0</v>
      </c>
      <c r="E65" s="365" t="s">
        <v>204</v>
      </c>
      <c r="F65" s="424"/>
      <c r="G65" s="181"/>
      <c r="H65" s="182"/>
      <c r="I65" s="529" t="str">
        <f t="shared" si="8"/>
        <v/>
      </c>
      <c r="J65" s="521" t="str">
        <f t="shared" si="9"/>
        <v/>
      </c>
      <c r="K65" s="183"/>
      <c r="L65" s="183"/>
      <c r="M65" s="184"/>
      <c r="N65" s="183"/>
      <c r="O65" s="185"/>
      <c r="P65" s="186"/>
      <c r="Q65" s="187"/>
      <c r="R65" s="188"/>
      <c r="S65" s="189"/>
      <c r="T65" s="190" t="s">
        <v>288</v>
      </c>
      <c r="U65" s="191" t="s">
        <v>288</v>
      </c>
      <c r="V65" s="192" t="s">
        <v>288</v>
      </c>
      <c r="W65" s="259"/>
    </row>
    <row r="66" spans="2:23" ht="12.95" customHeight="1">
      <c r="B66" s="844"/>
      <c r="C66" s="361" t="str">
        <f>科目設定!G6</f>
        <v>水道</v>
      </c>
      <c r="D66" s="362">
        <f>SUMIF(③労働時間!$K$5:$K$353,$C66,③労働時間!$N$5:$N$353)</f>
        <v>0</v>
      </c>
      <c r="E66" s="365" t="s">
        <v>204</v>
      </c>
      <c r="F66" s="424"/>
      <c r="G66" s="181"/>
      <c r="H66" s="182"/>
      <c r="I66" s="529" t="str">
        <f t="shared" si="8"/>
        <v/>
      </c>
      <c r="J66" s="521" t="str">
        <f t="shared" si="9"/>
        <v/>
      </c>
      <c r="K66" s="183"/>
      <c r="L66" s="183"/>
      <c r="M66" s="184"/>
      <c r="N66" s="183"/>
      <c r="O66" s="185"/>
      <c r="P66" s="186"/>
      <c r="Q66" s="187"/>
      <c r="R66" s="188"/>
      <c r="S66" s="189"/>
      <c r="T66" s="190"/>
      <c r="U66" s="191"/>
      <c r="V66" s="192"/>
      <c r="W66" s="259"/>
    </row>
    <row r="67" spans="2:23" ht="12.95" customHeight="1">
      <c r="B67" s="844"/>
      <c r="C67" s="361" t="str">
        <f>科目設定!G7</f>
        <v>灯油</v>
      </c>
      <c r="D67" s="362">
        <f>SUMIF(③労働時間!$K$5:$K$353,$C67,③労働時間!$N$5:$N$353)</f>
        <v>0</v>
      </c>
      <c r="E67" s="365" t="s">
        <v>204</v>
      </c>
      <c r="F67" s="424">
        <v>95</v>
      </c>
      <c r="G67" s="181"/>
      <c r="H67" s="182"/>
      <c r="I67" s="529" t="str">
        <f t="shared" si="8"/>
        <v/>
      </c>
      <c r="J67" s="521" t="str">
        <f t="shared" si="9"/>
        <v/>
      </c>
      <c r="K67" s="183"/>
      <c r="L67" s="183"/>
      <c r="M67" s="184"/>
      <c r="N67" s="183"/>
      <c r="O67" s="185"/>
      <c r="P67" s="186"/>
      <c r="Q67" s="187"/>
      <c r="R67" s="188"/>
      <c r="S67" s="189"/>
      <c r="T67" s="190"/>
      <c r="U67" s="191"/>
      <c r="V67" s="192"/>
      <c r="W67" s="259" t="s">
        <v>666</v>
      </c>
    </row>
    <row r="68" spans="2:23" ht="12.95" customHeight="1">
      <c r="B68" s="844"/>
      <c r="C68" s="361" t="str">
        <f>科目設定!G8</f>
        <v>混合油</v>
      </c>
      <c r="D68" s="362">
        <f>SUMIF(③労働時間!$K$5:$K$353,$C68,③労働時間!$N$5:$N$353)</f>
        <v>0.70001120017920293</v>
      </c>
      <c r="E68" s="365" t="s">
        <v>204</v>
      </c>
      <c r="F68" s="424">
        <f>F62*1.5</f>
        <v>205.5</v>
      </c>
      <c r="G68" s="181">
        <v>1</v>
      </c>
      <c r="H68" s="182">
        <v>1</v>
      </c>
      <c r="I68" s="529">
        <f t="shared" si="8"/>
        <v>0.70001120017920293</v>
      </c>
      <c r="J68" s="521">
        <f t="shared" si="9"/>
        <v>144</v>
      </c>
      <c r="K68" s="183"/>
      <c r="L68" s="183"/>
      <c r="M68" s="184"/>
      <c r="N68" s="183"/>
      <c r="O68" s="185"/>
      <c r="P68" s="186"/>
      <c r="Q68" s="187"/>
      <c r="R68" s="188"/>
      <c r="S68" s="189"/>
      <c r="T68" s="190"/>
      <c r="U68" s="191"/>
      <c r="V68" s="192"/>
      <c r="W68" s="259"/>
    </row>
    <row r="69" spans="2:23" ht="12.95" customHeight="1">
      <c r="B69" s="844"/>
      <c r="C69" s="361" t="str">
        <f>科目設定!G9</f>
        <v>オイル(自動計算)</v>
      </c>
      <c r="D69" s="678">
        <v>0</v>
      </c>
      <c r="E69" s="679" t="s">
        <v>496</v>
      </c>
      <c r="F69" s="680"/>
      <c r="G69" s="681">
        <v>1</v>
      </c>
      <c r="H69" s="682">
        <v>1</v>
      </c>
      <c r="I69" s="683"/>
      <c r="J69" s="521" t="str">
        <f>IF(D69=0,"",ROUND((J63+J64)*0.3,0))</f>
        <v/>
      </c>
      <c r="K69" s="183"/>
      <c r="L69" s="183"/>
      <c r="M69" s="184"/>
      <c r="N69" s="183"/>
      <c r="O69" s="185">
        <f t="shared" si="5"/>
        <v>0</v>
      </c>
      <c r="P69" s="186"/>
      <c r="Q69" s="187"/>
      <c r="R69" s="188"/>
      <c r="S69" s="189"/>
      <c r="T69" s="190" t="str">
        <f t="shared" ref="T69:V71" si="10">IF(Q69="","",Q69*$D69)</f>
        <v/>
      </c>
      <c r="U69" s="191" t="str">
        <f t="shared" si="10"/>
        <v/>
      </c>
      <c r="V69" s="192" t="str">
        <f t="shared" si="10"/>
        <v/>
      </c>
      <c r="W69" s="259"/>
    </row>
    <row r="70" spans="2:23" ht="12.95" customHeight="1">
      <c r="B70" s="844"/>
      <c r="C70" s="690" t="s">
        <v>667</v>
      </c>
      <c r="D70" s="691"/>
      <c r="E70" s="692"/>
      <c r="F70" s="424"/>
      <c r="G70" s="181"/>
      <c r="H70" s="182"/>
      <c r="I70" s="529" t="str">
        <f t="shared" si="8"/>
        <v/>
      </c>
      <c r="J70" s="521" t="str">
        <f t="shared" si="9"/>
        <v/>
      </c>
      <c r="K70" s="183"/>
      <c r="L70" s="183"/>
      <c r="M70" s="184"/>
      <c r="N70" s="183"/>
      <c r="O70" s="185">
        <f t="shared" si="5"/>
        <v>0</v>
      </c>
      <c r="P70" s="186"/>
      <c r="Q70" s="187"/>
      <c r="R70" s="188"/>
      <c r="S70" s="189"/>
      <c r="T70" s="190" t="str">
        <f t="shared" si="10"/>
        <v/>
      </c>
      <c r="U70" s="191" t="str">
        <f t="shared" si="10"/>
        <v/>
      </c>
      <c r="V70" s="192" t="str">
        <f t="shared" si="10"/>
        <v/>
      </c>
      <c r="W70" s="259"/>
    </row>
    <row r="71" spans="2:23" ht="12.95" customHeight="1" thickBot="1">
      <c r="B71" s="844"/>
      <c r="C71" s="684"/>
      <c r="D71" s="685"/>
      <c r="E71" s="686"/>
      <c r="F71" s="687"/>
      <c r="G71" s="688"/>
      <c r="H71" s="689"/>
      <c r="I71" s="530"/>
      <c r="J71" s="522"/>
      <c r="K71" s="241"/>
      <c r="L71" s="241"/>
      <c r="M71" s="242"/>
      <c r="N71" s="241"/>
      <c r="O71" s="243">
        <f t="shared" si="5"/>
        <v>0</v>
      </c>
      <c r="P71" s="244"/>
      <c r="Q71" s="245"/>
      <c r="R71" s="246"/>
      <c r="S71" s="247"/>
      <c r="T71" s="248" t="str">
        <f t="shared" si="10"/>
        <v/>
      </c>
      <c r="U71" s="249" t="str">
        <f t="shared" si="10"/>
        <v/>
      </c>
      <c r="V71" s="250" t="str">
        <f t="shared" si="10"/>
        <v/>
      </c>
      <c r="W71" s="251"/>
    </row>
    <row r="72" spans="2:23" ht="12.95" customHeight="1" thickTop="1" thickBot="1">
      <c r="B72" s="845"/>
      <c r="C72" s="335" t="s">
        <v>289</v>
      </c>
      <c r="D72" s="236"/>
      <c r="E72" s="336"/>
      <c r="F72" s="426"/>
      <c r="G72" s="337"/>
      <c r="H72" s="338"/>
      <c r="I72" s="347"/>
      <c r="J72" s="519">
        <f>SUM(J62:J71)</f>
        <v>144</v>
      </c>
      <c r="K72" s="339"/>
      <c r="L72" s="339"/>
      <c r="M72" s="340"/>
      <c r="N72" s="339"/>
      <c r="O72" s="341"/>
      <c r="P72" s="342"/>
      <c r="Q72" s="343"/>
      <c r="R72" s="344"/>
      <c r="S72" s="345"/>
      <c r="T72" s="346"/>
      <c r="U72" s="347"/>
      <c r="V72" s="348"/>
      <c r="W72" s="349"/>
    </row>
    <row r="73" spans="2:23" ht="12.95" customHeight="1">
      <c r="B73" s="843" t="s">
        <v>115</v>
      </c>
      <c r="C73" s="261" t="s">
        <v>500</v>
      </c>
      <c r="D73" s="220">
        <v>0.2</v>
      </c>
      <c r="E73" s="262" t="s">
        <v>501</v>
      </c>
      <c r="F73" s="423">
        <v>272500</v>
      </c>
      <c r="G73" s="222">
        <v>1</v>
      </c>
      <c r="H73" s="223">
        <v>1</v>
      </c>
      <c r="I73" s="360">
        <f t="shared" ref="I73:I109" si="11">IF(C73=0,"",D73*1/G73*H73)</f>
        <v>0.2</v>
      </c>
      <c r="J73" s="520">
        <f t="shared" si="3"/>
        <v>54500</v>
      </c>
      <c r="K73" s="224"/>
      <c r="L73" s="224"/>
      <c r="M73" s="225"/>
      <c r="N73" s="224"/>
      <c r="O73" s="226">
        <v>0</v>
      </c>
      <c r="P73" s="227"/>
      <c r="Q73" s="228"/>
      <c r="R73" s="229"/>
      <c r="S73" s="230"/>
      <c r="T73" s="231" t="s">
        <v>288</v>
      </c>
      <c r="U73" s="232" t="s">
        <v>288</v>
      </c>
      <c r="V73" s="233" t="s">
        <v>288</v>
      </c>
      <c r="W73" s="234" t="s">
        <v>503</v>
      </c>
    </row>
    <row r="74" spans="2:23" ht="12.95" customHeight="1">
      <c r="B74" s="844"/>
      <c r="C74" s="197" t="s">
        <v>502</v>
      </c>
      <c r="D74" s="178">
        <v>0.2</v>
      </c>
      <c r="E74" s="196" t="s">
        <v>501</v>
      </c>
      <c r="F74" s="424">
        <v>3240</v>
      </c>
      <c r="G74" s="181">
        <v>1</v>
      </c>
      <c r="H74" s="182">
        <v>1</v>
      </c>
      <c r="I74" s="362">
        <f t="shared" si="11"/>
        <v>0.2</v>
      </c>
      <c r="J74" s="521">
        <f t="shared" si="3"/>
        <v>648</v>
      </c>
      <c r="K74" s="183"/>
      <c r="L74" s="183"/>
      <c r="M74" s="184"/>
      <c r="N74" s="183"/>
      <c r="O74" s="185">
        <v>0</v>
      </c>
      <c r="P74" s="186"/>
      <c r="Q74" s="187"/>
      <c r="R74" s="188"/>
      <c r="S74" s="189"/>
      <c r="T74" s="190" t="s">
        <v>288</v>
      </c>
      <c r="U74" s="191" t="s">
        <v>288</v>
      </c>
      <c r="V74" s="192" t="s">
        <v>288</v>
      </c>
      <c r="W74" s="259" t="s">
        <v>504</v>
      </c>
    </row>
    <row r="75" spans="2:23" ht="12.95" customHeight="1">
      <c r="B75" s="844"/>
      <c r="C75" s="197" t="s">
        <v>509</v>
      </c>
      <c r="D75" s="178">
        <v>0.1</v>
      </c>
      <c r="E75" s="196" t="s">
        <v>158</v>
      </c>
      <c r="F75" s="424">
        <v>37800</v>
      </c>
      <c r="G75" s="181">
        <v>10</v>
      </c>
      <c r="H75" s="182">
        <v>1</v>
      </c>
      <c r="I75" s="362">
        <f t="shared" si="11"/>
        <v>0.01</v>
      </c>
      <c r="J75" s="521">
        <f t="shared" si="3"/>
        <v>378</v>
      </c>
      <c r="K75" s="183"/>
      <c r="L75" s="183"/>
      <c r="M75" s="184"/>
      <c r="N75" s="183"/>
      <c r="O75" s="185">
        <v>0</v>
      </c>
      <c r="P75" s="186"/>
      <c r="Q75" s="187"/>
      <c r="R75" s="188"/>
      <c r="S75" s="189"/>
      <c r="T75" s="190" t="s">
        <v>288</v>
      </c>
      <c r="U75" s="191" t="s">
        <v>288</v>
      </c>
      <c r="V75" s="192" t="s">
        <v>288</v>
      </c>
      <c r="W75" s="264" t="s">
        <v>521</v>
      </c>
    </row>
    <row r="76" spans="2:23" ht="12.95" customHeight="1">
      <c r="B76" s="844"/>
      <c r="C76" s="197" t="s">
        <v>510</v>
      </c>
      <c r="D76" s="178">
        <v>12</v>
      </c>
      <c r="E76" s="196" t="s">
        <v>215</v>
      </c>
      <c r="F76" s="424">
        <v>421</v>
      </c>
      <c r="G76" s="181">
        <v>5</v>
      </c>
      <c r="H76" s="182">
        <v>1</v>
      </c>
      <c r="I76" s="362">
        <f t="shared" si="11"/>
        <v>2.4</v>
      </c>
      <c r="J76" s="521">
        <f t="shared" ref="J76:J109" si="12">IF(C76=0,"",ROUND(F76*I76,0))</f>
        <v>1010</v>
      </c>
      <c r="K76" s="183"/>
      <c r="L76" s="183"/>
      <c r="M76" s="184"/>
      <c r="N76" s="183"/>
      <c r="O76" s="185">
        <v>0</v>
      </c>
      <c r="P76" s="186"/>
      <c r="Q76" s="187"/>
      <c r="R76" s="188"/>
      <c r="S76" s="189"/>
      <c r="T76" s="190" t="s">
        <v>288</v>
      </c>
      <c r="U76" s="191" t="s">
        <v>288</v>
      </c>
      <c r="V76" s="192" t="s">
        <v>288</v>
      </c>
      <c r="W76" s="264" t="s">
        <v>522</v>
      </c>
    </row>
    <row r="77" spans="2:23" ht="12.95" customHeight="1">
      <c r="B77" s="844"/>
      <c r="C77" s="197" t="s">
        <v>511</v>
      </c>
      <c r="D77" s="178">
        <v>2</v>
      </c>
      <c r="E77" s="196" t="s">
        <v>215</v>
      </c>
      <c r="F77" s="424">
        <v>583</v>
      </c>
      <c r="G77" s="181">
        <v>5</v>
      </c>
      <c r="H77" s="182">
        <v>1</v>
      </c>
      <c r="I77" s="362">
        <f t="shared" si="11"/>
        <v>0.4</v>
      </c>
      <c r="J77" s="521">
        <f t="shared" si="12"/>
        <v>233</v>
      </c>
      <c r="K77" s="183"/>
      <c r="L77" s="183"/>
      <c r="M77" s="184"/>
      <c r="N77" s="183"/>
      <c r="O77" s="185">
        <v>0</v>
      </c>
      <c r="P77" s="186"/>
      <c r="Q77" s="187"/>
      <c r="R77" s="188"/>
      <c r="S77" s="189"/>
      <c r="T77" s="190" t="s">
        <v>288</v>
      </c>
      <c r="U77" s="191" t="s">
        <v>288</v>
      </c>
      <c r="V77" s="192" t="s">
        <v>288</v>
      </c>
      <c r="W77" s="264" t="s">
        <v>523</v>
      </c>
    </row>
    <row r="78" spans="2:23" ht="12.95" customHeight="1">
      <c r="B78" s="844"/>
      <c r="C78" s="197" t="s">
        <v>512</v>
      </c>
      <c r="D78" s="178">
        <v>0.6</v>
      </c>
      <c r="E78" s="196" t="s">
        <v>117</v>
      </c>
      <c r="F78" s="424">
        <v>756</v>
      </c>
      <c r="G78" s="181">
        <v>5</v>
      </c>
      <c r="H78" s="182">
        <v>1</v>
      </c>
      <c r="I78" s="362">
        <f t="shared" si="11"/>
        <v>0.12</v>
      </c>
      <c r="J78" s="521">
        <f t="shared" si="12"/>
        <v>91</v>
      </c>
      <c r="K78" s="183"/>
      <c r="L78" s="183"/>
      <c r="M78" s="184"/>
      <c r="N78" s="183"/>
      <c r="O78" s="185">
        <v>0</v>
      </c>
      <c r="P78" s="186"/>
      <c r="Q78" s="187"/>
      <c r="R78" s="188"/>
      <c r="S78" s="189"/>
      <c r="T78" s="190" t="s">
        <v>288</v>
      </c>
      <c r="U78" s="191" t="s">
        <v>288</v>
      </c>
      <c r="V78" s="192" t="s">
        <v>288</v>
      </c>
      <c r="W78" s="264" t="s">
        <v>524</v>
      </c>
    </row>
    <row r="79" spans="2:23" ht="12.95" customHeight="1">
      <c r="B79" s="844"/>
      <c r="C79" s="197" t="s">
        <v>513</v>
      </c>
      <c r="D79" s="178">
        <v>0.1</v>
      </c>
      <c r="E79" s="196" t="s">
        <v>215</v>
      </c>
      <c r="F79" s="424">
        <v>2160</v>
      </c>
      <c r="G79" s="181">
        <v>5</v>
      </c>
      <c r="H79" s="182">
        <v>1</v>
      </c>
      <c r="I79" s="362">
        <f t="shared" si="11"/>
        <v>0.02</v>
      </c>
      <c r="J79" s="521">
        <f t="shared" si="12"/>
        <v>43</v>
      </c>
      <c r="K79" s="183"/>
      <c r="L79" s="183"/>
      <c r="M79" s="184"/>
      <c r="N79" s="183"/>
      <c r="O79" s="185">
        <v>0</v>
      </c>
      <c r="P79" s="186"/>
      <c r="Q79" s="187"/>
      <c r="R79" s="188"/>
      <c r="S79" s="189"/>
      <c r="T79" s="190" t="s">
        <v>288</v>
      </c>
      <c r="U79" s="191" t="s">
        <v>288</v>
      </c>
      <c r="V79" s="192" t="s">
        <v>288</v>
      </c>
      <c r="W79" s="264" t="s">
        <v>525</v>
      </c>
    </row>
    <row r="80" spans="2:23" ht="12.95" customHeight="1">
      <c r="B80" s="844"/>
      <c r="C80" s="197" t="s">
        <v>514</v>
      </c>
      <c r="D80" s="178">
        <v>0.3</v>
      </c>
      <c r="E80" s="196" t="s">
        <v>233</v>
      </c>
      <c r="F80" s="424">
        <v>6480</v>
      </c>
      <c r="G80" s="181">
        <v>3</v>
      </c>
      <c r="H80" s="182">
        <v>1</v>
      </c>
      <c r="I80" s="362">
        <f t="shared" si="11"/>
        <v>9.9999999999999992E-2</v>
      </c>
      <c r="J80" s="521">
        <f t="shared" si="12"/>
        <v>648</v>
      </c>
      <c r="K80" s="183"/>
      <c r="L80" s="183"/>
      <c r="M80" s="184"/>
      <c r="N80" s="183"/>
      <c r="O80" s="185">
        <v>0</v>
      </c>
      <c r="P80" s="186"/>
      <c r="Q80" s="187"/>
      <c r="R80" s="188"/>
      <c r="S80" s="189"/>
      <c r="T80" s="190" t="s">
        <v>288</v>
      </c>
      <c r="U80" s="191" t="s">
        <v>288</v>
      </c>
      <c r="V80" s="192" t="s">
        <v>288</v>
      </c>
      <c r="W80" s="264" t="s">
        <v>526</v>
      </c>
    </row>
    <row r="81" spans="2:23" ht="12.95" customHeight="1">
      <c r="B81" s="844"/>
      <c r="C81" s="197" t="s">
        <v>515</v>
      </c>
      <c r="D81" s="178">
        <v>0.1</v>
      </c>
      <c r="E81" s="196" t="s">
        <v>117</v>
      </c>
      <c r="F81" s="424">
        <v>14175</v>
      </c>
      <c r="G81" s="181">
        <v>10</v>
      </c>
      <c r="H81" s="182">
        <v>1</v>
      </c>
      <c r="I81" s="362">
        <f t="shared" si="11"/>
        <v>0.01</v>
      </c>
      <c r="J81" s="521">
        <f t="shared" si="12"/>
        <v>142</v>
      </c>
      <c r="K81" s="183"/>
      <c r="L81" s="183"/>
      <c r="M81" s="184"/>
      <c r="N81" s="183"/>
      <c r="O81" s="185">
        <v>0</v>
      </c>
      <c r="P81" s="186"/>
      <c r="Q81" s="187"/>
      <c r="R81" s="188"/>
      <c r="S81" s="189"/>
      <c r="T81" s="190" t="s">
        <v>288</v>
      </c>
      <c r="U81" s="191" t="s">
        <v>288</v>
      </c>
      <c r="V81" s="192" t="s">
        <v>288</v>
      </c>
      <c r="W81" s="264" t="s">
        <v>521</v>
      </c>
    </row>
    <row r="82" spans="2:23" ht="12.95" customHeight="1">
      <c r="B82" s="844"/>
      <c r="C82" s="197" t="s">
        <v>516</v>
      </c>
      <c r="D82" s="178">
        <v>0.4</v>
      </c>
      <c r="E82" s="196" t="s">
        <v>215</v>
      </c>
      <c r="F82" s="424">
        <v>1439</v>
      </c>
      <c r="G82" s="181">
        <v>5</v>
      </c>
      <c r="H82" s="182">
        <v>1</v>
      </c>
      <c r="I82" s="362">
        <f t="shared" si="11"/>
        <v>0.08</v>
      </c>
      <c r="J82" s="521">
        <f t="shared" si="12"/>
        <v>115</v>
      </c>
      <c r="K82" s="183"/>
      <c r="L82" s="183"/>
      <c r="M82" s="184"/>
      <c r="N82" s="183"/>
      <c r="O82" s="185">
        <v>0</v>
      </c>
      <c r="P82" s="186"/>
      <c r="Q82" s="187"/>
      <c r="R82" s="188"/>
      <c r="S82" s="189"/>
      <c r="T82" s="190" t="s">
        <v>288</v>
      </c>
      <c r="U82" s="191" t="s">
        <v>288</v>
      </c>
      <c r="V82" s="192" t="s">
        <v>288</v>
      </c>
      <c r="W82" s="264" t="s">
        <v>527</v>
      </c>
    </row>
    <row r="83" spans="2:23" ht="12.95" customHeight="1">
      <c r="B83" s="844"/>
      <c r="C83" s="197" t="s">
        <v>517</v>
      </c>
      <c r="D83" s="178">
        <v>0.8</v>
      </c>
      <c r="E83" s="196" t="s">
        <v>215</v>
      </c>
      <c r="F83" s="424">
        <v>755</v>
      </c>
      <c r="G83" s="181">
        <v>5</v>
      </c>
      <c r="H83" s="182">
        <v>1</v>
      </c>
      <c r="I83" s="362">
        <f t="shared" si="11"/>
        <v>0.16</v>
      </c>
      <c r="J83" s="521">
        <f t="shared" si="12"/>
        <v>121</v>
      </c>
      <c r="K83" s="183"/>
      <c r="L83" s="183"/>
      <c r="M83" s="184"/>
      <c r="N83" s="183"/>
      <c r="O83" s="185">
        <v>0</v>
      </c>
      <c r="P83" s="186"/>
      <c r="Q83" s="187"/>
      <c r="R83" s="188"/>
      <c r="S83" s="189"/>
      <c r="T83" s="190" t="s">
        <v>288</v>
      </c>
      <c r="U83" s="191" t="s">
        <v>288</v>
      </c>
      <c r="V83" s="192" t="s">
        <v>288</v>
      </c>
      <c r="W83" s="264" t="s">
        <v>528</v>
      </c>
    </row>
    <row r="84" spans="2:23" ht="12.95" customHeight="1">
      <c r="B84" s="844"/>
      <c r="C84" s="197" t="s">
        <v>518</v>
      </c>
      <c r="D84" s="178">
        <v>0.4</v>
      </c>
      <c r="E84" s="196" t="s">
        <v>209</v>
      </c>
      <c r="F84" s="424">
        <v>576</v>
      </c>
      <c r="G84" s="181">
        <v>5</v>
      </c>
      <c r="H84" s="182">
        <v>1</v>
      </c>
      <c r="I84" s="362">
        <f t="shared" si="11"/>
        <v>0.08</v>
      </c>
      <c r="J84" s="521">
        <f t="shared" si="12"/>
        <v>46</v>
      </c>
      <c r="K84" s="183"/>
      <c r="L84" s="183"/>
      <c r="M84" s="184"/>
      <c r="N84" s="183"/>
      <c r="O84" s="185">
        <v>0</v>
      </c>
      <c r="P84" s="186"/>
      <c r="Q84" s="187"/>
      <c r="R84" s="188"/>
      <c r="S84" s="189"/>
      <c r="T84" s="190" t="s">
        <v>288</v>
      </c>
      <c r="U84" s="191" t="s">
        <v>288</v>
      </c>
      <c r="V84" s="192" t="s">
        <v>288</v>
      </c>
      <c r="W84" s="264" t="s">
        <v>527</v>
      </c>
    </row>
    <row r="85" spans="2:23" ht="12.95" customHeight="1">
      <c r="B85" s="844"/>
      <c r="C85" s="197" t="s">
        <v>519</v>
      </c>
      <c r="D85" s="178">
        <v>3</v>
      </c>
      <c r="E85" s="196" t="s">
        <v>117</v>
      </c>
      <c r="F85" s="424">
        <v>370</v>
      </c>
      <c r="G85" s="181">
        <v>5</v>
      </c>
      <c r="H85" s="182">
        <v>1</v>
      </c>
      <c r="I85" s="362">
        <f t="shared" si="11"/>
        <v>0.6</v>
      </c>
      <c r="J85" s="521">
        <f t="shared" si="12"/>
        <v>222</v>
      </c>
      <c r="K85" s="183"/>
      <c r="L85" s="183"/>
      <c r="M85" s="184"/>
      <c r="N85" s="183"/>
      <c r="O85" s="185">
        <v>0</v>
      </c>
      <c r="P85" s="186"/>
      <c r="Q85" s="187"/>
      <c r="R85" s="188"/>
      <c r="S85" s="189"/>
      <c r="T85" s="190" t="s">
        <v>288</v>
      </c>
      <c r="U85" s="191" t="s">
        <v>288</v>
      </c>
      <c r="V85" s="192" t="s">
        <v>288</v>
      </c>
      <c r="W85" s="264" t="s">
        <v>529</v>
      </c>
    </row>
    <row r="86" spans="2:23" ht="12.95" customHeight="1">
      <c r="B86" s="844"/>
      <c r="C86" s="197" t="s">
        <v>520</v>
      </c>
      <c r="D86" s="178">
        <v>0.2</v>
      </c>
      <c r="E86" s="196" t="s">
        <v>100</v>
      </c>
      <c r="F86" s="424">
        <v>1091</v>
      </c>
      <c r="G86" s="181">
        <v>1</v>
      </c>
      <c r="H86" s="182">
        <v>1</v>
      </c>
      <c r="I86" s="362">
        <f t="shared" si="11"/>
        <v>0.2</v>
      </c>
      <c r="J86" s="521">
        <f t="shared" si="12"/>
        <v>218</v>
      </c>
      <c r="K86" s="183"/>
      <c r="L86" s="183"/>
      <c r="M86" s="184"/>
      <c r="N86" s="183"/>
      <c r="O86" s="185">
        <v>0</v>
      </c>
      <c r="P86" s="186"/>
      <c r="Q86" s="187"/>
      <c r="R86" s="188"/>
      <c r="S86" s="189"/>
      <c r="T86" s="190" t="s">
        <v>288</v>
      </c>
      <c r="U86" s="191" t="s">
        <v>288</v>
      </c>
      <c r="V86" s="192" t="s">
        <v>288</v>
      </c>
      <c r="W86" s="264" t="s">
        <v>530</v>
      </c>
    </row>
    <row r="87" spans="2:23" ht="12.95" customHeight="1">
      <c r="B87" s="844"/>
      <c r="C87" s="197" t="s">
        <v>531</v>
      </c>
      <c r="D87" s="693">
        <v>0.01</v>
      </c>
      <c r="E87" s="196" t="s">
        <v>215</v>
      </c>
      <c r="F87" s="424">
        <v>14364</v>
      </c>
      <c r="G87" s="181">
        <v>1</v>
      </c>
      <c r="H87" s="182">
        <v>1</v>
      </c>
      <c r="I87" s="362">
        <f t="shared" si="11"/>
        <v>0.01</v>
      </c>
      <c r="J87" s="521">
        <f t="shared" si="12"/>
        <v>144</v>
      </c>
      <c r="K87" s="183"/>
      <c r="L87" s="183"/>
      <c r="M87" s="184"/>
      <c r="N87" s="183"/>
      <c r="O87" s="185">
        <v>0</v>
      </c>
      <c r="P87" s="186"/>
      <c r="Q87" s="187"/>
      <c r="R87" s="188"/>
      <c r="S87" s="189"/>
      <c r="T87" s="190" t="s">
        <v>288</v>
      </c>
      <c r="U87" s="191" t="s">
        <v>288</v>
      </c>
      <c r="V87" s="192" t="s">
        <v>288</v>
      </c>
      <c r="W87" s="264" t="s">
        <v>532</v>
      </c>
    </row>
    <row r="88" spans="2:23" ht="12.95" customHeight="1">
      <c r="B88" s="844"/>
      <c r="C88" s="197" t="s">
        <v>531</v>
      </c>
      <c r="D88" s="693">
        <v>0.01</v>
      </c>
      <c r="E88" s="196" t="s">
        <v>215</v>
      </c>
      <c r="F88" s="424">
        <v>14364</v>
      </c>
      <c r="G88" s="181">
        <v>1</v>
      </c>
      <c r="H88" s="182">
        <v>1</v>
      </c>
      <c r="I88" s="362">
        <f t="shared" si="11"/>
        <v>0.01</v>
      </c>
      <c r="J88" s="521">
        <f t="shared" si="12"/>
        <v>144</v>
      </c>
      <c r="K88" s="183"/>
      <c r="L88" s="183"/>
      <c r="M88" s="184"/>
      <c r="N88" s="183"/>
      <c r="O88" s="185">
        <v>0</v>
      </c>
      <c r="P88" s="186"/>
      <c r="Q88" s="187"/>
      <c r="R88" s="188"/>
      <c r="S88" s="189"/>
      <c r="T88" s="190" t="s">
        <v>288</v>
      </c>
      <c r="U88" s="191" t="s">
        <v>288</v>
      </c>
      <c r="V88" s="192" t="s">
        <v>288</v>
      </c>
      <c r="W88" s="264" t="s">
        <v>532</v>
      </c>
    </row>
    <row r="89" spans="2:23" ht="12.95" customHeight="1">
      <c r="B89" s="844"/>
      <c r="C89" s="197" t="s">
        <v>531</v>
      </c>
      <c r="D89" s="693">
        <v>0.01</v>
      </c>
      <c r="E89" s="196" t="s">
        <v>215</v>
      </c>
      <c r="F89" s="424">
        <v>14364</v>
      </c>
      <c r="G89" s="181">
        <v>1</v>
      </c>
      <c r="H89" s="182">
        <v>1</v>
      </c>
      <c r="I89" s="362">
        <f t="shared" si="11"/>
        <v>0.01</v>
      </c>
      <c r="J89" s="521">
        <f t="shared" si="12"/>
        <v>144</v>
      </c>
      <c r="K89" s="183"/>
      <c r="L89" s="183"/>
      <c r="M89" s="184"/>
      <c r="N89" s="183"/>
      <c r="O89" s="185">
        <v>0</v>
      </c>
      <c r="P89" s="186"/>
      <c r="Q89" s="187"/>
      <c r="R89" s="188"/>
      <c r="S89" s="189"/>
      <c r="T89" s="190" t="s">
        <v>288</v>
      </c>
      <c r="U89" s="191" t="s">
        <v>288</v>
      </c>
      <c r="V89" s="192" t="s">
        <v>288</v>
      </c>
      <c r="W89" s="264" t="s">
        <v>532</v>
      </c>
    </row>
    <row r="90" spans="2:23" ht="12.95" customHeight="1">
      <c r="B90" s="844"/>
      <c r="C90" s="197" t="s">
        <v>531</v>
      </c>
      <c r="D90" s="693">
        <v>0.01</v>
      </c>
      <c r="E90" s="196" t="s">
        <v>215</v>
      </c>
      <c r="F90" s="424">
        <v>14364</v>
      </c>
      <c r="G90" s="181">
        <v>1</v>
      </c>
      <c r="H90" s="182">
        <v>1</v>
      </c>
      <c r="I90" s="362">
        <f t="shared" si="11"/>
        <v>0.01</v>
      </c>
      <c r="J90" s="521">
        <f t="shared" si="12"/>
        <v>144</v>
      </c>
      <c r="K90" s="183"/>
      <c r="L90" s="183"/>
      <c r="M90" s="184"/>
      <c r="N90" s="183"/>
      <c r="O90" s="185">
        <v>0</v>
      </c>
      <c r="P90" s="186"/>
      <c r="Q90" s="187"/>
      <c r="R90" s="188"/>
      <c r="S90" s="189"/>
      <c r="T90" s="190" t="s">
        <v>288</v>
      </c>
      <c r="U90" s="191" t="s">
        <v>288</v>
      </c>
      <c r="V90" s="192" t="s">
        <v>288</v>
      </c>
      <c r="W90" s="264" t="s">
        <v>532</v>
      </c>
    </row>
    <row r="91" spans="2:23" ht="12.95" customHeight="1">
      <c r="B91" s="844"/>
      <c r="C91" s="197" t="s">
        <v>531</v>
      </c>
      <c r="D91" s="693">
        <v>0.01</v>
      </c>
      <c r="E91" s="196" t="s">
        <v>215</v>
      </c>
      <c r="F91" s="424">
        <v>14364</v>
      </c>
      <c r="G91" s="181">
        <v>1</v>
      </c>
      <c r="H91" s="182">
        <v>1</v>
      </c>
      <c r="I91" s="362">
        <f t="shared" si="11"/>
        <v>0.01</v>
      </c>
      <c r="J91" s="521">
        <f t="shared" si="12"/>
        <v>144</v>
      </c>
      <c r="K91" s="183"/>
      <c r="L91" s="183"/>
      <c r="M91" s="184"/>
      <c r="N91" s="183"/>
      <c r="O91" s="185">
        <f t="shared" si="5"/>
        <v>0</v>
      </c>
      <c r="P91" s="186"/>
      <c r="Q91" s="187"/>
      <c r="R91" s="188"/>
      <c r="S91" s="189"/>
      <c r="T91" s="190" t="str">
        <f t="shared" ref="T91:T109" si="13">IF(Q91="","",Q91*$D91)</f>
        <v/>
      </c>
      <c r="U91" s="191" t="str">
        <f t="shared" ref="U91:U109" si="14">IF(R91="","",R91*$D91)</f>
        <v/>
      </c>
      <c r="V91" s="192" t="str">
        <f t="shared" ref="V91:V109" si="15">IF(S91="","",S91*$D91)</f>
        <v/>
      </c>
      <c r="W91" s="264" t="s">
        <v>532</v>
      </c>
    </row>
    <row r="92" spans="2:23" ht="12.95" customHeight="1">
      <c r="B92" s="844"/>
      <c r="C92" s="197" t="s">
        <v>531</v>
      </c>
      <c r="D92" s="693">
        <v>0.01</v>
      </c>
      <c r="E92" s="196" t="s">
        <v>215</v>
      </c>
      <c r="F92" s="424">
        <v>14364</v>
      </c>
      <c r="G92" s="181">
        <v>1</v>
      </c>
      <c r="H92" s="182">
        <v>1</v>
      </c>
      <c r="I92" s="362">
        <f t="shared" si="11"/>
        <v>0.01</v>
      </c>
      <c r="J92" s="521">
        <f t="shared" si="12"/>
        <v>144</v>
      </c>
      <c r="K92" s="183"/>
      <c r="L92" s="183"/>
      <c r="M92" s="184"/>
      <c r="N92" s="183"/>
      <c r="O92" s="185">
        <f t="shared" si="5"/>
        <v>0</v>
      </c>
      <c r="P92" s="186"/>
      <c r="Q92" s="187"/>
      <c r="R92" s="188"/>
      <c r="S92" s="189"/>
      <c r="T92" s="190" t="str">
        <f t="shared" si="13"/>
        <v/>
      </c>
      <c r="U92" s="191" t="str">
        <f t="shared" si="14"/>
        <v/>
      </c>
      <c r="V92" s="192" t="str">
        <f t="shared" si="15"/>
        <v/>
      </c>
      <c r="W92" s="264" t="s">
        <v>532</v>
      </c>
    </row>
    <row r="93" spans="2:23" ht="12.95" customHeight="1">
      <c r="B93" s="844"/>
      <c r="C93" s="197"/>
      <c r="D93" s="178"/>
      <c r="E93" s="196"/>
      <c r="F93" s="424"/>
      <c r="G93" s="181"/>
      <c r="H93" s="182"/>
      <c r="I93" s="362" t="str">
        <f t="shared" si="11"/>
        <v/>
      </c>
      <c r="J93" s="521" t="str">
        <f t="shared" si="12"/>
        <v/>
      </c>
      <c r="K93" s="183"/>
      <c r="L93" s="183"/>
      <c r="M93" s="184"/>
      <c r="N93" s="183"/>
      <c r="O93" s="185">
        <f t="shared" si="5"/>
        <v>0</v>
      </c>
      <c r="P93" s="186"/>
      <c r="Q93" s="187"/>
      <c r="R93" s="188"/>
      <c r="S93" s="189"/>
      <c r="T93" s="190" t="str">
        <f t="shared" si="13"/>
        <v/>
      </c>
      <c r="U93" s="191" t="str">
        <f t="shared" si="14"/>
        <v/>
      </c>
      <c r="V93" s="192" t="str">
        <f t="shared" si="15"/>
        <v/>
      </c>
      <c r="W93" s="264"/>
    </row>
    <row r="94" spans="2:23" ht="12.95" customHeight="1">
      <c r="B94" s="844"/>
      <c r="C94" s="197"/>
      <c r="D94" s="178"/>
      <c r="E94" s="196"/>
      <c r="F94" s="424"/>
      <c r="G94" s="181"/>
      <c r="H94" s="182"/>
      <c r="I94" s="362" t="str">
        <f t="shared" si="11"/>
        <v/>
      </c>
      <c r="J94" s="521" t="str">
        <f t="shared" si="12"/>
        <v/>
      </c>
      <c r="K94" s="183"/>
      <c r="L94" s="183"/>
      <c r="M94" s="184"/>
      <c r="N94" s="183"/>
      <c r="O94" s="185">
        <f t="shared" si="5"/>
        <v>0</v>
      </c>
      <c r="P94" s="186"/>
      <c r="Q94" s="187"/>
      <c r="R94" s="188"/>
      <c r="S94" s="189"/>
      <c r="T94" s="190" t="str">
        <f t="shared" si="13"/>
        <v/>
      </c>
      <c r="U94" s="191" t="str">
        <f t="shared" si="14"/>
        <v/>
      </c>
      <c r="V94" s="192" t="str">
        <f t="shared" si="15"/>
        <v/>
      </c>
      <c r="W94" s="264"/>
    </row>
    <row r="95" spans="2:23" ht="12.95" customHeight="1">
      <c r="B95" s="844"/>
      <c r="C95" s="197"/>
      <c r="D95" s="178"/>
      <c r="E95" s="196"/>
      <c r="F95" s="424"/>
      <c r="G95" s="181"/>
      <c r="H95" s="182"/>
      <c r="I95" s="362" t="str">
        <f t="shared" si="11"/>
        <v/>
      </c>
      <c r="J95" s="521" t="str">
        <f t="shared" si="12"/>
        <v/>
      </c>
      <c r="K95" s="183"/>
      <c r="L95" s="183"/>
      <c r="M95" s="184"/>
      <c r="N95" s="183"/>
      <c r="O95" s="185">
        <f t="shared" si="5"/>
        <v>0</v>
      </c>
      <c r="P95" s="186"/>
      <c r="Q95" s="187"/>
      <c r="R95" s="188"/>
      <c r="S95" s="189"/>
      <c r="T95" s="190" t="str">
        <f t="shared" si="13"/>
        <v/>
      </c>
      <c r="U95" s="191" t="str">
        <f t="shared" si="14"/>
        <v/>
      </c>
      <c r="V95" s="192" t="str">
        <f t="shared" si="15"/>
        <v/>
      </c>
      <c r="W95" s="264"/>
    </row>
    <row r="96" spans="2:23" ht="12.95" hidden="1" customHeight="1" outlineLevel="1">
      <c r="B96" s="844"/>
      <c r="C96" s="197"/>
      <c r="D96" s="178"/>
      <c r="E96" s="196"/>
      <c r="F96" s="424"/>
      <c r="G96" s="181"/>
      <c r="H96" s="182"/>
      <c r="I96" s="362" t="str">
        <f t="shared" si="11"/>
        <v/>
      </c>
      <c r="J96" s="521" t="str">
        <f t="shared" si="12"/>
        <v/>
      </c>
      <c r="K96" s="183"/>
      <c r="L96" s="183"/>
      <c r="M96" s="184"/>
      <c r="N96" s="183"/>
      <c r="O96" s="185">
        <f t="shared" si="5"/>
        <v>0</v>
      </c>
      <c r="P96" s="186"/>
      <c r="Q96" s="187"/>
      <c r="R96" s="188"/>
      <c r="S96" s="189"/>
      <c r="T96" s="190" t="str">
        <f t="shared" si="13"/>
        <v/>
      </c>
      <c r="U96" s="191" t="str">
        <f t="shared" si="14"/>
        <v/>
      </c>
      <c r="V96" s="192" t="str">
        <f t="shared" si="15"/>
        <v/>
      </c>
      <c r="W96" s="264"/>
    </row>
    <row r="97" spans="2:23" ht="12.95" hidden="1" customHeight="1" outlineLevel="1">
      <c r="B97" s="844"/>
      <c r="C97" s="197"/>
      <c r="D97" s="178"/>
      <c r="E97" s="196"/>
      <c r="F97" s="424"/>
      <c r="G97" s="181"/>
      <c r="H97" s="182"/>
      <c r="I97" s="362" t="str">
        <f t="shared" si="11"/>
        <v/>
      </c>
      <c r="J97" s="521" t="str">
        <f t="shared" si="12"/>
        <v/>
      </c>
      <c r="K97" s="183"/>
      <c r="L97" s="183"/>
      <c r="M97" s="184"/>
      <c r="N97" s="183"/>
      <c r="O97" s="185">
        <f t="shared" si="5"/>
        <v>0</v>
      </c>
      <c r="P97" s="186"/>
      <c r="Q97" s="187"/>
      <c r="R97" s="188"/>
      <c r="S97" s="189"/>
      <c r="T97" s="190" t="str">
        <f t="shared" si="13"/>
        <v/>
      </c>
      <c r="U97" s="191" t="str">
        <f t="shared" si="14"/>
        <v/>
      </c>
      <c r="V97" s="192" t="str">
        <f t="shared" si="15"/>
        <v/>
      </c>
      <c r="W97" s="264"/>
    </row>
    <row r="98" spans="2:23" ht="12.95" hidden="1" customHeight="1" outlineLevel="1">
      <c r="B98" s="844"/>
      <c r="C98" s="197"/>
      <c r="D98" s="178"/>
      <c r="E98" s="196"/>
      <c r="F98" s="424"/>
      <c r="G98" s="181"/>
      <c r="H98" s="182"/>
      <c r="I98" s="362" t="str">
        <f t="shared" si="11"/>
        <v/>
      </c>
      <c r="J98" s="521" t="str">
        <f t="shared" si="12"/>
        <v/>
      </c>
      <c r="K98" s="183"/>
      <c r="L98" s="183"/>
      <c r="M98" s="184"/>
      <c r="N98" s="183"/>
      <c r="O98" s="185">
        <f t="shared" si="5"/>
        <v>0</v>
      </c>
      <c r="P98" s="186"/>
      <c r="Q98" s="187"/>
      <c r="R98" s="188"/>
      <c r="S98" s="189"/>
      <c r="T98" s="190" t="str">
        <f t="shared" si="13"/>
        <v/>
      </c>
      <c r="U98" s="191" t="str">
        <f t="shared" si="14"/>
        <v/>
      </c>
      <c r="V98" s="192" t="str">
        <f t="shared" si="15"/>
        <v/>
      </c>
      <c r="W98" s="264"/>
    </row>
    <row r="99" spans="2:23" ht="12.95" hidden="1" customHeight="1" outlineLevel="1">
      <c r="B99" s="844"/>
      <c r="C99" s="195"/>
      <c r="D99" s="178"/>
      <c r="E99" s="196"/>
      <c r="F99" s="424"/>
      <c r="G99" s="198"/>
      <c r="H99" s="182"/>
      <c r="I99" s="362" t="str">
        <f t="shared" si="11"/>
        <v/>
      </c>
      <c r="J99" s="521" t="str">
        <f t="shared" si="12"/>
        <v/>
      </c>
      <c r="K99" s="183"/>
      <c r="L99" s="183"/>
      <c r="M99" s="184"/>
      <c r="N99" s="183"/>
      <c r="O99" s="185">
        <f t="shared" si="5"/>
        <v>0</v>
      </c>
      <c r="P99" s="186"/>
      <c r="Q99" s="187"/>
      <c r="R99" s="188"/>
      <c r="S99" s="189"/>
      <c r="T99" s="190" t="str">
        <f t="shared" si="13"/>
        <v/>
      </c>
      <c r="U99" s="191" t="str">
        <f t="shared" si="14"/>
        <v/>
      </c>
      <c r="V99" s="192" t="str">
        <f t="shared" si="15"/>
        <v/>
      </c>
      <c r="W99" s="264"/>
    </row>
    <row r="100" spans="2:23" ht="12.95" hidden="1" customHeight="1" outlineLevel="1">
      <c r="B100" s="844"/>
      <c r="C100" s="197"/>
      <c r="D100" s="178"/>
      <c r="E100" s="196"/>
      <c r="F100" s="424"/>
      <c r="G100" s="181"/>
      <c r="H100" s="182"/>
      <c r="I100" s="362" t="str">
        <f t="shared" si="11"/>
        <v/>
      </c>
      <c r="J100" s="521" t="str">
        <f t="shared" si="12"/>
        <v/>
      </c>
      <c r="K100" s="183"/>
      <c r="L100" s="183"/>
      <c r="M100" s="184"/>
      <c r="N100" s="183"/>
      <c r="O100" s="185">
        <f t="shared" ref="O100:O144" si="16">IF(K100*L100*N100=0,0,(L100*N100)/K100)</f>
        <v>0</v>
      </c>
      <c r="P100" s="186"/>
      <c r="Q100" s="187"/>
      <c r="R100" s="188"/>
      <c r="S100" s="189"/>
      <c r="T100" s="190" t="str">
        <f t="shared" si="13"/>
        <v/>
      </c>
      <c r="U100" s="191" t="str">
        <f t="shared" si="14"/>
        <v/>
      </c>
      <c r="V100" s="192" t="str">
        <f t="shared" si="15"/>
        <v/>
      </c>
      <c r="W100" s="264"/>
    </row>
    <row r="101" spans="2:23" ht="12.95" hidden="1" customHeight="1" outlineLevel="1">
      <c r="B101" s="844"/>
      <c r="C101" s="197"/>
      <c r="D101" s="178"/>
      <c r="E101" s="196"/>
      <c r="F101" s="424"/>
      <c r="G101" s="181"/>
      <c r="H101" s="182"/>
      <c r="I101" s="362" t="str">
        <f t="shared" si="11"/>
        <v/>
      </c>
      <c r="J101" s="521" t="str">
        <f t="shared" si="12"/>
        <v/>
      </c>
      <c r="K101" s="183"/>
      <c r="L101" s="183"/>
      <c r="M101" s="184"/>
      <c r="N101" s="183"/>
      <c r="O101" s="185">
        <f t="shared" si="16"/>
        <v>0</v>
      </c>
      <c r="P101" s="186"/>
      <c r="Q101" s="187"/>
      <c r="R101" s="188"/>
      <c r="S101" s="189"/>
      <c r="T101" s="190" t="str">
        <f t="shared" si="13"/>
        <v/>
      </c>
      <c r="U101" s="191" t="str">
        <f t="shared" si="14"/>
        <v/>
      </c>
      <c r="V101" s="192" t="str">
        <f t="shared" si="15"/>
        <v/>
      </c>
      <c r="W101" s="264"/>
    </row>
    <row r="102" spans="2:23" ht="12.95" hidden="1" customHeight="1" outlineLevel="1">
      <c r="B102" s="844"/>
      <c r="C102" s="193"/>
      <c r="D102" s="178"/>
      <c r="E102" s="194"/>
      <c r="F102" s="424"/>
      <c r="G102" s="181"/>
      <c r="H102" s="182"/>
      <c r="I102" s="362" t="str">
        <f t="shared" si="11"/>
        <v/>
      </c>
      <c r="J102" s="521" t="str">
        <f t="shared" si="12"/>
        <v/>
      </c>
      <c r="K102" s="183"/>
      <c r="L102" s="183"/>
      <c r="M102" s="184"/>
      <c r="N102" s="183"/>
      <c r="O102" s="185">
        <f t="shared" si="16"/>
        <v>0</v>
      </c>
      <c r="P102" s="186"/>
      <c r="Q102" s="187"/>
      <c r="R102" s="188"/>
      <c r="S102" s="189"/>
      <c r="T102" s="190" t="str">
        <f t="shared" si="13"/>
        <v/>
      </c>
      <c r="U102" s="191" t="str">
        <f t="shared" si="14"/>
        <v/>
      </c>
      <c r="V102" s="192" t="str">
        <f t="shared" si="15"/>
        <v/>
      </c>
      <c r="W102" s="264"/>
    </row>
    <row r="103" spans="2:23" ht="12.95" hidden="1" customHeight="1" outlineLevel="1">
      <c r="B103" s="844"/>
      <c r="C103" s="197"/>
      <c r="D103" s="178"/>
      <c r="E103" s="196"/>
      <c r="F103" s="424"/>
      <c r="G103" s="181"/>
      <c r="H103" s="182"/>
      <c r="I103" s="362" t="str">
        <f t="shared" si="11"/>
        <v/>
      </c>
      <c r="J103" s="521" t="str">
        <f t="shared" si="12"/>
        <v/>
      </c>
      <c r="K103" s="183"/>
      <c r="L103" s="183"/>
      <c r="M103" s="184"/>
      <c r="N103" s="183"/>
      <c r="O103" s="185">
        <f t="shared" si="16"/>
        <v>0</v>
      </c>
      <c r="P103" s="186"/>
      <c r="Q103" s="187"/>
      <c r="R103" s="188"/>
      <c r="S103" s="189"/>
      <c r="T103" s="190" t="str">
        <f t="shared" si="13"/>
        <v/>
      </c>
      <c r="U103" s="191" t="str">
        <f t="shared" si="14"/>
        <v/>
      </c>
      <c r="V103" s="192" t="str">
        <f t="shared" si="15"/>
        <v/>
      </c>
      <c r="W103" s="264"/>
    </row>
    <row r="104" spans="2:23" ht="12.95" hidden="1" customHeight="1" outlineLevel="1">
      <c r="B104" s="844"/>
      <c r="C104" s="197"/>
      <c r="D104" s="178"/>
      <c r="E104" s="196"/>
      <c r="F104" s="424"/>
      <c r="G104" s="181"/>
      <c r="H104" s="182"/>
      <c r="I104" s="362" t="str">
        <f t="shared" si="11"/>
        <v/>
      </c>
      <c r="J104" s="521" t="str">
        <f t="shared" si="12"/>
        <v/>
      </c>
      <c r="K104" s="183"/>
      <c r="L104" s="183"/>
      <c r="M104" s="184"/>
      <c r="N104" s="183"/>
      <c r="O104" s="185">
        <f t="shared" si="16"/>
        <v>0</v>
      </c>
      <c r="P104" s="186"/>
      <c r="Q104" s="187"/>
      <c r="R104" s="188"/>
      <c r="S104" s="189"/>
      <c r="T104" s="190" t="str">
        <f t="shared" si="13"/>
        <v/>
      </c>
      <c r="U104" s="191" t="str">
        <f t="shared" si="14"/>
        <v/>
      </c>
      <c r="V104" s="192" t="str">
        <f t="shared" si="15"/>
        <v/>
      </c>
      <c r="W104" s="264"/>
    </row>
    <row r="105" spans="2:23" ht="12.95" hidden="1" customHeight="1" outlineLevel="1">
      <c r="B105" s="844"/>
      <c r="C105" s="197"/>
      <c r="D105" s="178"/>
      <c r="E105" s="196"/>
      <c r="F105" s="424"/>
      <c r="G105" s="181"/>
      <c r="H105" s="182"/>
      <c r="I105" s="362" t="str">
        <f t="shared" si="11"/>
        <v/>
      </c>
      <c r="J105" s="521" t="str">
        <f t="shared" si="12"/>
        <v/>
      </c>
      <c r="K105" s="183"/>
      <c r="L105" s="183"/>
      <c r="M105" s="184"/>
      <c r="N105" s="183"/>
      <c r="O105" s="185">
        <f t="shared" si="16"/>
        <v>0</v>
      </c>
      <c r="P105" s="186"/>
      <c r="Q105" s="187"/>
      <c r="R105" s="188"/>
      <c r="S105" s="189"/>
      <c r="T105" s="190" t="str">
        <f t="shared" si="13"/>
        <v/>
      </c>
      <c r="U105" s="191" t="str">
        <f t="shared" si="14"/>
        <v/>
      </c>
      <c r="V105" s="192" t="str">
        <f t="shared" si="15"/>
        <v/>
      </c>
      <c r="W105" s="264"/>
    </row>
    <row r="106" spans="2:23" ht="12.95" hidden="1" customHeight="1" outlineLevel="1">
      <c r="B106" s="844"/>
      <c r="C106" s="197"/>
      <c r="D106" s="178"/>
      <c r="E106" s="196"/>
      <c r="F106" s="424"/>
      <c r="G106" s="181"/>
      <c r="H106" s="182"/>
      <c r="I106" s="362" t="str">
        <f t="shared" si="11"/>
        <v/>
      </c>
      <c r="J106" s="521" t="str">
        <f t="shared" si="12"/>
        <v/>
      </c>
      <c r="K106" s="183"/>
      <c r="L106" s="183"/>
      <c r="M106" s="184"/>
      <c r="N106" s="183"/>
      <c r="O106" s="185">
        <f t="shared" si="16"/>
        <v>0</v>
      </c>
      <c r="P106" s="186"/>
      <c r="Q106" s="187"/>
      <c r="R106" s="188"/>
      <c r="S106" s="189"/>
      <c r="T106" s="190" t="str">
        <f t="shared" si="13"/>
        <v/>
      </c>
      <c r="U106" s="191" t="str">
        <f t="shared" si="14"/>
        <v/>
      </c>
      <c r="V106" s="192" t="str">
        <f t="shared" si="15"/>
        <v/>
      </c>
      <c r="W106" s="264"/>
    </row>
    <row r="107" spans="2:23" ht="12.95" hidden="1" customHeight="1" outlineLevel="1">
      <c r="B107" s="844"/>
      <c r="C107" s="197"/>
      <c r="D107" s="178"/>
      <c r="E107" s="196"/>
      <c r="F107" s="424"/>
      <c r="G107" s="181"/>
      <c r="H107" s="182"/>
      <c r="I107" s="362" t="str">
        <f t="shared" si="11"/>
        <v/>
      </c>
      <c r="J107" s="521" t="str">
        <f t="shared" si="12"/>
        <v/>
      </c>
      <c r="K107" s="183"/>
      <c r="L107" s="183"/>
      <c r="M107" s="184"/>
      <c r="N107" s="183"/>
      <c r="O107" s="185">
        <f t="shared" si="16"/>
        <v>0</v>
      </c>
      <c r="P107" s="186"/>
      <c r="Q107" s="187"/>
      <c r="R107" s="188"/>
      <c r="S107" s="189"/>
      <c r="T107" s="190" t="str">
        <f t="shared" si="13"/>
        <v/>
      </c>
      <c r="U107" s="191" t="str">
        <f t="shared" si="14"/>
        <v/>
      </c>
      <c r="V107" s="192" t="str">
        <f t="shared" si="15"/>
        <v/>
      </c>
      <c r="W107" s="264"/>
    </row>
    <row r="108" spans="2:23" ht="12.95" hidden="1" customHeight="1" outlineLevel="1">
      <c r="B108" s="844"/>
      <c r="C108" s="195"/>
      <c r="D108" s="178"/>
      <c r="E108" s="196"/>
      <c r="F108" s="424"/>
      <c r="G108" s="181"/>
      <c r="H108" s="182"/>
      <c r="I108" s="362" t="str">
        <f t="shared" si="11"/>
        <v/>
      </c>
      <c r="J108" s="521" t="str">
        <f t="shared" si="12"/>
        <v/>
      </c>
      <c r="K108" s="183"/>
      <c r="L108" s="183"/>
      <c r="M108" s="184"/>
      <c r="N108" s="183"/>
      <c r="O108" s="185">
        <f t="shared" si="16"/>
        <v>0</v>
      </c>
      <c r="P108" s="186"/>
      <c r="Q108" s="187"/>
      <c r="R108" s="188"/>
      <c r="S108" s="189"/>
      <c r="T108" s="190" t="str">
        <f t="shared" si="13"/>
        <v/>
      </c>
      <c r="U108" s="191" t="str">
        <f t="shared" si="14"/>
        <v/>
      </c>
      <c r="V108" s="192" t="str">
        <f t="shared" si="15"/>
        <v/>
      </c>
      <c r="W108" s="264"/>
    </row>
    <row r="109" spans="2:23" ht="12.95" hidden="1" customHeight="1" outlineLevel="1" thickBot="1">
      <c r="B109" s="844"/>
      <c r="C109" s="267"/>
      <c r="D109" s="237"/>
      <c r="E109" s="238"/>
      <c r="F109" s="425"/>
      <c r="G109" s="239"/>
      <c r="H109" s="240"/>
      <c r="I109" s="363" t="str">
        <f t="shared" si="11"/>
        <v/>
      </c>
      <c r="J109" s="522" t="str">
        <f t="shared" si="12"/>
        <v/>
      </c>
      <c r="K109" s="241"/>
      <c r="L109" s="241"/>
      <c r="M109" s="242"/>
      <c r="N109" s="241"/>
      <c r="O109" s="243">
        <f t="shared" si="16"/>
        <v>0</v>
      </c>
      <c r="P109" s="244"/>
      <c r="Q109" s="245"/>
      <c r="R109" s="246"/>
      <c r="S109" s="247"/>
      <c r="T109" s="248" t="str">
        <f t="shared" si="13"/>
        <v/>
      </c>
      <c r="U109" s="249" t="str">
        <f t="shared" si="14"/>
        <v/>
      </c>
      <c r="V109" s="250" t="str">
        <f t="shared" si="15"/>
        <v/>
      </c>
      <c r="W109" s="251"/>
    </row>
    <row r="110" spans="2:23" ht="12.95" customHeight="1" collapsed="1" thickBot="1">
      <c r="B110" s="845"/>
      <c r="C110" s="335" t="s">
        <v>289</v>
      </c>
      <c r="D110" s="236"/>
      <c r="E110" s="336"/>
      <c r="F110" s="426"/>
      <c r="G110" s="337"/>
      <c r="H110" s="338"/>
      <c r="I110" s="347"/>
      <c r="J110" s="519">
        <f>SUM(J73:J109)</f>
        <v>59279</v>
      </c>
      <c r="K110" s="339"/>
      <c r="L110" s="339"/>
      <c r="M110" s="340"/>
      <c r="N110" s="339"/>
      <c r="O110" s="341"/>
      <c r="P110" s="342"/>
      <c r="Q110" s="343"/>
      <c r="R110" s="344"/>
      <c r="S110" s="345"/>
      <c r="T110" s="346"/>
      <c r="U110" s="347"/>
      <c r="V110" s="348"/>
      <c r="W110" s="349"/>
    </row>
    <row r="111" spans="2:23" ht="12.95" customHeight="1">
      <c r="B111" s="843" t="s">
        <v>398</v>
      </c>
      <c r="C111" s="219"/>
      <c r="D111" s="220"/>
      <c r="E111" s="418"/>
      <c r="F111" s="423"/>
      <c r="G111" s="222"/>
      <c r="H111" s="223"/>
      <c r="I111" s="360" t="str">
        <f t="shared" ref="I111:I116" si="17">IF(C111=0,"",D111*1/G111*H111)</f>
        <v/>
      </c>
      <c r="J111" s="520" t="str">
        <f t="shared" ref="J111:J116" si="18">IF(C111=0,"",ROUND(F111*I111,0))</f>
        <v/>
      </c>
      <c r="K111" s="224"/>
      <c r="L111" s="224"/>
      <c r="M111" s="225"/>
      <c r="N111" s="224"/>
      <c r="O111" s="226">
        <f t="shared" ref="O111:O116" si="19">IF(K111*L111*N111=0,0,(L111*N111)/K111)</f>
        <v>0</v>
      </c>
      <c r="P111" s="227"/>
      <c r="Q111" s="228"/>
      <c r="R111" s="229"/>
      <c r="S111" s="230"/>
      <c r="T111" s="231" t="str">
        <f t="shared" ref="T111:V116" si="20">IF(Q111="","",Q111*$D111)</f>
        <v/>
      </c>
      <c r="U111" s="232" t="str">
        <f t="shared" si="20"/>
        <v/>
      </c>
      <c r="V111" s="233" t="str">
        <f t="shared" si="20"/>
        <v/>
      </c>
      <c r="W111" s="234"/>
    </row>
    <row r="112" spans="2:23" ht="12.95" customHeight="1">
      <c r="B112" s="844"/>
      <c r="C112" s="175"/>
      <c r="D112" s="178"/>
      <c r="E112" s="194"/>
      <c r="F112" s="424"/>
      <c r="G112" s="181"/>
      <c r="H112" s="182"/>
      <c r="I112" s="362" t="str">
        <f t="shared" si="17"/>
        <v/>
      </c>
      <c r="J112" s="521" t="str">
        <f t="shared" si="18"/>
        <v/>
      </c>
      <c r="K112" s="183"/>
      <c r="L112" s="183"/>
      <c r="M112" s="184"/>
      <c r="N112" s="183"/>
      <c r="O112" s="185">
        <f t="shared" si="19"/>
        <v>0</v>
      </c>
      <c r="P112" s="186"/>
      <c r="Q112" s="187"/>
      <c r="R112" s="188"/>
      <c r="S112" s="189"/>
      <c r="T112" s="190" t="str">
        <f t="shared" si="20"/>
        <v/>
      </c>
      <c r="U112" s="191" t="str">
        <f t="shared" si="20"/>
        <v/>
      </c>
      <c r="V112" s="192" t="str">
        <f t="shared" si="20"/>
        <v/>
      </c>
      <c r="W112" s="259"/>
    </row>
    <row r="113" spans="2:23" ht="12.95" customHeight="1">
      <c r="B113" s="844"/>
      <c r="C113" s="195"/>
      <c r="D113" s="178"/>
      <c r="E113" s="196"/>
      <c r="F113" s="424"/>
      <c r="G113" s="181"/>
      <c r="H113" s="182"/>
      <c r="I113" s="362" t="str">
        <f t="shared" si="17"/>
        <v/>
      </c>
      <c r="J113" s="521" t="str">
        <f t="shared" si="18"/>
        <v/>
      </c>
      <c r="K113" s="183"/>
      <c r="L113" s="183"/>
      <c r="M113" s="184"/>
      <c r="N113" s="183"/>
      <c r="O113" s="185">
        <f t="shared" si="19"/>
        <v>0</v>
      </c>
      <c r="P113" s="186"/>
      <c r="Q113" s="187"/>
      <c r="R113" s="188"/>
      <c r="S113" s="189"/>
      <c r="T113" s="190" t="str">
        <f t="shared" si="20"/>
        <v/>
      </c>
      <c r="U113" s="191" t="str">
        <f t="shared" si="20"/>
        <v/>
      </c>
      <c r="V113" s="192" t="str">
        <f t="shared" si="20"/>
        <v/>
      </c>
      <c r="W113" s="259"/>
    </row>
    <row r="114" spans="2:23" ht="12.95" customHeight="1">
      <c r="B114" s="844"/>
      <c r="C114" s="195"/>
      <c r="D114" s="178"/>
      <c r="E114" s="196"/>
      <c r="F114" s="424"/>
      <c r="G114" s="181"/>
      <c r="H114" s="182"/>
      <c r="I114" s="362" t="str">
        <f t="shared" si="17"/>
        <v/>
      </c>
      <c r="J114" s="521" t="str">
        <f t="shared" si="18"/>
        <v/>
      </c>
      <c r="K114" s="183"/>
      <c r="L114" s="183"/>
      <c r="M114" s="184"/>
      <c r="N114" s="183"/>
      <c r="O114" s="185">
        <f t="shared" si="19"/>
        <v>0</v>
      </c>
      <c r="P114" s="186"/>
      <c r="Q114" s="187"/>
      <c r="R114" s="188"/>
      <c r="S114" s="189"/>
      <c r="T114" s="190" t="str">
        <f t="shared" si="20"/>
        <v/>
      </c>
      <c r="U114" s="191" t="str">
        <f t="shared" si="20"/>
        <v/>
      </c>
      <c r="V114" s="192" t="str">
        <f t="shared" si="20"/>
        <v/>
      </c>
      <c r="W114" s="259"/>
    </row>
    <row r="115" spans="2:23" ht="12.95" customHeight="1">
      <c r="B115" s="844"/>
      <c r="C115" s="197"/>
      <c r="D115" s="178"/>
      <c r="E115" s="196"/>
      <c r="F115" s="424"/>
      <c r="G115" s="181"/>
      <c r="H115" s="182"/>
      <c r="I115" s="362" t="str">
        <f t="shared" si="17"/>
        <v/>
      </c>
      <c r="J115" s="521" t="str">
        <f t="shared" si="18"/>
        <v/>
      </c>
      <c r="K115" s="183"/>
      <c r="L115" s="183"/>
      <c r="M115" s="184"/>
      <c r="N115" s="183"/>
      <c r="O115" s="185">
        <f t="shared" si="19"/>
        <v>0</v>
      </c>
      <c r="P115" s="186"/>
      <c r="Q115" s="187"/>
      <c r="R115" s="188"/>
      <c r="S115" s="189"/>
      <c r="T115" s="190" t="str">
        <f t="shared" si="20"/>
        <v/>
      </c>
      <c r="U115" s="191" t="str">
        <f t="shared" si="20"/>
        <v/>
      </c>
      <c r="V115" s="192" t="str">
        <f t="shared" si="20"/>
        <v/>
      </c>
      <c r="W115" s="259"/>
    </row>
    <row r="116" spans="2:23" ht="12.95" customHeight="1" thickBot="1">
      <c r="B116" s="844"/>
      <c r="C116" s="265"/>
      <c r="D116" s="237"/>
      <c r="E116" s="258"/>
      <c r="F116" s="425"/>
      <c r="G116" s="239"/>
      <c r="H116" s="240"/>
      <c r="I116" s="363" t="str">
        <f t="shared" si="17"/>
        <v/>
      </c>
      <c r="J116" s="522" t="str">
        <f t="shared" si="18"/>
        <v/>
      </c>
      <c r="K116" s="241"/>
      <c r="L116" s="241"/>
      <c r="M116" s="242"/>
      <c r="N116" s="241"/>
      <c r="O116" s="243">
        <f t="shared" si="19"/>
        <v>0</v>
      </c>
      <c r="P116" s="244"/>
      <c r="Q116" s="245"/>
      <c r="R116" s="246"/>
      <c r="S116" s="247"/>
      <c r="T116" s="248" t="str">
        <f t="shared" si="20"/>
        <v/>
      </c>
      <c r="U116" s="249" t="str">
        <f t="shared" si="20"/>
        <v/>
      </c>
      <c r="V116" s="250" t="str">
        <f t="shared" si="20"/>
        <v/>
      </c>
      <c r="W116" s="251"/>
    </row>
    <row r="117" spans="2:23" ht="12.95" customHeight="1" thickTop="1" thickBot="1">
      <c r="B117" s="845"/>
      <c r="C117" s="335" t="s">
        <v>289</v>
      </c>
      <c r="D117" s="236"/>
      <c r="E117" s="336"/>
      <c r="F117" s="426"/>
      <c r="G117" s="337"/>
      <c r="H117" s="338"/>
      <c r="I117" s="347"/>
      <c r="J117" s="519">
        <f>SUM(J111:J116)</f>
        <v>0</v>
      </c>
      <c r="K117" s="339"/>
      <c r="L117" s="339"/>
      <c r="M117" s="340"/>
      <c r="N117" s="339"/>
      <c r="O117" s="341"/>
      <c r="P117" s="342"/>
      <c r="Q117" s="343"/>
      <c r="R117" s="344"/>
      <c r="S117" s="345"/>
      <c r="T117" s="346"/>
      <c r="U117" s="347"/>
      <c r="V117" s="348"/>
      <c r="W117" s="349"/>
    </row>
    <row r="118" spans="2:23" ht="12.95" customHeight="1">
      <c r="B118" s="837" t="s">
        <v>422</v>
      </c>
      <c r="C118" s="261"/>
      <c r="D118" s="220"/>
      <c r="E118" s="262"/>
      <c r="F118" s="423"/>
      <c r="G118" s="222"/>
      <c r="H118" s="223"/>
      <c r="I118" s="360" t="str">
        <f t="shared" ref="I118:I121" si="21">IF(C118=0,"",D118*1/G118*H118)</f>
        <v/>
      </c>
      <c r="J118" s="520" t="str">
        <f t="shared" ref="J118:J121" si="22">IF(C118=0,"",ROUND(F118*I118,0))</f>
        <v/>
      </c>
      <c r="K118" s="224"/>
      <c r="L118" s="224"/>
      <c r="M118" s="225"/>
      <c r="N118" s="224"/>
      <c r="O118" s="226">
        <f>IF(K118*L118*N118=0,0,(L118*N118)/K118)</f>
        <v>0</v>
      </c>
      <c r="P118" s="227"/>
      <c r="Q118" s="228"/>
      <c r="R118" s="229"/>
      <c r="S118" s="230"/>
      <c r="T118" s="231" t="str">
        <f t="shared" ref="T118:T119" si="23">IF(Q118="","",Q118*$D118)</f>
        <v/>
      </c>
      <c r="U118" s="232" t="str">
        <f t="shared" ref="U118:U119" si="24">IF(R118="","",R118*$D118)</f>
        <v/>
      </c>
      <c r="V118" s="233" t="str">
        <f t="shared" ref="V118:V119" si="25">IF(S118="","",S118*$D118)</f>
        <v/>
      </c>
      <c r="W118" s="234"/>
    </row>
    <row r="119" spans="2:23" ht="12.95" customHeight="1">
      <c r="B119" s="838"/>
      <c r="C119" s="197"/>
      <c r="D119" s="178"/>
      <c r="E119" s="196"/>
      <c r="F119" s="424"/>
      <c r="G119" s="181"/>
      <c r="H119" s="182"/>
      <c r="I119" s="362" t="str">
        <f t="shared" si="21"/>
        <v/>
      </c>
      <c r="J119" s="521" t="str">
        <f t="shared" si="22"/>
        <v/>
      </c>
      <c r="K119" s="183"/>
      <c r="L119" s="183"/>
      <c r="M119" s="184"/>
      <c r="N119" s="183"/>
      <c r="O119" s="185">
        <f>IF(K119*L119*N119=0,0,(L119*N119)/K119)</f>
        <v>0</v>
      </c>
      <c r="P119" s="186"/>
      <c r="Q119" s="187"/>
      <c r="R119" s="188"/>
      <c r="S119" s="189"/>
      <c r="T119" s="190" t="str">
        <f t="shared" si="23"/>
        <v/>
      </c>
      <c r="U119" s="191" t="str">
        <f t="shared" si="24"/>
        <v/>
      </c>
      <c r="V119" s="192" t="str">
        <f t="shared" si="25"/>
        <v/>
      </c>
      <c r="W119" s="259"/>
    </row>
    <row r="120" spans="2:23" ht="12.95" customHeight="1">
      <c r="B120" s="838"/>
      <c r="C120" s="197"/>
      <c r="D120" s="178"/>
      <c r="E120" s="196"/>
      <c r="F120" s="424"/>
      <c r="G120" s="181"/>
      <c r="H120" s="182"/>
      <c r="I120" s="362" t="str">
        <f t="shared" si="21"/>
        <v/>
      </c>
      <c r="J120" s="521" t="str">
        <f t="shared" si="22"/>
        <v/>
      </c>
      <c r="K120" s="183"/>
      <c r="L120" s="183"/>
      <c r="M120" s="184"/>
      <c r="N120" s="183"/>
      <c r="O120" s="185"/>
      <c r="P120" s="186"/>
      <c r="Q120" s="187"/>
      <c r="R120" s="188"/>
      <c r="S120" s="189"/>
      <c r="T120" s="190"/>
      <c r="U120" s="191"/>
      <c r="V120" s="192"/>
      <c r="W120" s="259"/>
    </row>
    <row r="121" spans="2:23" ht="12.95" customHeight="1" thickBot="1">
      <c r="B121" s="838"/>
      <c r="C121" s="265"/>
      <c r="D121" s="237"/>
      <c r="E121" s="258"/>
      <c r="F121" s="425"/>
      <c r="G121" s="239"/>
      <c r="H121" s="240"/>
      <c r="I121" s="363" t="str">
        <f t="shared" si="21"/>
        <v/>
      </c>
      <c r="J121" s="522" t="str">
        <f t="shared" si="22"/>
        <v/>
      </c>
      <c r="K121" s="241"/>
      <c r="L121" s="241"/>
      <c r="M121" s="242"/>
      <c r="N121" s="241"/>
      <c r="O121" s="243">
        <f>IF(K121*L121*N121=0,0,(L121*N121)/K121)</f>
        <v>0</v>
      </c>
      <c r="P121" s="244"/>
      <c r="Q121" s="245"/>
      <c r="R121" s="246"/>
      <c r="S121" s="247"/>
      <c r="T121" s="248" t="str">
        <f>IF(Q121="","",Q121*$D121)</f>
        <v/>
      </c>
      <c r="U121" s="249" t="str">
        <f>IF(R121="","",R121*$D121)</f>
        <v/>
      </c>
      <c r="V121" s="250" t="str">
        <f>IF(S121="","",S121*$D121)</f>
        <v/>
      </c>
      <c r="W121" s="251"/>
    </row>
    <row r="122" spans="2:23" ht="12.95" customHeight="1" thickTop="1" thickBot="1">
      <c r="B122" s="839"/>
      <c r="C122" s="335" t="s">
        <v>289</v>
      </c>
      <c r="D122" s="236"/>
      <c r="E122" s="336"/>
      <c r="F122" s="426"/>
      <c r="G122" s="337"/>
      <c r="H122" s="338"/>
      <c r="I122" s="347"/>
      <c r="J122" s="519">
        <f>SUM(J118:J121)</f>
        <v>0</v>
      </c>
      <c r="K122" s="339"/>
      <c r="L122" s="339"/>
      <c r="M122" s="340"/>
      <c r="N122" s="339"/>
      <c r="O122" s="341"/>
      <c r="P122" s="342"/>
      <c r="Q122" s="343"/>
      <c r="R122" s="344"/>
      <c r="S122" s="345"/>
      <c r="T122" s="346"/>
      <c r="U122" s="347"/>
      <c r="V122" s="348"/>
      <c r="W122" s="349"/>
    </row>
    <row r="123" spans="2:23" ht="12.95" customHeight="1">
      <c r="B123" s="837" t="s">
        <v>424</v>
      </c>
      <c r="C123" s="261" t="s">
        <v>505</v>
      </c>
      <c r="D123" s="220">
        <v>0.2</v>
      </c>
      <c r="E123" s="262" t="s">
        <v>501</v>
      </c>
      <c r="F123" s="423">
        <v>5000</v>
      </c>
      <c r="G123" s="222">
        <v>1</v>
      </c>
      <c r="H123" s="223">
        <v>1</v>
      </c>
      <c r="I123" s="360">
        <f t="shared" ref="I123:I127" si="26">IF(C123=0,"",D123*1/G123*H123)</f>
        <v>0.2</v>
      </c>
      <c r="J123" s="520">
        <f t="shared" ref="J123:J127" si="27">IF(C123=0,"",ROUND(F123*I123,0))</f>
        <v>1000</v>
      </c>
      <c r="K123" s="224"/>
      <c r="L123" s="224"/>
      <c r="M123" s="225"/>
      <c r="N123" s="224"/>
      <c r="O123" s="226">
        <f>IF(K123*L123*N123=0,0,(L123*N123)/K123)</f>
        <v>0</v>
      </c>
      <c r="P123" s="227"/>
      <c r="Q123" s="228"/>
      <c r="R123" s="229"/>
      <c r="S123" s="230"/>
      <c r="T123" s="231" t="str">
        <f t="shared" ref="T123:V125" si="28">IF(Q123="","",Q123*$D123)</f>
        <v/>
      </c>
      <c r="U123" s="232" t="str">
        <f t="shared" si="28"/>
        <v/>
      </c>
      <c r="V123" s="233" t="str">
        <f t="shared" si="28"/>
        <v/>
      </c>
      <c r="W123" s="234" t="s">
        <v>506</v>
      </c>
    </row>
    <row r="124" spans="2:23" ht="12.95" customHeight="1">
      <c r="B124" s="838"/>
      <c r="C124" s="197" t="s">
        <v>505</v>
      </c>
      <c r="D124" s="178">
        <v>0.2</v>
      </c>
      <c r="E124" s="196" t="s">
        <v>501</v>
      </c>
      <c r="F124" s="424">
        <v>5000</v>
      </c>
      <c r="G124" s="181">
        <v>1</v>
      </c>
      <c r="H124" s="182">
        <v>1</v>
      </c>
      <c r="I124" s="362">
        <f t="shared" si="26"/>
        <v>0.2</v>
      </c>
      <c r="J124" s="521">
        <f t="shared" si="27"/>
        <v>1000</v>
      </c>
      <c r="K124" s="183"/>
      <c r="L124" s="183"/>
      <c r="M124" s="184"/>
      <c r="N124" s="183"/>
      <c r="O124" s="185">
        <f>IF(K124*L124*N124=0,0,(L124*N124)/K124)</f>
        <v>0</v>
      </c>
      <c r="P124" s="186"/>
      <c r="Q124" s="187"/>
      <c r="R124" s="188"/>
      <c r="S124" s="189"/>
      <c r="T124" s="190" t="str">
        <f t="shared" si="28"/>
        <v/>
      </c>
      <c r="U124" s="191" t="str">
        <f t="shared" si="28"/>
        <v/>
      </c>
      <c r="V124" s="192" t="str">
        <f t="shared" si="28"/>
        <v/>
      </c>
      <c r="W124" s="259" t="s">
        <v>506</v>
      </c>
    </row>
    <row r="125" spans="2:23" ht="12.95" customHeight="1">
      <c r="B125" s="838"/>
      <c r="C125" s="197" t="s">
        <v>505</v>
      </c>
      <c r="D125" s="178">
        <v>0.2</v>
      </c>
      <c r="E125" s="196" t="s">
        <v>501</v>
      </c>
      <c r="F125" s="424">
        <v>5000</v>
      </c>
      <c r="G125" s="181">
        <v>1</v>
      </c>
      <c r="H125" s="182">
        <v>1</v>
      </c>
      <c r="I125" s="362">
        <f t="shared" si="26"/>
        <v>0.2</v>
      </c>
      <c r="J125" s="521">
        <f t="shared" si="27"/>
        <v>1000</v>
      </c>
      <c r="K125" s="183"/>
      <c r="L125" s="183"/>
      <c r="M125" s="184"/>
      <c r="N125" s="183"/>
      <c r="O125" s="185">
        <f>IF(K125*L125*N125=0,0,(L125*N125)/K125)</f>
        <v>0</v>
      </c>
      <c r="P125" s="186"/>
      <c r="Q125" s="187"/>
      <c r="R125" s="188"/>
      <c r="S125" s="189"/>
      <c r="T125" s="190" t="str">
        <f t="shared" si="28"/>
        <v/>
      </c>
      <c r="U125" s="191" t="str">
        <f t="shared" si="28"/>
        <v/>
      </c>
      <c r="V125" s="192" t="str">
        <f t="shared" si="28"/>
        <v/>
      </c>
      <c r="W125" s="259" t="s">
        <v>506</v>
      </c>
    </row>
    <row r="126" spans="2:23" ht="12.95" customHeight="1">
      <c r="B126" s="838"/>
      <c r="C126" s="197"/>
      <c r="D126" s="178"/>
      <c r="E126" s="196"/>
      <c r="F126" s="424"/>
      <c r="G126" s="181"/>
      <c r="H126" s="182"/>
      <c r="I126" s="362" t="str">
        <f t="shared" si="26"/>
        <v/>
      </c>
      <c r="J126" s="521" t="str">
        <f t="shared" si="27"/>
        <v/>
      </c>
      <c r="K126" s="183"/>
      <c r="L126" s="183"/>
      <c r="M126" s="184"/>
      <c r="N126" s="183"/>
      <c r="O126" s="185"/>
      <c r="P126" s="186"/>
      <c r="Q126" s="187"/>
      <c r="R126" s="188"/>
      <c r="S126" s="189"/>
      <c r="T126" s="190"/>
      <c r="U126" s="191"/>
      <c r="V126" s="192"/>
      <c r="W126" s="259"/>
    </row>
    <row r="127" spans="2:23" ht="12.95" customHeight="1" thickBot="1">
      <c r="B127" s="838"/>
      <c r="C127" s="265"/>
      <c r="D127" s="237"/>
      <c r="E127" s="258"/>
      <c r="F127" s="425"/>
      <c r="G127" s="239"/>
      <c r="H127" s="240"/>
      <c r="I127" s="363" t="str">
        <f t="shared" si="26"/>
        <v/>
      </c>
      <c r="J127" s="522" t="str">
        <f t="shared" si="27"/>
        <v/>
      </c>
      <c r="K127" s="241"/>
      <c r="L127" s="241"/>
      <c r="M127" s="242"/>
      <c r="N127" s="241"/>
      <c r="O127" s="243">
        <f>IF(K127*L127*N127=0,0,(L127*N127)/K127)</f>
        <v>0</v>
      </c>
      <c r="P127" s="244"/>
      <c r="Q127" s="245"/>
      <c r="R127" s="246"/>
      <c r="S127" s="247"/>
      <c r="T127" s="248" t="str">
        <f>IF(Q127="","",Q127*$D127)</f>
        <v/>
      </c>
      <c r="U127" s="249" t="str">
        <f>IF(R127="","",R127*$D127)</f>
        <v/>
      </c>
      <c r="V127" s="250" t="str">
        <f>IF(S127="","",S127*$D127)</f>
        <v/>
      </c>
      <c r="W127" s="251"/>
    </row>
    <row r="128" spans="2:23" ht="12.95" customHeight="1" thickTop="1" thickBot="1">
      <c r="B128" s="839"/>
      <c r="C128" s="335" t="s">
        <v>289</v>
      </c>
      <c r="D128" s="236"/>
      <c r="E128" s="336"/>
      <c r="F128" s="426"/>
      <c r="G128" s="337"/>
      <c r="H128" s="338"/>
      <c r="I128" s="347"/>
      <c r="J128" s="519">
        <f>SUM(J123:J127)</f>
        <v>3000</v>
      </c>
      <c r="K128" s="339"/>
      <c r="L128" s="339"/>
      <c r="M128" s="340"/>
      <c r="N128" s="339"/>
      <c r="O128" s="341"/>
      <c r="P128" s="342"/>
      <c r="Q128" s="343"/>
      <c r="R128" s="344"/>
      <c r="S128" s="345"/>
      <c r="T128" s="346"/>
      <c r="U128" s="347"/>
      <c r="V128" s="348"/>
      <c r="W128" s="349"/>
    </row>
    <row r="129" spans="2:23" ht="12.95" customHeight="1">
      <c r="B129" s="850" t="s">
        <v>656</v>
      </c>
      <c r="C129" s="261" t="s">
        <v>657</v>
      </c>
      <c r="D129" s="220">
        <f>作業体系表!AN29</f>
        <v>0.70001120017920293</v>
      </c>
      <c r="E129" s="262" t="s">
        <v>128</v>
      </c>
      <c r="F129" s="423">
        <v>962</v>
      </c>
      <c r="G129" s="222">
        <v>1</v>
      </c>
      <c r="H129" s="223">
        <v>1</v>
      </c>
      <c r="I129" s="360">
        <f t="shared" ref="I129:I133" si="29">IF(C129=0,"",D129*1/G129*H129)</f>
        <v>0.70001120017920293</v>
      </c>
      <c r="J129" s="520">
        <f t="shared" ref="J129:J133" si="30">IF(C129=0,"",ROUND(F129*I129,0))</f>
        <v>673</v>
      </c>
      <c r="K129" s="224"/>
      <c r="L129" s="224"/>
      <c r="M129" s="225"/>
      <c r="N129" s="224"/>
      <c r="O129" s="226">
        <f>IF(K129*L129*N129=0,0,(L129*N129)/K129)</f>
        <v>0</v>
      </c>
      <c r="P129" s="227"/>
      <c r="Q129" s="228"/>
      <c r="R129" s="229"/>
      <c r="S129" s="230"/>
      <c r="T129" s="231" t="str">
        <f t="shared" ref="T129:V131" si="31">IF(Q129="","",Q129*$D129)</f>
        <v/>
      </c>
      <c r="U129" s="232" t="str">
        <f t="shared" si="31"/>
        <v/>
      </c>
      <c r="V129" s="233" t="str">
        <f t="shared" si="31"/>
        <v/>
      </c>
      <c r="W129" s="234" t="s">
        <v>658</v>
      </c>
    </row>
    <row r="130" spans="2:23" ht="12.95" customHeight="1">
      <c r="B130" s="838"/>
      <c r="C130" s="197" t="s">
        <v>659</v>
      </c>
      <c r="D130" s="178">
        <f>作業体系表!AN30</f>
        <v>10.999999999999998</v>
      </c>
      <c r="E130" s="196" t="s">
        <v>128</v>
      </c>
      <c r="F130" s="424">
        <v>753</v>
      </c>
      <c r="G130" s="181">
        <v>1</v>
      </c>
      <c r="H130" s="182">
        <v>1</v>
      </c>
      <c r="I130" s="362">
        <f t="shared" si="29"/>
        <v>10.999999999999998</v>
      </c>
      <c r="J130" s="521">
        <f t="shared" si="30"/>
        <v>8283</v>
      </c>
      <c r="K130" s="183"/>
      <c r="L130" s="183"/>
      <c r="M130" s="184"/>
      <c r="N130" s="183"/>
      <c r="O130" s="185">
        <f>IF(K130*L130*N130=0,0,(L130*N130)/K130)</f>
        <v>0</v>
      </c>
      <c r="P130" s="186"/>
      <c r="Q130" s="187"/>
      <c r="R130" s="188"/>
      <c r="S130" s="189"/>
      <c r="T130" s="190" t="str">
        <f t="shared" si="31"/>
        <v/>
      </c>
      <c r="U130" s="191" t="str">
        <f t="shared" si="31"/>
        <v/>
      </c>
      <c r="V130" s="192" t="str">
        <f t="shared" si="31"/>
        <v/>
      </c>
      <c r="W130" s="259" t="s">
        <v>664</v>
      </c>
    </row>
    <row r="131" spans="2:23" ht="12.95" customHeight="1">
      <c r="B131" s="838"/>
      <c r="C131" s="197"/>
      <c r="D131" s="178"/>
      <c r="E131" s="196"/>
      <c r="F131" s="424"/>
      <c r="G131" s="181"/>
      <c r="H131" s="182"/>
      <c r="I131" s="362" t="str">
        <f t="shared" si="29"/>
        <v/>
      </c>
      <c r="J131" s="521" t="str">
        <f t="shared" si="30"/>
        <v/>
      </c>
      <c r="K131" s="183"/>
      <c r="L131" s="183"/>
      <c r="M131" s="184"/>
      <c r="N131" s="183"/>
      <c r="O131" s="185">
        <f>IF(K131*L131*N131=0,0,(L131*N131)/K131)</f>
        <v>0</v>
      </c>
      <c r="P131" s="186"/>
      <c r="Q131" s="187"/>
      <c r="R131" s="188"/>
      <c r="S131" s="189"/>
      <c r="T131" s="190" t="str">
        <f t="shared" si="31"/>
        <v/>
      </c>
      <c r="U131" s="191" t="str">
        <f t="shared" si="31"/>
        <v/>
      </c>
      <c r="V131" s="192" t="str">
        <f t="shared" si="31"/>
        <v/>
      </c>
      <c r="W131" s="259"/>
    </row>
    <row r="132" spans="2:23" ht="12.95" customHeight="1">
      <c r="B132" s="838"/>
      <c r="C132" s="197"/>
      <c r="D132" s="178"/>
      <c r="E132" s="196"/>
      <c r="F132" s="424"/>
      <c r="G132" s="181"/>
      <c r="H132" s="182"/>
      <c r="I132" s="362" t="str">
        <f t="shared" si="29"/>
        <v/>
      </c>
      <c r="J132" s="521" t="str">
        <f t="shared" si="30"/>
        <v/>
      </c>
      <c r="K132" s="183"/>
      <c r="L132" s="183"/>
      <c r="M132" s="184"/>
      <c r="N132" s="183"/>
      <c r="O132" s="185"/>
      <c r="P132" s="186"/>
      <c r="Q132" s="187"/>
      <c r="R132" s="188"/>
      <c r="S132" s="189"/>
      <c r="T132" s="190"/>
      <c r="U132" s="191"/>
      <c r="V132" s="192"/>
      <c r="W132" s="259"/>
    </row>
    <row r="133" spans="2:23" ht="12.95" customHeight="1" thickBot="1">
      <c r="B133" s="838"/>
      <c r="C133" s="265"/>
      <c r="D133" s="237"/>
      <c r="E133" s="258"/>
      <c r="F133" s="425"/>
      <c r="G133" s="239"/>
      <c r="H133" s="240"/>
      <c r="I133" s="363" t="str">
        <f t="shared" si="29"/>
        <v/>
      </c>
      <c r="J133" s="522" t="str">
        <f t="shared" si="30"/>
        <v/>
      </c>
      <c r="K133" s="241"/>
      <c r="L133" s="241"/>
      <c r="M133" s="242"/>
      <c r="N133" s="241"/>
      <c r="O133" s="243">
        <f>IF(K133*L133*N133=0,0,(L133*N133)/K133)</f>
        <v>0</v>
      </c>
      <c r="P133" s="244"/>
      <c r="Q133" s="245"/>
      <c r="R133" s="246"/>
      <c r="S133" s="247"/>
      <c r="T133" s="248" t="str">
        <f>IF(Q133="","",Q133*$D133)</f>
        <v/>
      </c>
      <c r="U133" s="249" t="str">
        <f>IF(R133="","",R133*$D133)</f>
        <v/>
      </c>
      <c r="V133" s="250" t="str">
        <f>IF(S133="","",S133*$D133)</f>
        <v/>
      </c>
      <c r="W133" s="251"/>
    </row>
    <row r="134" spans="2:23" ht="12.95" customHeight="1" thickTop="1" thickBot="1">
      <c r="B134" s="839"/>
      <c r="C134" s="514" t="s">
        <v>289</v>
      </c>
      <c r="D134" s="236"/>
      <c r="E134" s="336"/>
      <c r="F134" s="426"/>
      <c r="G134" s="337"/>
      <c r="H134" s="338"/>
      <c r="I134" s="347"/>
      <c r="J134" s="519">
        <f>SUM(J129:J133)</f>
        <v>8956</v>
      </c>
      <c r="K134" s="339"/>
      <c r="L134" s="339"/>
      <c r="M134" s="340"/>
      <c r="N134" s="339"/>
      <c r="O134" s="341"/>
      <c r="P134" s="342"/>
      <c r="Q134" s="640"/>
      <c r="R134" s="344"/>
      <c r="S134" s="345"/>
      <c r="T134" s="515"/>
      <c r="U134" s="347"/>
      <c r="V134" s="348"/>
      <c r="W134" s="641"/>
    </row>
    <row r="135" spans="2:23" ht="12.95" customHeight="1">
      <c r="B135" s="843" t="s">
        <v>125</v>
      </c>
      <c r="C135" s="366" t="s">
        <v>438</v>
      </c>
      <c r="D135" s="220"/>
      <c r="E135" s="221"/>
      <c r="F135" s="423"/>
      <c r="G135" s="222"/>
      <c r="H135" s="223"/>
      <c r="I135" s="531">
        <f>IF(D135=0,0,D135*1/G135*H135)</f>
        <v>0</v>
      </c>
      <c r="J135" s="531">
        <f t="shared" ref="J135:J137" si="32">IF(D135=0,0,ROUND(F135*I135,0))</f>
        <v>0</v>
      </c>
      <c r="K135" s="224"/>
      <c r="L135" s="224"/>
      <c r="M135" s="225"/>
      <c r="N135" s="224"/>
      <c r="O135" s="226">
        <v>0</v>
      </c>
      <c r="P135" s="227"/>
      <c r="Q135" s="228"/>
      <c r="R135" s="229"/>
      <c r="S135" s="230"/>
      <c r="T135" s="231" t="s">
        <v>288</v>
      </c>
      <c r="U135" s="232" t="s">
        <v>288</v>
      </c>
      <c r="V135" s="233" t="s">
        <v>288</v>
      </c>
      <c r="W135" s="234"/>
    </row>
    <row r="136" spans="2:23" ht="12.95" customHeight="1">
      <c r="B136" s="844"/>
      <c r="C136" s="367" t="s">
        <v>283</v>
      </c>
      <c r="D136" s="178"/>
      <c r="E136" s="179"/>
      <c r="F136" s="424"/>
      <c r="G136" s="181"/>
      <c r="H136" s="182"/>
      <c r="I136" s="532">
        <f t="shared" ref="I136:I144" si="33">IF(D136=0,0,D136*1/G136*H136)</f>
        <v>0</v>
      </c>
      <c r="J136" s="532">
        <f t="shared" si="32"/>
        <v>0</v>
      </c>
      <c r="K136" s="183"/>
      <c r="L136" s="183"/>
      <c r="M136" s="184"/>
      <c r="N136" s="183"/>
      <c r="O136" s="185">
        <v>0</v>
      </c>
      <c r="P136" s="186"/>
      <c r="Q136" s="187"/>
      <c r="R136" s="188"/>
      <c r="S136" s="189"/>
      <c r="T136" s="190" t="s">
        <v>288</v>
      </c>
      <c r="U136" s="191" t="s">
        <v>288</v>
      </c>
      <c r="V136" s="192" t="s">
        <v>288</v>
      </c>
      <c r="W136" s="259"/>
    </row>
    <row r="137" spans="2:23" ht="12.95" customHeight="1">
      <c r="B137" s="844"/>
      <c r="C137" s="368" t="s">
        <v>154</v>
      </c>
      <c r="D137" s="178"/>
      <c r="E137" s="194"/>
      <c r="F137" s="424"/>
      <c r="G137" s="181"/>
      <c r="H137" s="182"/>
      <c r="I137" s="532">
        <f t="shared" si="33"/>
        <v>0</v>
      </c>
      <c r="J137" s="532">
        <f t="shared" si="32"/>
        <v>0</v>
      </c>
      <c r="K137" s="183"/>
      <c r="L137" s="183"/>
      <c r="M137" s="184"/>
      <c r="N137" s="183"/>
      <c r="O137" s="185">
        <v>0</v>
      </c>
      <c r="P137" s="186"/>
      <c r="Q137" s="187"/>
      <c r="R137" s="188"/>
      <c r="S137" s="189"/>
      <c r="T137" s="190" t="s">
        <v>288</v>
      </c>
      <c r="U137" s="191" t="s">
        <v>288</v>
      </c>
      <c r="V137" s="192" t="s">
        <v>288</v>
      </c>
      <c r="W137" s="259"/>
    </row>
    <row r="138" spans="2:23" ht="12.95" customHeight="1">
      <c r="B138" s="844"/>
      <c r="C138" s="368" t="s">
        <v>284</v>
      </c>
      <c r="D138" s="178"/>
      <c r="E138" s="194"/>
      <c r="F138" s="527"/>
      <c r="G138" s="181"/>
      <c r="H138" s="182"/>
      <c r="I138" s="532">
        <f t="shared" si="33"/>
        <v>0</v>
      </c>
      <c r="J138" s="532">
        <f>IF(D138=0,0,ROUND(F138*I138,0))</f>
        <v>0</v>
      </c>
      <c r="K138" s="183"/>
      <c r="L138" s="183"/>
      <c r="M138" s="184"/>
      <c r="N138" s="183"/>
      <c r="O138" s="185">
        <v>0</v>
      </c>
      <c r="P138" s="186"/>
      <c r="Q138" s="187"/>
      <c r="R138" s="188"/>
      <c r="S138" s="189"/>
      <c r="T138" s="190" t="s">
        <v>288</v>
      </c>
      <c r="U138" s="191" t="s">
        <v>288</v>
      </c>
      <c r="V138" s="192" t="s">
        <v>288</v>
      </c>
      <c r="W138" s="259"/>
    </row>
    <row r="139" spans="2:23" ht="12.95" customHeight="1">
      <c r="B139" s="844"/>
      <c r="C139" s="368" t="s">
        <v>285</v>
      </c>
      <c r="D139" s="178"/>
      <c r="E139" s="194"/>
      <c r="F139" s="527"/>
      <c r="G139" s="181"/>
      <c r="H139" s="182"/>
      <c r="I139" s="532">
        <f t="shared" si="33"/>
        <v>0</v>
      </c>
      <c r="J139" s="532">
        <f>IF(D139=0,0,ROUND(F139*I139,0))</f>
        <v>0</v>
      </c>
      <c r="K139" s="183"/>
      <c r="L139" s="183"/>
      <c r="M139" s="184"/>
      <c r="N139" s="183"/>
      <c r="O139" s="185">
        <v>0</v>
      </c>
      <c r="P139" s="186"/>
      <c r="Q139" s="187"/>
      <c r="R139" s="188"/>
      <c r="S139" s="189"/>
      <c r="T139" s="190" t="s">
        <v>288</v>
      </c>
      <c r="U139" s="191" t="s">
        <v>288</v>
      </c>
      <c r="V139" s="192" t="s">
        <v>288</v>
      </c>
      <c r="W139" s="259"/>
    </row>
    <row r="140" spans="2:23" ht="12.95" customHeight="1">
      <c r="B140" s="844"/>
      <c r="C140" s="368" t="s">
        <v>286</v>
      </c>
      <c r="D140" s="178">
        <v>0.2</v>
      </c>
      <c r="E140" s="194" t="s">
        <v>501</v>
      </c>
      <c r="F140" s="694">
        <v>70718</v>
      </c>
      <c r="G140" s="181">
        <v>1</v>
      </c>
      <c r="H140" s="182">
        <v>1</v>
      </c>
      <c r="I140" s="532">
        <f t="shared" si="33"/>
        <v>0.2</v>
      </c>
      <c r="J140" s="532">
        <f>IF(D140=0,0,ROUND(F140*I140,0))</f>
        <v>14144</v>
      </c>
      <c r="K140" s="183"/>
      <c r="L140" s="183"/>
      <c r="M140" s="184"/>
      <c r="N140" s="183"/>
      <c r="O140" s="185">
        <v>0</v>
      </c>
      <c r="P140" s="186"/>
      <c r="Q140" s="187"/>
      <c r="R140" s="188"/>
      <c r="S140" s="189"/>
      <c r="T140" s="190" t="s">
        <v>288</v>
      </c>
      <c r="U140" s="191" t="s">
        <v>288</v>
      </c>
      <c r="V140" s="192" t="s">
        <v>288</v>
      </c>
      <c r="W140" s="259" t="s">
        <v>503</v>
      </c>
    </row>
    <row r="141" spans="2:23" ht="12.95" customHeight="1">
      <c r="B141" s="844"/>
      <c r="C141" s="193"/>
      <c r="D141" s="178"/>
      <c r="E141" s="179"/>
      <c r="F141" s="424"/>
      <c r="G141" s="181"/>
      <c r="H141" s="182"/>
      <c r="I141" s="532">
        <f t="shared" si="33"/>
        <v>0</v>
      </c>
      <c r="J141" s="532" t="str">
        <f t="shared" ref="J141:J144" si="34">IF(D141=0,"",ROUND(F141*I141,0))</f>
        <v/>
      </c>
      <c r="K141" s="183"/>
      <c r="L141" s="183"/>
      <c r="M141" s="184"/>
      <c r="N141" s="183"/>
      <c r="O141" s="185">
        <f t="shared" si="16"/>
        <v>0</v>
      </c>
      <c r="P141" s="186"/>
      <c r="Q141" s="187"/>
      <c r="R141" s="188"/>
      <c r="S141" s="189"/>
      <c r="T141" s="190" t="str">
        <f t="shared" ref="T141:V144" si="35">IF(Q141="","",Q141*$D141)</f>
        <v/>
      </c>
      <c r="U141" s="191" t="str">
        <f t="shared" si="35"/>
        <v/>
      </c>
      <c r="V141" s="192" t="str">
        <f t="shared" si="35"/>
        <v/>
      </c>
      <c r="W141" s="259"/>
    </row>
    <row r="142" spans="2:23" ht="12.95" customHeight="1">
      <c r="B142" s="844"/>
      <c r="C142" s="193"/>
      <c r="D142" s="178"/>
      <c r="E142" s="194"/>
      <c r="F142" s="424"/>
      <c r="G142" s="181"/>
      <c r="H142" s="182"/>
      <c r="I142" s="532">
        <f t="shared" si="33"/>
        <v>0</v>
      </c>
      <c r="J142" s="532" t="str">
        <f t="shared" si="34"/>
        <v/>
      </c>
      <c r="K142" s="183"/>
      <c r="L142" s="183"/>
      <c r="M142" s="184"/>
      <c r="N142" s="183"/>
      <c r="O142" s="185">
        <f t="shared" si="16"/>
        <v>0</v>
      </c>
      <c r="P142" s="186"/>
      <c r="Q142" s="187"/>
      <c r="R142" s="188"/>
      <c r="S142" s="189"/>
      <c r="T142" s="190" t="str">
        <f t="shared" si="35"/>
        <v/>
      </c>
      <c r="U142" s="191" t="str">
        <f t="shared" si="35"/>
        <v/>
      </c>
      <c r="V142" s="192" t="str">
        <f t="shared" si="35"/>
        <v/>
      </c>
      <c r="W142" s="259"/>
    </row>
    <row r="143" spans="2:23" ht="12.95" customHeight="1">
      <c r="B143" s="844"/>
      <c r="C143" s="193"/>
      <c r="D143" s="178"/>
      <c r="E143" s="194"/>
      <c r="F143" s="424"/>
      <c r="G143" s="181"/>
      <c r="H143" s="182"/>
      <c r="I143" s="532">
        <f t="shared" si="33"/>
        <v>0</v>
      </c>
      <c r="J143" s="532" t="str">
        <f t="shared" si="34"/>
        <v/>
      </c>
      <c r="K143" s="183"/>
      <c r="L143" s="183"/>
      <c r="M143" s="184"/>
      <c r="N143" s="183"/>
      <c r="O143" s="185">
        <f t="shared" si="16"/>
        <v>0</v>
      </c>
      <c r="P143" s="186"/>
      <c r="Q143" s="187"/>
      <c r="R143" s="188"/>
      <c r="S143" s="189"/>
      <c r="T143" s="190" t="str">
        <f t="shared" si="35"/>
        <v/>
      </c>
      <c r="U143" s="191" t="str">
        <f t="shared" si="35"/>
        <v/>
      </c>
      <c r="V143" s="192" t="str">
        <f t="shared" si="35"/>
        <v/>
      </c>
      <c r="W143" s="259"/>
    </row>
    <row r="144" spans="2:23" ht="12.95" customHeight="1" thickBot="1">
      <c r="B144" s="844"/>
      <c r="C144" s="268"/>
      <c r="D144" s="237"/>
      <c r="E144" s="269"/>
      <c r="F144" s="425"/>
      <c r="G144" s="239"/>
      <c r="H144" s="240"/>
      <c r="I144" s="533">
        <f t="shared" si="33"/>
        <v>0</v>
      </c>
      <c r="J144" s="533" t="str">
        <f t="shared" si="34"/>
        <v/>
      </c>
      <c r="K144" s="241"/>
      <c r="L144" s="241"/>
      <c r="M144" s="242"/>
      <c r="N144" s="241"/>
      <c r="O144" s="243">
        <f t="shared" si="16"/>
        <v>0</v>
      </c>
      <c r="P144" s="244"/>
      <c r="Q144" s="245"/>
      <c r="R144" s="246"/>
      <c r="S144" s="247"/>
      <c r="T144" s="248" t="str">
        <f t="shared" si="35"/>
        <v/>
      </c>
      <c r="U144" s="249" t="str">
        <f t="shared" si="35"/>
        <v/>
      </c>
      <c r="V144" s="250" t="str">
        <f t="shared" si="35"/>
        <v/>
      </c>
      <c r="W144" s="251"/>
    </row>
    <row r="145" spans="2:23" ht="12.95" customHeight="1" thickTop="1" thickBot="1">
      <c r="B145" s="845"/>
      <c r="C145" s="335" t="s">
        <v>289</v>
      </c>
      <c r="D145" s="236"/>
      <c r="E145" s="336"/>
      <c r="F145" s="426"/>
      <c r="G145" s="337"/>
      <c r="H145" s="338"/>
      <c r="I145" s="347"/>
      <c r="J145" s="519">
        <f>SUM(J135:J144)</f>
        <v>14144</v>
      </c>
      <c r="K145" s="339"/>
      <c r="L145" s="339"/>
      <c r="M145" s="340"/>
      <c r="N145" s="339"/>
      <c r="O145" s="341"/>
      <c r="P145" s="342"/>
      <c r="Q145" s="343"/>
      <c r="R145" s="344"/>
      <c r="S145" s="345"/>
      <c r="T145" s="346"/>
      <c r="U145" s="347"/>
      <c r="V145" s="348"/>
      <c r="W145" s="349"/>
    </row>
    <row r="146" spans="2:23" ht="12.95" customHeight="1">
      <c r="B146" s="849" t="s">
        <v>423</v>
      </c>
      <c r="C146" s="261"/>
      <c r="D146" s="220"/>
      <c r="E146" s="262"/>
      <c r="F146" s="423"/>
      <c r="G146" s="222"/>
      <c r="H146" s="223"/>
      <c r="I146" s="360" t="str">
        <f t="shared" ref="I146:I149" si="36">IF(C146=0,"",D146*1/G146*H146)</f>
        <v/>
      </c>
      <c r="J146" s="520" t="str">
        <f t="shared" ref="J146:J149" si="37">IF(C146=0,"",ROUND(F146*I146,0))</f>
        <v/>
      </c>
      <c r="K146" s="224"/>
      <c r="L146" s="224"/>
      <c r="M146" s="225"/>
      <c r="N146" s="224"/>
      <c r="O146" s="226">
        <f>IF(K146*L146*N146=0,0,(L146*N146)/K146)</f>
        <v>0</v>
      </c>
      <c r="P146" s="227"/>
      <c r="Q146" s="228"/>
      <c r="R146" s="229"/>
      <c r="S146" s="230"/>
      <c r="T146" s="231" t="str">
        <f t="shared" ref="T146:T147" si="38">IF(Q146="","",Q146*$D146)</f>
        <v/>
      </c>
      <c r="U146" s="232" t="str">
        <f t="shared" ref="U146:U147" si="39">IF(R146="","",R146*$D146)</f>
        <v/>
      </c>
      <c r="V146" s="233" t="str">
        <f t="shared" ref="V146:V147" si="40">IF(S146="","",S146*$D146)</f>
        <v/>
      </c>
      <c r="W146" s="234"/>
    </row>
    <row r="147" spans="2:23" ht="12.95" customHeight="1">
      <c r="B147" s="844"/>
      <c r="C147" s="197"/>
      <c r="D147" s="178"/>
      <c r="E147" s="196"/>
      <c r="F147" s="424"/>
      <c r="G147" s="181"/>
      <c r="H147" s="182"/>
      <c r="I147" s="362" t="str">
        <f t="shared" si="36"/>
        <v/>
      </c>
      <c r="J147" s="521" t="str">
        <f t="shared" si="37"/>
        <v/>
      </c>
      <c r="K147" s="183"/>
      <c r="L147" s="183"/>
      <c r="M147" s="184"/>
      <c r="N147" s="183"/>
      <c r="O147" s="185">
        <f>IF(K147*L147*N147=0,0,(L147*N147)/K147)</f>
        <v>0</v>
      </c>
      <c r="P147" s="186"/>
      <c r="Q147" s="187"/>
      <c r="R147" s="188"/>
      <c r="S147" s="189"/>
      <c r="T147" s="190" t="str">
        <f t="shared" si="38"/>
        <v/>
      </c>
      <c r="U147" s="191" t="str">
        <f t="shared" si="39"/>
        <v/>
      </c>
      <c r="V147" s="192" t="str">
        <f t="shared" si="40"/>
        <v/>
      </c>
      <c r="W147" s="259"/>
    </row>
    <row r="148" spans="2:23" ht="12.95" customHeight="1">
      <c r="B148" s="844"/>
      <c r="C148" s="197"/>
      <c r="D148" s="178"/>
      <c r="E148" s="196"/>
      <c r="F148" s="424"/>
      <c r="G148" s="181"/>
      <c r="H148" s="182"/>
      <c r="I148" s="362" t="str">
        <f t="shared" si="36"/>
        <v/>
      </c>
      <c r="J148" s="521" t="str">
        <f t="shared" si="37"/>
        <v/>
      </c>
      <c r="K148" s="183"/>
      <c r="L148" s="183"/>
      <c r="M148" s="184"/>
      <c r="N148" s="183"/>
      <c r="O148" s="185"/>
      <c r="P148" s="186"/>
      <c r="Q148" s="187"/>
      <c r="R148" s="188"/>
      <c r="S148" s="189"/>
      <c r="T148" s="190"/>
      <c r="U148" s="191"/>
      <c r="V148" s="192"/>
      <c r="W148" s="259"/>
    </row>
    <row r="149" spans="2:23" ht="12.95" customHeight="1" thickBot="1">
      <c r="B149" s="844"/>
      <c r="C149" s="265"/>
      <c r="D149" s="237"/>
      <c r="E149" s="258"/>
      <c r="F149" s="425"/>
      <c r="G149" s="239"/>
      <c r="H149" s="240"/>
      <c r="I149" s="363" t="str">
        <f t="shared" si="36"/>
        <v/>
      </c>
      <c r="J149" s="522" t="str">
        <f t="shared" si="37"/>
        <v/>
      </c>
      <c r="K149" s="241"/>
      <c r="L149" s="241"/>
      <c r="M149" s="242"/>
      <c r="N149" s="241"/>
      <c r="O149" s="243">
        <f>IF(K149*L149*N149=0,0,(L149*N149)/K149)</f>
        <v>0</v>
      </c>
      <c r="P149" s="244"/>
      <c r="Q149" s="245"/>
      <c r="R149" s="246"/>
      <c r="S149" s="247"/>
      <c r="T149" s="248" t="str">
        <f>IF(Q149="","",Q149*$D149)</f>
        <v/>
      </c>
      <c r="U149" s="249" t="str">
        <f>IF(R149="","",R149*$D149)</f>
        <v/>
      </c>
      <c r="V149" s="250" t="str">
        <f>IF(S149="","",S149*$D149)</f>
        <v/>
      </c>
      <c r="W149" s="251"/>
    </row>
    <row r="150" spans="2:23" ht="12.95" customHeight="1" thickTop="1" thickBot="1">
      <c r="B150" s="845"/>
      <c r="C150" s="335" t="s">
        <v>289</v>
      </c>
      <c r="D150" s="236"/>
      <c r="E150" s="336"/>
      <c r="F150" s="426"/>
      <c r="G150" s="337"/>
      <c r="H150" s="338"/>
      <c r="I150" s="347"/>
      <c r="J150" s="519">
        <f>SUM(J146:J149)</f>
        <v>0</v>
      </c>
      <c r="K150" s="339"/>
      <c r="L150" s="339"/>
      <c r="M150" s="340"/>
      <c r="N150" s="339"/>
      <c r="O150" s="341"/>
      <c r="P150" s="342"/>
      <c r="Q150" s="343"/>
      <c r="R150" s="344"/>
      <c r="S150" s="345"/>
      <c r="T150" s="346"/>
      <c r="U150" s="347"/>
      <c r="V150" s="348"/>
      <c r="W150" s="349"/>
    </row>
    <row r="151" spans="2:23" ht="12.95" customHeight="1">
      <c r="B151" s="837" t="s">
        <v>426</v>
      </c>
      <c r="C151" s="261" t="s">
        <v>507</v>
      </c>
      <c r="D151" s="220">
        <v>0.2</v>
      </c>
      <c r="E151" s="262" t="s">
        <v>501</v>
      </c>
      <c r="F151" s="423">
        <v>3306.4</v>
      </c>
      <c r="G151" s="222">
        <v>1</v>
      </c>
      <c r="H151" s="223">
        <v>1</v>
      </c>
      <c r="I151" s="360">
        <f t="shared" ref="I151:I154" si="41">IF(C151=0,"",D151*1/G151*H151)</f>
        <v>0.2</v>
      </c>
      <c r="J151" s="520">
        <f t="shared" ref="J151:J154" si="42">IF(C151=0,"",ROUND(F151*I151,0))</f>
        <v>661</v>
      </c>
      <c r="K151" s="224"/>
      <c r="L151" s="224"/>
      <c r="M151" s="225"/>
      <c r="N151" s="224"/>
      <c r="O151" s="226">
        <f>IF(K151*L151*N151=0,0,(L151*N151)/K151)</f>
        <v>0</v>
      </c>
      <c r="P151" s="227"/>
      <c r="Q151" s="228"/>
      <c r="R151" s="229"/>
      <c r="S151" s="230"/>
      <c r="T151" s="231" t="str">
        <f t="shared" ref="T151:T152" si="43">IF(Q151="","",Q151*$D151)</f>
        <v/>
      </c>
      <c r="U151" s="232" t="str">
        <f t="shared" ref="U151:U152" si="44">IF(R151="","",R151*$D151)</f>
        <v/>
      </c>
      <c r="V151" s="233" t="str">
        <f t="shared" ref="V151:V152" si="45">IF(S151="","",S151*$D151)</f>
        <v/>
      </c>
      <c r="W151" s="234" t="s">
        <v>508</v>
      </c>
    </row>
    <row r="152" spans="2:23" ht="12.95" customHeight="1">
      <c r="B152" s="838"/>
      <c r="C152" s="197"/>
      <c r="D152" s="178"/>
      <c r="E152" s="196"/>
      <c r="F152" s="424"/>
      <c r="G152" s="181"/>
      <c r="H152" s="182"/>
      <c r="I152" s="362" t="str">
        <f t="shared" si="41"/>
        <v/>
      </c>
      <c r="J152" s="521" t="str">
        <f t="shared" si="42"/>
        <v/>
      </c>
      <c r="K152" s="183"/>
      <c r="L152" s="183"/>
      <c r="M152" s="184"/>
      <c r="N152" s="183"/>
      <c r="O152" s="185">
        <f>IF(K152*L152*N152=0,0,(L152*N152)/K152)</f>
        <v>0</v>
      </c>
      <c r="P152" s="186"/>
      <c r="Q152" s="187"/>
      <c r="R152" s="188"/>
      <c r="S152" s="189"/>
      <c r="T152" s="190" t="str">
        <f t="shared" si="43"/>
        <v/>
      </c>
      <c r="U152" s="191" t="str">
        <f t="shared" si="44"/>
        <v/>
      </c>
      <c r="V152" s="192" t="str">
        <f t="shared" si="45"/>
        <v/>
      </c>
      <c r="W152" s="259"/>
    </row>
    <row r="153" spans="2:23" ht="12.95" customHeight="1">
      <c r="B153" s="838"/>
      <c r="C153" s="197"/>
      <c r="D153" s="178"/>
      <c r="E153" s="196"/>
      <c r="F153" s="424"/>
      <c r="G153" s="181"/>
      <c r="H153" s="182"/>
      <c r="I153" s="362" t="str">
        <f t="shared" si="41"/>
        <v/>
      </c>
      <c r="J153" s="521" t="str">
        <f t="shared" si="42"/>
        <v/>
      </c>
      <c r="K153" s="183"/>
      <c r="L153" s="183"/>
      <c r="M153" s="184"/>
      <c r="N153" s="183"/>
      <c r="O153" s="185"/>
      <c r="P153" s="186"/>
      <c r="Q153" s="187"/>
      <c r="R153" s="188"/>
      <c r="S153" s="189"/>
      <c r="T153" s="190"/>
      <c r="U153" s="191"/>
      <c r="V153" s="192"/>
      <c r="W153" s="259"/>
    </row>
    <row r="154" spans="2:23" ht="12.95" customHeight="1" thickBot="1">
      <c r="B154" s="838"/>
      <c r="C154" s="265"/>
      <c r="D154" s="237"/>
      <c r="E154" s="258"/>
      <c r="F154" s="425"/>
      <c r="G154" s="239"/>
      <c r="H154" s="240"/>
      <c r="I154" s="363" t="str">
        <f t="shared" si="41"/>
        <v/>
      </c>
      <c r="J154" s="522" t="str">
        <f t="shared" si="42"/>
        <v/>
      </c>
      <c r="K154" s="241"/>
      <c r="L154" s="241"/>
      <c r="M154" s="242"/>
      <c r="N154" s="241"/>
      <c r="O154" s="243">
        <f>IF(K154*L154*N154=0,0,(L154*N154)/K154)</f>
        <v>0</v>
      </c>
      <c r="P154" s="244"/>
      <c r="Q154" s="245"/>
      <c r="R154" s="246"/>
      <c r="S154" s="247"/>
      <c r="T154" s="248" t="str">
        <f>IF(Q154="","",Q154*$D154)</f>
        <v/>
      </c>
      <c r="U154" s="249" t="str">
        <f>IF(R154="","",R154*$D154)</f>
        <v/>
      </c>
      <c r="V154" s="250" t="str">
        <f>IF(S154="","",S154*$D154)</f>
        <v/>
      </c>
      <c r="W154" s="251"/>
    </row>
    <row r="155" spans="2:23" ht="12.95" customHeight="1" thickTop="1" thickBot="1">
      <c r="B155" s="839"/>
      <c r="C155" s="335" t="s">
        <v>289</v>
      </c>
      <c r="D155" s="236"/>
      <c r="E155" s="336"/>
      <c r="F155" s="426"/>
      <c r="G155" s="337"/>
      <c r="H155" s="338"/>
      <c r="I155" s="347"/>
      <c r="J155" s="519">
        <f>SUM(J151:J154)</f>
        <v>661</v>
      </c>
      <c r="K155" s="339"/>
      <c r="L155" s="339"/>
      <c r="M155" s="340"/>
      <c r="N155" s="339"/>
      <c r="O155" s="341"/>
      <c r="P155" s="342"/>
      <c r="Q155" s="343"/>
      <c r="R155" s="344"/>
      <c r="S155" s="345"/>
      <c r="T155" s="346"/>
      <c r="U155" s="347"/>
      <c r="V155" s="348"/>
      <c r="W155" s="349"/>
    </row>
    <row r="156" spans="2:23" ht="12.95" customHeight="1">
      <c r="B156" s="837" t="s">
        <v>428</v>
      </c>
      <c r="C156" s="261"/>
      <c r="D156" s="220"/>
      <c r="E156" s="262"/>
      <c r="F156" s="423"/>
      <c r="G156" s="222"/>
      <c r="H156" s="223"/>
      <c r="I156" s="360" t="str">
        <f t="shared" ref="I156:I159" si="46">IF(C156=0,"",D156*1/G156*H156)</f>
        <v/>
      </c>
      <c r="J156" s="520" t="str">
        <f t="shared" ref="J156:J159" si="47">IF(C156=0,"",ROUND(F156*I156,0))</f>
        <v/>
      </c>
      <c r="K156" s="224"/>
      <c r="L156" s="224"/>
      <c r="M156" s="225"/>
      <c r="N156" s="224"/>
      <c r="O156" s="226">
        <f>IF(K156*L156*N156=0,0,(L156*N156)/K156)</f>
        <v>0</v>
      </c>
      <c r="P156" s="227"/>
      <c r="Q156" s="228"/>
      <c r="R156" s="229"/>
      <c r="S156" s="230"/>
      <c r="T156" s="231" t="str">
        <f t="shared" ref="T156:T157" si="48">IF(Q156="","",Q156*$D156)</f>
        <v/>
      </c>
      <c r="U156" s="232" t="str">
        <f t="shared" ref="U156:U157" si="49">IF(R156="","",R156*$D156)</f>
        <v/>
      </c>
      <c r="V156" s="233" t="str">
        <f t="shared" ref="V156:V157" si="50">IF(S156="","",S156*$D156)</f>
        <v/>
      </c>
      <c r="W156" s="234"/>
    </row>
    <row r="157" spans="2:23" ht="12.95" customHeight="1">
      <c r="B157" s="838"/>
      <c r="C157" s="197"/>
      <c r="D157" s="178"/>
      <c r="E157" s="196"/>
      <c r="F157" s="424"/>
      <c r="G157" s="181"/>
      <c r="H157" s="182"/>
      <c r="I157" s="362" t="str">
        <f t="shared" si="46"/>
        <v/>
      </c>
      <c r="J157" s="521" t="str">
        <f t="shared" si="47"/>
        <v/>
      </c>
      <c r="K157" s="183"/>
      <c r="L157" s="183"/>
      <c r="M157" s="184"/>
      <c r="N157" s="183"/>
      <c r="O157" s="185">
        <f>IF(K157*L157*N157=0,0,(L157*N157)/K157)</f>
        <v>0</v>
      </c>
      <c r="P157" s="186"/>
      <c r="Q157" s="187"/>
      <c r="R157" s="188"/>
      <c r="S157" s="189"/>
      <c r="T157" s="190" t="str">
        <f t="shared" si="48"/>
        <v/>
      </c>
      <c r="U157" s="191" t="str">
        <f t="shared" si="49"/>
        <v/>
      </c>
      <c r="V157" s="192" t="str">
        <f t="shared" si="50"/>
        <v/>
      </c>
      <c r="W157" s="259"/>
    </row>
    <row r="158" spans="2:23" ht="12.95" customHeight="1">
      <c r="B158" s="838"/>
      <c r="C158" s="197"/>
      <c r="D158" s="178"/>
      <c r="E158" s="196"/>
      <c r="F158" s="424"/>
      <c r="G158" s="181"/>
      <c r="H158" s="182"/>
      <c r="I158" s="362" t="str">
        <f t="shared" si="46"/>
        <v/>
      </c>
      <c r="J158" s="521" t="str">
        <f t="shared" si="47"/>
        <v/>
      </c>
      <c r="K158" s="183"/>
      <c r="L158" s="183"/>
      <c r="M158" s="184"/>
      <c r="N158" s="183"/>
      <c r="O158" s="185"/>
      <c r="P158" s="186"/>
      <c r="Q158" s="187"/>
      <c r="R158" s="188"/>
      <c r="S158" s="189"/>
      <c r="T158" s="190"/>
      <c r="U158" s="191"/>
      <c r="V158" s="192"/>
      <c r="W158" s="259"/>
    </row>
    <row r="159" spans="2:23" ht="12.95" customHeight="1" thickBot="1">
      <c r="B159" s="838"/>
      <c r="C159" s="265"/>
      <c r="D159" s="237"/>
      <c r="E159" s="258"/>
      <c r="F159" s="425"/>
      <c r="G159" s="239"/>
      <c r="H159" s="240"/>
      <c r="I159" s="363" t="str">
        <f t="shared" si="46"/>
        <v/>
      </c>
      <c r="J159" s="522" t="str">
        <f t="shared" si="47"/>
        <v/>
      </c>
      <c r="K159" s="241"/>
      <c r="L159" s="241"/>
      <c r="M159" s="242"/>
      <c r="N159" s="241"/>
      <c r="O159" s="243">
        <f>IF(K159*L159*N159=0,0,(L159*N159)/K159)</f>
        <v>0</v>
      </c>
      <c r="P159" s="244"/>
      <c r="Q159" s="245"/>
      <c r="R159" s="246"/>
      <c r="S159" s="247"/>
      <c r="T159" s="248" t="str">
        <f>IF(Q159="","",Q159*$D159)</f>
        <v/>
      </c>
      <c r="U159" s="249" t="str">
        <f>IF(R159="","",R159*$D159)</f>
        <v/>
      </c>
      <c r="V159" s="250" t="str">
        <f>IF(S159="","",S159*$D159)</f>
        <v/>
      </c>
      <c r="W159" s="251"/>
    </row>
    <row r="160" spans="2:23" ht="12.95" customHeight="1" thickTop="1" thickBot="1">
      <c r="B160" s="839"/>
      <c r="C160" s="335" t="s">
        <v>289</v>
      </c>
      <c r="D160" s="236"/>
      <c r="E160" s="336"/>
      <c r="F160" s="426"/>
      <c r="G160" s="337"/>
      <c r="H160" s="338"/>
      <c r="I160" s="347"/>
      <c r="J160" s="519">
        <f>SUM(J156:J159)</f>
        <v>0</v>
      </c>
      <c r="K160" s="339"/>
      <c r="L160" s="339"/>
      <c r="M160" s="340"/>
      <c r="N160" s="339"/>
      <c r="O160" s="341"/>
      <c r="P160" s="342"/>
      <c r="Q160" s="343"/>
      <c r="R160" s="344"/>
      <c r="S160" s="345"/>
      <c r="T160" s="346"/>
      <c r="U160" s="347"/>
      <c r="V160" s="348"/>
      <c r="W160" s="349"/>
    </row>
    <row r="161" spans="2:23" ht="12.95" customHeight="1">
      <c r="B161" s="837" t="s">
        <v>430</v>
      </c>
      <c r="C161" s="261"/>
      <c r="D161" s="220"/>
      <c r="E161" s="262"/>
      <c r="F161" s="423"/>
      <c r="G161" s="222"/>
      <c r="H161" s="223"/>
      <c r="I161" s="360" t="str">
        <f t="shared" ref="I161:I164" si="51">IF(C161=0,"",D161*1/G161*H161)</f>
        <v/>
      </c>
      <c r="J161" s="520" t="str">
        <f t="shared" ref="J161:J164" si="52">IF(C161=0,"",ROUND(F161*I161,0))</f>
        <v/>
      </c>
      <c r="K161" s="224"/>
      <c r="L161" s="224"/>
      <c r="M161" s="225"/>
      <c r="N161" s="224"/>
      <c r="O161" s="226">
        <f>IF(K161*L161*N161=0,0,(L161*N161)/K161)</f>
        <v>0</v>
      </c>
      <c r="P161" s="227"/>
      <c r="Q161" s="228"/>
      <c r="R161" s="229"/>
      <c r="S161" s="230"/>
      <c r="T161" s="231" t="str">
        <f t="shared" ref="T161:T162" si="53">IF(Q161="","",Q161*$D161)</f>
        <v/>
      </c>
      <c r="U161" s="232" t="str">
        <f t="shared" ref="U161:U162" si="54">IF(R161="","",R161*$D161)</f>
        <v/>
      </c>
      <c r="V161" s="233" t="str">
        <f t="shared" ref="V161:V162" si="55">IF(S161="","",S161*$D161)</f>
        <v/>
      </c>
      <c r="W161" s="234"/>
    </row>
    <row r="162" spans="2:23" ht="12.95" customHeight="1">
      <c r="B162" s="838"/>
      <c r="C162" s="197"/>
      <c r="D162" s="178"/>
      <c r="E162" s="196"/>
      <c r="F162" s="424"/>
      <c r="G162" s="181"/>
      <c r="H162" s="182"/>
      <c r="I162" s="362" t="str">
        <f t="shared" si="51"/>
        <v/>
      </c>
      <c r="J162" s="521" t="str">
        <f t="shared" si="52"/>
        <v/>
      </c>
      <c r="K162" s="183"/>
      <c r="L162" s="183"/>
      <c r="M162" s="184"/>
      <c r="N162" s="183"/>
      <c r="O162" s="185">
        <f>IF(K162*L162*N162=0,0,(L162*N162)/K162)</f>
        <v>0</v>
      </c>
      <c r="P162" s="186"/>
      <c r="Q162" s="187"/>
      <c r="R162" s="188"/>
      <c r="S162" s="189"/>
      <c r="T162" s="190" t="str">
        <f t="shared" si="53"/>
        <v/>
      </c>
      <c r="U162" s="191" t="str">
        <f t="shared" si="54"/>
        <v/>
      </c>
      <c r="V162" s="192" t="str">
        <f t="shared" si="55"/>
        <v/>
      </c>
      <c r="W162" s="259"/>
    </row>
    <row r="163" spans="2:23" ht="12.95" customHeight="1">
      <c r="B163" s="838"/>
      <c r="C163" s="197"/>
      <c r="D163" s="178"/>
      <c r="E163" s="196"/>
      <c r="F163" s="424"/>
      <c r="G163" s="181"/>
      <c r="H163" s="182"/>
      <c r="I163" s="362" t="str">
        <f t="shared" si="51"/>
        <v/>
      </c>
      <c r="J163" s="521" t="str">
        <f t="shared" si="52"/>
        <v/>
      </c>
      <c r="K163" s="183"/>
      <c r="L163" s="183"/>
      <c r="M163" s="184"/>
      <c r="N163" s="183"/>
      <c r="O163" s="185"/>
      <c r="P163" s="186"/>
      <c r="Q163" s="187"/>
      <c r="R163" s="188"/>
      <c r="S163" s="189"/>
      <c r="T163" s="190"/>
      <c r="U163" s="191"/>
      <c r="V163" s="192"/>
      <c r="W163" s="259"/>
    </row>
    <row r="164" spans="2:23" ht="12.95" customHeight="1" thickBot="1">
      <c r="B164" s="838"/>
      <c r="C164" s="265"/>
      <c r="D164" s="237"/>
      <c r="E164" s="258"/>
      <c r="F164" s="425"/>
      <c r="G164" s="239"/>
      <c r="H164" s="240"/>
      <c r="I164" s="363" t="str">
        <f t="shared" si="51"/>
        <v/>
      </c>
      <c r="J164" s="522" t="str">
        <f t="shared" si="52"/>
        <v/>
      </c>
      <c r="K164" s="241"/>
      <c r="L164" s="241"/>
      <c r="M164" s="242"/>
      <c r="N164" s="241"/>
      <c r="O164" s="243">
        <f>IF(K164*L164*N164=0,0,(L164*N164)/K164)</f>
        <v>0</v>
      </c>
      <c r="P164" s="244"/>
      <c r="Q164" s="245"/>
      <c r="R164" s="246"/>
      <c r="S164" s="247"/>
      <c r="T164" s="248" t="str">
        <f>IF(Q164="","",Q164*$D164)</f>
        <v/>
      </c>
      <c r="U164" s="249" t="str">
        <f>IF(R164="","",R164*$D164)</f>
        <v/>
      </c>
      <c r="V164" s="250" t="str">
        <f>IF(S164="","",S164*$D164)</f>
        <v/>
      </c>
      <c r="W164" s="251"/>
    </row>
    <row r="165" spans="2:23" ht="12.95" customHeight="1" thickTop="1" thickBot="1">
      <c r="B165" s="839"/>
      <c r="C165" s="335" t="s">
        <v>289</v>
      </c>
      <c r="D165" s="236"/>
      <c r="E165" s="336"/>
      <c r="F165" s="426"/>
      <c r="G165" s="337"/>
      <c r="H165" s="338"/>
      <c r="I165" s="347"/>
      <c r="J165" s="519">
        <f>SUM(J161:J164)</f>
        <v>0</v>
      </c>
      <c r="K165" s="339"/>
      <c r="L165" s="339"/>
      <c r="M165" s="340"/>
      <c r="N165" s="339"/>
      <c r="O165" s="341"/>
      <c r="P165" s="342"/>
      <c r="Q165" s="343"/>
      <c r="R165" s="344"/>
      <c r="S165" s="345"/>
      <c r="T165" s="346"/>
      <c r="U165" s="347"/>
      <c r="V165" s="348"/>
      <c r="W165" s="349"/>
    </row>
    <row r="166" spans="2:23" ht="12.95" customHeight="1">
      <c r="B166" s="840" t="s">
        <v>431</v>
      </c>
      <c r="C166" s="252" t="s">
        <v>191</v>
      </c>
      <c r="D166" s="220"/>
      <c r="E166" s="221"/>
      <c r="F166" s="423"/>
      <c r="G166" s="222"/>
      <c r="H166" s="223"/>
      <c r="I166" s="360" t="str">
        <f>IF(D166=0,"",D166*1/G166*H166)</f>
        <v/>
      </c>
      <c r="J166" s="520" t="str">
        <f t="shared" ref="J166:J176" si="56">IF(D166=0,"",ROUND(F166*I166,0))</f>
        <v/>
      </c>
      <c r="K166" s="224"/>
      <c r="L166" s="224"/>
      <c r="M166" s="225"/>
      <c r="N166" s="224"/>
      <c r="O166" s="226"/>
      <c r="P166" s="227"/>
      <c r="Q166" s="228"/>
      <c r="R166" s="229"/>
      <c r="S166" s="230"/>
      <c r="T166" s="231"/>
      <c r="U166" s="232"/>
      <c r="V166" s="233"/>
      <c r="W166" s="234"/>
    </row>
    <row r="167" spans="2:23" ht="12.95" customHeight="1">
      <c r="B167" s="841"/>
      <c r="C167" s="253" t="s">
        <v>124</v>
      </c>
      <c r="D167" s="161"/>
      <c r="E167" s="162"/>
      <c r="F167" s="427"/>
      <c r="G167" s="163"/>
      <c r="H167" s="164"/>
      <c r="I167" s="523" t="str">
        <f t="shared" ref="I167:I176" si="57">IF(D167=0,"",D167*1/G167*H167)</f>
        <v/>
      </c>
      <c r="J167" s="524" t="str">
        <f t="shared" si="56"/>
        <v/>
      </c>
      <c r="K167" s="165"/>
      <c r="L167" s="165"/>
      <c r="M167" s="166"/>
      <c r="N167" s="165"/>
      <c r="O167" s="167"/>
      <c r="P167" s="168"/>
      <c r="Q167" s="169"/>
      <c r="R167" s="170"/>
      <c r="S167" s="171"/>
      <c r="T167" s="172"/>
      <c r="U167" s="173"/>
      <c r="V167" s="174"/>
      <c r="W167" s="235"/>
    </row>
    <row r="168" spans="2:23" ht="12.95" customHeight="1">
      <c r="B168" s="841"/>
      <c r="C168" s="254" t="s">
        <v>192</v>
      </c>
      <c r="D168" s="161"/>
      <c r="E168" s="162"/>
      <c r="F168" s="427"/>
      <c r="G168" s="163"/>
      <c r="H168" s="164"/>
      <c r="I168" s="523" t="str">
        <f t="shared" si="57"/>
        <v/>
      </c>
      <c r="J168" s="524" t="str">
        <f t="shared" si="56"/>
        <v/>
      </c>
      <c r="K168" s="165"/>
      <c r="L168" s="165"/>
      <c r="M168" s="166"/>
      <c r="N168" s="165"/>
      <c r="O168" s="167"/>
      <c r="P168" s="168"/>
      <c r="Q168" s="169"/>
      <c r="R168" s="170"/>
      <c r="S168" s="171"/>
      <c r="T168" s="172"/>
      <c r="U168" s="173"/>
      <c r="V168" s="174"/>
      <c r="W168" s="235"/>
    </row>
    <row r="169" spans="2:23" ht="12.95" customHeight="1">
      <c r="B169" s="841"/>
      <c r="C169" s="255" t="s">
        <v>193</v>
      </c>
      <c r="D169" s="161"/>
      <c r="E169" s="162"/>
      <c r="F169" s="427"/>
      <c r="G169" s="163"/>
      <c r="H169" s="164"/>
      <c r="I169" s="523" t="str">
        <f t="shared" si="57"/>
        <v/>
      </c>
      <c r="J169" s="524" t="str">
        <f t="shared" si="56"/>
        <v/>
      </c>
      <c r="K169" s="165"/>
      <c r="L169" s="165"/>
      <c r="M169" s="166"/>
      <c r="N169" s="165"/>
      <c r="O169" s="167"/>
      <c r="P169" s="168"/>
      <c r="Q169" s="169"/>
      <c r="R169" s="170"/>
      <c r="S169" s="171"/>
      <c r="T169" s="172"/>
      <c r="U169" s="173"/>
      <c r="V169" s="174"/>
      <c r="W169" s="235"/>
    </row>
    <row r="170" spans="2:23" ht="12.95" customHeight="1">
      <c r="B170" s="841"/>
      <c r="C170" s="255"/>
      <c r="D170" s="161"/>
      <c r="E170" s="162"/>
      <c r="F170" s="427"/>
      <c r="G170" s="163"/>
      <c r="H170" s="164"/>
      <c r="I170" s="523" t="str">
        <f t="shared" si="57"/>
        <v/>
      </c>
      <c r="J170" s="524" t="str">
        <f t="shared" si="56"/>
        <v/>
      </c>
      <c r="K170" s="165"/>
      <c r="L170" s="165"/>
      <c r="M170" s="166"/>
      <c r="N170" s="165"/>
      <c r="O170" s="167"/>
      <c r="P170" s="168"/>
      <c r="Q170" s="169"/>
      <c r="R170" s="170"/>
      <c r="S170" s="171"/>
      <c r="T170" s="172"/>
      <c r="U170" s="173"/>
      <c r="V170" s="174"/>
      <c r="W170" s="235"/>
    </row>
    <row r="171" spans="2:23" ht="12.95" customHeight="1">
      <c r="B171" s="841"/>
      <c r="C171" s="255"/>
      <c r="D171" s="161"/>
      <c r="E171" s="162"/>
      <c r="F171" s="427"/>
      <c r="G171" s="163"/>
      <c r="H171" s="164"/>
      <c r="I171" s="523" t="str">
        <f t="shared" si="57"/>
        <v/>
      </c>
      <c r="J171" s="524" t="str">
        <f t="shared" si="56"/>
        <v/>
      </c>
      <c r="K171" s="165"/>
      <c r="L171" s="165"/>
      <c r="M171" s="166"/>
      <c r="N171" s="165"/>
      <c r="O171" s="167"/>
      <c r="P171" s="168"/>
      <c r="Q171" s="169"/>
      <c r="R171" s="170"/>
      <c r="S171" s="171"/>
      <c r="T171" s="172"/>
      <c r="U171" s="173"/>
      <c r="V171" s="174"/>
      <c r="W171" s="235"/>
    </row>
    <row r="172" spans="2:23" ht="12.95" customHeight="1">
      <c r="B172" s="841"/>
      <c r="C172" s="255"/>
      <c r="D172" s="161"/>
      <c r="E172" s="162"/>
      <c r="F172" s="427"/>
      <c r="G172" s="163"/>
      <c r="H172" s="164"/>
      <c r="I172" s="523" t="str">
        <f t="shared" si="57"/>
        <v/>
      </c>
      <c r="J172" s="524" t="str">
        <f t="shared" si="56"/>
        <v/>
      </c>
      <c r="K172" s="165"/>
      <c r="L172" s="165"/>
      <c r="M172" s="166"/>
      <c r="N172" s="165"/>
      <c r="O172" s="167"/>
      <c r="P172" s="168"/>
      <c r="Q172" s="169"/>
      <c r="R172" s="170"/>
      <c r="S172" s="171"/>
      <c r="T172" s="172"/>
      <c r="U172" s="173"/>
      <c r="V172" s="174"/>
      <c r="W172" s="235"/>
    </row>
    <row r="173" spans="2:23" ht="12.95" customHeight="1">
      <c r="B173" s="841"/>
      <c r="C173" s="255"/>
      <c r="D173" s="161"/>
      <c r="E173" s="162"/>
      <c r="F173" s="427"/>
      <c r="G173" s="163"/>
      <c r="H173" s="164"/>
      <c r="I173" s="523" t="str">
        <f t="shared" si="57"/>
        <v/>
      </c>
      <c r="J173" s="524" t="str">
        <f t="shared" si="56"/>
        <v/>
      </c>
      <c r="K173" s="165"/>
      <c r="L173" s="165"/>
      <c r="M173" s="166"/>
      <c r="N173" s="165"/>
      <c r="O173" s="167"/>
      <c r="P173" s="168"/>
      <c r="Q173" s="169"/>
      <c r="R173" s="170"/>
      <c r="S173" s="171"/>
      <c r="T173" s="172"/>
      <c r="U173" s="173"/>
      <c r="V173" s="174"/>
      <c r="W173" s="235"/>
    </row>
    <row r="174" spans="2:23" ht="12.95" customHeight="1">
      <c r="B174" s="841"/>
      <c r="C174" s="255"/>
      <c r="D174" s="161"/>
      <c r="E174" s="162"/>
      <c r="F174" s="427"/>
      <c r="G174" s="163"/>
      <c r="H174" s="164"/>
      <c r="I174" s="523" t="str">
        <f t="shared" si="57"/>
        <v/>
      </c>
      <c r="J174" s="524" t="str">
        <f t="shared" si="56"/>
        <v/>
      </c>
      <c r="K174" s="165"/>
      <c r="L174" s="165"/>
      <c r="M174" s="166"/>
      <c r="N174" s="165"/>
      <c r="O174" s="167"/>
      <c r="P174" s="168"/>
      <c r="Q174" s="169"/>
      <c r="R174" s="170"/>
      <c r="S174" s="171"/>
      <c r="T174" s="172"/>
      <c r="U174" s="173"/>
      <c r="V174" s="174"/>
      <c r="W174" s="235"/>
    </row>
    <row r="175" spans="2:23" ht="12.95" customHeight="1">
      <c r="B175" s="841"/>
      <c r="C175" s="255"/>
      <c r="D175" s="161"/>
      <c r="E175" s="162"/>
      <c r="F175" s="427"/>
      <c r="G175" s="163"/>
      <c r="H175" s="164"/>
      <c r="I175" s="523" t="str">
        <f t="shared" si="57"/>
        <v/>
      </c>
      <c r="J175" s="524" t="str">
        <f t="shared" si="56"/>
        <v/>
      </c>
      <c r="K175" s="165"/>
      <c r="L175" s="165"/>
      <c r="M175" s="166"/>
      <c r="N175" s="165"/>
      <c r="O175" s="167"/>
      <c r="P175" s="168"/>
      <c r="Q175" s="169"/>
      <c r="R175" s="170"/>
      <c r="S175" s="171"/>
      <c r="T175" s="172"/>
      <c r="U175" s="173"/>
      <c r="V175" s="174"/>
      <c r="W175" s="235"/>
    </row>
    <row r="176" spans="2:23" ht="12.95" customHeight="1" thickBot="1">
      <c r="B176" s="841"/>
      <c r="C176" s="256"/>
      <c r="D176" s="237"/>
      <c r="E176" s="238"/>
      <c r="F176" s="425"/>
      <c r="G176" s="239"/>
      <c r="H176" s="240"/>
      <c r="I176" s="363" t="str">
        <f t="shared" si="57"/>
        <v/>
      </c>
      <c r="J176" s="522" t="str">
        <f t="shared" si="56"/>
        <v/>
      </c>
      <c r="K176" s="241"/>
      <c r="L176" s="241"/>
      <c r="M176" s="242"/>
      <c r="N176" s="241"/>
      <c r="O176" s="243"/>
      <c r="P176" s="244"/>
      <c r="Q176" s="245"/>
      <c r="R176" s="246"/>
      <c r="S176" s="247"/>
      <c r="T176" s="248"/>
      <c r="U176" s="249"/>
      <c r="V176" s="250"/>
      <c r="W176" s="251"/>
    </row>
    <row r="177" spans="2:23" ht="12.95" customHeight="1" thickTop="1" thickBot="1">
      <c r="B177" s="842"/>
      <c r="C177" s="514" t="s">
        <v>289</v>
      </c>
      <c r="D177" s="236"/>
      <c r="E177" s="336"/>
      <c r="F177" s="426"/>
      <c r="G177" s="337"/>
      <c r="H177" s="338"/>
      <c r="I177" s="347"/>
      <c r="J177" s="519">
        <f>SUM(J166:J176)</f>
        <v>0</v>
      </c>
      <c r="K177" s="339"/>
      <c r="L177" s="339"/>
      <c r="M177" s="340"/>
      <c r="N177" s="339"/>
      <c r="O177" s="341"/>
      <c r="P177" s="342"/>
      <c r="Q177" s="343"/>
      <c r="R177" s="344"/>
      <c r="S177" s="345"/>
      <c r="T177" s="515"/>
      <c r="U177" s="347"/>
      <c r="V177" s="348"/>
      <c r="W177" s="349"/>
    </row>
    <row r="178" spans="2:23" ht="13.5" customHeight="1">
      <c r="C178" s="100"/>
      <c r="D178" s="100"/>
      <c r="E178" s="100"/>
      <c r="F178" s="455"/>
      <c r="G178" s="100"/>
      <c r="H178" s="100"/>
      <c r="I178" s="518"/>
      <c r="J178" s="458"/>
      <c r="K178" s="1"/>
      <c r="L178" s="1"/>
      <c r="M178" s="456"/>
      <c r="N178" s="1"/>
      <c r="O178" s="1"/>
      <c r="P178" s="1"/>
      <c r="Q178" s="457"/>
      <c r="R178" s="457"/>
      <c r="S178" s="457"/>
      <c r="T178" s="458"/>
      <c r="U178" s="458"/>
      <c r="V178" s="458"/>
      <c r="W178" s="100"/>
    </row>
    <row r="179" spans="2:23" s="199" customFormat="1">
      <c r="F179" s="459"/>
      <c r="I179" s="463"/>
      <c r="J179" s="463"/>
      <c r="K179" s="460"/>
      <c r="L179" s="460"/>
      <c r="M179" s="461"/>
      <c r="N179" s="460"/>
      <c r="O179" s="460"/>
      <c r="P179" s="460"/>
      <c r="Q179" s="462"/>
      <c r="R179" s="462"/>
      <c r="S179" s="462"/>
      <c r="T179" s="463"/>
      <c r="U179" s="463"/>
      <c r="V179" s="463"/>
    </row>
    <row r="180" spans="2:23" s="199" customFormat="1">
      <c r="F180" s="459"/>
      <c r="I180" s="463"/>
      <c r="J180" s="463"/>
      <c r="K180" s="460"/>
      <c r="L180" s="460"/>
      <c r="M180" s="461"/>
      <c r="N180" s="460"/>
      <c r="O180" s="460"/>
      <c r="P180" s="460"/>
      <c r="Q180" s="462"/>
      <c r="R180" s="462"/>
      <c r="S180" s="462"/>
      <c r="T180" s="463"/>
      <c r="U180" s="463"/>
      <c r="V180" s="463"/>
    </row>
    <row r="181" spans="2:23" s="199" customFormat="1">
      <c r="F181" s="459"/>
      <c r="I181" s="463"/>
      <c r="J181" s="463"/>
      <c r="K181" s="460"/>
      <c r="L181" s="460"/>
      <c r="M181" s="461"/>
      <c r="N181" s="460"/>
      <c r="O181" s="460"/>
      <c r="P181" s="460"/>
      <c r="Q181" s="462"/>
      <c r="R181" s="462"/>
      <c r="S181" s="462"/>
      <c r="T181" s="463"/>
      <c r="U181" s="463"/>
      <c r="V181" s="463"/>
    </row>
    <row r="182" spans="2:23" s="199" customFormat="1">
      <c r="F182" s="459"/>
      <c r="I182" s="463"/>
      <c r="J182" s="463"/>
      <c r="K182" s="460"/>
      <c r="L182" s="460"/>
      <c r="M182" s="461"/>
      <c r="N182" s="460"/>
      <c r="O182" s="460"/>
      <c r="P182" s="460"/>
      <c r="Q182" s="462"/>
      <c r="R182" s="462"/>
      <c r="S182" s="462"/>
      <c r="T182" s="463"/>
      <c r="U182" s="463"/>
      <c r="V182" s="463"/>
    </row>
    <row r="183" spans="2:23" s="199" customFormat="1">
      <c r="F183" s="459"/>
      <c r="I183" s="463"/>
      <c r="J183" s="463"/>
      <c r="K183" s="460"/>
      <c r="L183" s="460"/>
      <c r="M183" s="461"/>
      <c r="N183" s="460"/>
      <c r="O183" s="460"/>
      <c r="P183" s="460"/>
      <c r="Q183" s="462"/>
      <c r="R183" s="462"/>
      <c r="S183" s="462"/>
      <c r="T183" s="463"/>
      <c r="U183" s="463"/>
      <c r="V183" s="463"/>
    </row>
    <row r="184" spans="2:23" s="199" customFormat="1">
      <c r="F184" s="459"/>
      <c r="I184" s="463"/>
      <c r="J184" s="463"/>
      <c r="K184" s="460"/>
      <c r="L184" s="460"/>
      <c r="M184" s="461"/>
      <c r="N184" s="460"/>
      <c r="O184" s="460"/>
      <c r="P184" s="460"/>
      <c r="Q184" s="462"/>
      <c r="R184" s="462"/>
      <c r="S184" s="462"/>
      <c r="T184" s="463"/>
      <c r="U184" s="463"/>
      <c r="V184" s="463"/>
    </row>
    <row r="185" spans="2:23" s="199" customFormat="1">
      <c r="F185" s="459"/>
      <c r="I185" s="463"/>
      <c r="J185" s="463"/>
      <c r="K185" s="460"/>
      <c r="L185" s="460"/>
      <c r="M185" s="461"/>
      <c r="N185" s="460"/>
      <c r="O185" s="460"/>
      <c r="P185" s="460"/>
      <c r="Q185" s="462"/>
      <c r="R185" s="462"/>
      <c r="S185" s="462"/>
      <c r="T185" s="463"/>
      <c r="U185" s="463"/>
      <c r="V185" s="463"/>
    </row>
    <row r="186" spans="2:23" s="199" customFormat="1">
      <c r="F186" s="459"/>
      <c r="I186" s="463" t="s">
        <v>288</v>
      </c>
      <c r="J186" s="463" t="s">
        <v>288</v>
      </c>
      <c r="K186" s="460"/>
      <c r="L186" s="460"/>
      <c r="M186" s="461"/>
      <c r="N186" s="460"/>
      <c r="O186" s="460">
        <v>0</v>
      </c>
      <c r="P186" s="460"/>
      <c r="Q186" s="462"/>
      <c r="R186" s="462"/>
      <c r="S186" s="462"/>
      <c r="T186" s="463" t="s">
        <v>288</v>
      </c>
      <c r="U186" s="463" t="s">
        <v>288</v>
      </c>
      <c r="V186" s="463" t="s">
        <v>288</v>
      </c>
    </row>
    <row r="187" spans="2:23" s="199" customFormat="1">
      <c r="F187" s="459"/>
      <c r="I187" s="463" t="s">
        <v>288</v>
      </c>
      <c r="J187" s="463" t="s">
        <v>288</v>
      </c>
      <c r="K187" s="460"/>
      <c r="L187" s="460"/>
      <c r="M187" s="461"/>
      <c r="N187" s="460"/>
      <c r="O187" s="460">
        <v>0</v>
      </c>
      <c r="P187" s="460"/>
      <c r="Q187" s="462"/>
      <c r="R187" s="462"/>
      <c r="S187" s="462"/>
      <c r="T187" s="463" t="s">
        <v>288</v>
      </c>
      <c r="U187" s="463" t="s">
        <v>288</v>
      </c>
      <c r="V187" s="463" t="s">
        <v>288</v>
      </c>
    </row>
    <row r="188" spans="2:23" s="199" customFormat="1">
      <c r="C188" s="200"/>
      <c r="D188" s="200"/>
      <c r="E188" s="200"/>
      <c r="F188" s="464"/>
      <c r="G188" s="200"/>
      <c r="H188" s="200"/>
      <c r="I188" s="468" t="s">
        <v>288</v>
      </c>
      <c r="J188" s="468" t="s">
        <v>288</v>
      </c>
      <c r="K188" s="465"/>
      <c r="L188" s="465"/>
      <c r="M188" s="466"/>
      <c r="N188" s="465"/>
      <c r="O188" s="465">
        <v>0</v>
      </c>
      <c r="P188" s="465"/>
      <c r="Q188" s="467"/>
      <c r="R188" s="467"/>
      <c r="S188" s="467"/>
      <c r="T188" s="468" t="s">
        <v>288</v>
      </c>
      <c r="U188" s="468" t="s">
        <v>288</v>
      </c>
      <c r="V188" s="468" t="s">
        <v>288</v>
      </c>
      <c r="W188" s="200"/>
    </row>
    <row r="189" spans="2:23" s="199" customFormat="1">
      <c r="C189" s="200"/>
      <c r="D189" s="200"/>
      <c r="E189" s="200"/>
      <c r="F189" s="464"/>
      <c r="G189" s="200"/>
      <c r="H189" s="200"/>
      <c r="I189" s="468" t="s">
        <v>288</v>
      </c>
      <c r="J189" s="468" t="s">
        <v>288</v>
      </c>
      <c r="K189" s="465"/>
      <c r="L189" s="465"/>
      <c r="M189" s="466"/>
      <c r="N189" s="465"/>
      <c r="O189" s="465">
        <v>0</v>
      </c>
      <c r="P189" s="465"/>
      <c r="Q189" s="467"/>
      <c r="R189" s="467"/>
      <c r="S189" s="467"/>
      <c r="T189" s="468" t="s">
        <v>288</v>
      </c>
      <c r="U189" s="468" t="s">
        <v>288</v>
      </c>
      <c r="V189" s="468" t="s">
        <v>288</v>
      </c>
      <c r="W189" s="200"/>
    </row>
    <row r="190" spans="2:23" s="199" customFormat="1">
      <c r="C190" s="200"/>
      <c r="D190" s="200"/>
      <c r="E190" s="200"/>
      <c r="F190" s="464"/>
      <c r="G190" s="200"/>
      <c r="H190" s="200"/>
      <c r="I190" s="468" t="s">
        <v>288</v>
      </c>
      <c r="J190" s="468" t="s">
        <v>288</v>
      </c>
      <c r="K190" s="465"/>
      <c r="L190" s="465"/>
      <c r="M190" s="466"/>
      <c r="N190" s="465"/>
      <c r="O190" s="465">
        <v>0</v>
      </c>
      <c r="P190" s="465"/>
      <c r="Q190" s="467"/>
      <c r="R190" s="467"/>
      <c r="S190" s="467"/>
      <c r="T190" s="468" t="s">
        <v>288</v>
      </c>
      <c r="U190" s="468" t="s">
        <v>288</v>
      </c>
      <c r="V190" s="468" t="s">
        <v>288</v>
      </c>
      <c r="W190" s="200"/>
    </row>
    <row r="191" spans="2:23" s="199" customFormat="1">
      <c r="C191" s="200"/>
      <c r="D191" s="200"/>
      <c r="E191" s="200"/>
      <c r="F191" s="464"/>
      <c r="G191" s="200"/>
      <c r="H191" s="200"/>
      <c r="I191" s="468" t="s">
        <v>288</v>
      </c>
      <c r="J191" s="468" t="s">
        <v>288</v>
      </c>
      <c r="K191" s="465"/>
      <c r="L191" s="465"/>
      <c r="M191" s="466"/>
      <c r="N191" s="465"/>
      <c r="O191" s="465">
        <v>0</v>
      </c>
      <c r="P191" s="465"/>
      <c r="Q191" s="467"/>
      <c r="R191" s="467"/>
      <c r="S191" s="467"/>
      <c r="T191" s="468" t="s">
        <v>288</v>
      </c>
      <c r="U191" s="468" t="s">
        <v>288</v>
      </c>
      <c r="V191" s="468" t="s">
        <v>288</v>
      </c>
      <c r="W191" s="200"/>
    </row>
    <row r="192" spans="2:23" s="199" customFormat="1">
      <c r="C192" s="200"/>
      <c r="D192" s="200"/>
      <c r="E192" s="200"/>
      <c r="F192" s="464"/>
      <c r="G192" s="200"/>
      <c r="H192" s="200"/>
      <c r="I192" s="468" t="s">
        <v>288</v>
      </c>
      <c r="J192" s="468" t="s">
        <v>288</v>
      </c>
      <c r="K192" s="465"/>
      <c r="L192" s="465"/>
      <c r="M192" s="466"/>
      <c r="N192" s="465"/>
      <c r="O192" s="465">
        <v>0</v>
      </c>
      <c r="P192" s="465"/>
      <c r="Q192" s="467"/>
      <c r="R192" s="467"/>
      <c r="S192" s="467"/>
      <c r="T192" s="468" t="s">
        <v>288</v>
      </c>
      <c r="U192" s="468" t="s">
        <v>288</v>
      </c>
      <c r="V192" s="468" t="s">
        <v>288</v>
      </c>
      <c r="W192" s="200"/>
    </row>
    <row r="193" spans="3:23" s="199" customFormat="1">
      <c r="C193" s="200"/>
      <c r="D193" s="200"/>
      <c r="E193" s="200"/>
      <c r="F193" s="464"/>
      <c r="G193" s="200"/>
      <c r="H193" s="200"/>
      <c r="I193" s="468" t="s">
        <v>288</v>
      </c>
      <c r="J193" s="468" t="s">
        <v>288</v>
      </c>
      <c r="K193" s="465"/>
      <c r="L193" s="465"/>
      <c r="M193" s="466"/>
      <c r="N193" s="465"/>
      <c r="O193" s="465">
        <v>0</v>
      </c>
      <c r="P193" s="465"/>
      <c r="Q193" s="467"/>
      <c r="R193" s="467"/>
      <c r="S193" s="467"/>
      <c r="T193" s="468" t="s">
        <v>288</v>
      </c>
      <c r="U193" s="468" t="s">
        <v>288</v>
      </c>
      <c r="V193" s="468" t="s">
        <v>288</v>
      </c>
      <c r="W193" s="200"/>
    </row>
    <row r="194" spans="3:23">
      <c r="I194" s="468" t="s">
        <v>288</v>
      </c>
      <c r="J194" s="468" t="s">
        <v>288</v>
      </c>
      <c r="O194" s="465">
        <v>0</v>
      </c>
      <c r="T194" s="468" t="s">
        <v>288</v>
      </c>
      <c r="U194" s="468" t="s">
        <v>288</v>
      </c>
      <c r="V194" s="468" t="s">
        <v>288</v>
      </c>
    </row>
    <row r="195" spans="3:23">
      <c r="I195" s="468" t="s">
        <v>288</v>
      </c>
      <c r="J195" s="468" t="s">
        <v>288</v>
      </c>
      <c r="O195" s="465">
        <v>0</v>
      </c>
      <c r="T195" s="468" t="s">
        <v>288</v>
      </c>
      <c r="U195" s="468" t="s">
        <v>288</v>
      </c>
      <c r="V195" s="468" t="s">
        <v>288</v>
      </c>
    </row>
    <row r="196" spans="3:23">
      <c r="I196" s="468" t="s">
        <v>288</v>
      </c>
      <c r="J196" s="468" t="s">
        <v>288</v>
      </c>
      <c r="O196" s="465">
        <v>0</v>
      </c>
      <c r="T196" s="468" t="s">
        <v>288</v>
      </c>
      <c r="U196" s="468" t="s">
        <v>288</v>
      </c>
      <c r="V196" s="468" t="s">
        <v>288</v>
      </c>
    </row>
    <row r="197" spans="3:23">
      <c r="I197" s="468" t="s">
        <v>288</v>
      </c>
      <c r="J197" s="468" t="s">
        <v>288</v>
      </c>
      <c r="O197" s="465">
        <v>0</v>
      </c>
      <c r="T197" s="468" t="s">
        <v>288</v>
      </c>
      <c r="U197" s="468" t="s">
        <v>288</v>
      </c>
      <c r="V197" s="468" t="s">
        <v>288</v>
      </c>
    </row>
    <row r="198" spans="3:23">
      <c r="I198" s="468" t="s">
        <v>288</v>
      </c>
      <c r="J198" s="468" t="s">
        <v>288</v>
      </c>
      <c r="O198" s="465">
        <v>0</v>
      </c>
      <c r="T198" s="468" t="s">
        <v>288</v>
      </c>
      <c r="U198" s="468" t="s">
        <v>288</v>
      </c>
      <c r="V198" s="468" t="s">
        <v>288</v>
      </c>
    </row>
    <row r="199" spans="3:23">
      <c r="I199" s="468" t="s">
        <v>288</v>
      </c>
      <c r="J199" s="468" t="s">
        <v>288</v>
      </c>
      <c r="O199" s="465">
        <v>0</v>
      </c>
      <c r="T199" s="468" t="s">
        <v>288</v>
      </c>
      <c r="U199" s="468" t="s">
        <v>288</v>
      </c>
      <c r="V199" s="468" t="s">
        <v>288</v>
      </c>
    </row>
    <row r="200" spans="3:23">
      <c r="I200" s="468" t="s">
        <v>288</v>
      </c>
      <c r="J200" s="468" t="s">
        <v>288</v>
      </c>
      <c r="O200" s="465">
        <v>0</v>
      </c>
      <c r="T200" s="468" t="s">
        <v>288</v>
      </c>
      <c r="U200" s="468" t="s">
        <v>288</v>
      </c>
      <c r="V200" s="468" t="s">
        <v>288</v>
      </c>
    </row>
    <row r="201" spans="3:23">
      <c r="I201" s="468" t="s">
        <v>288</v>
      </c>
      <c r="J201" s="468" t="s">
        <v>288</v>
      </c>
      <c r="O201" s="465">
        <v>0</v>
      </c>
      <c r="T201" s="468" t="s">
        <v>288</v>
      </c>
      <c r="U201" s="468" t="s">
        <v>288</v>
      </c>
      <c r="V201" s="468" t="s">
        <v>288</v>
      </c>
    </row>
    <row r="202" spans="3:23">
      <c r="I202" s="468" t="s">
        <v>288</v>
      </c>
      <c r="J202" s="468" t="s">
        <v>288</v>
      </c>
      <c r="O202" s="465">
        <v>0</v>
      </c>
      <c r="T202" s="468" t="s">
        <v>288</v>
      </c>
      <c r="U202" s="468" t="s">
        <v>288</v>
      </c>
      <c r="V202" s="468" t="s">
        <v>288</v>
      </c>
    </row>
    <row r="203" spans="3:23">
      <c r="I203" s="468" t="s">
        <v>288</v>
      </c>
      <c r="J203" s="468" t="s">
        <v>288</v>
      </c>
      <c r="O203" s="465">
        <v>0</v>
      </c>
      <c r="T203" s="468" t="s">
        <v>288</v>
      </c>
      <c r="U203" s="468" t="s">
        <v>288</v>
      </c>
      <c r="V203" s="468" t="s">
        <v>288</v>
      </c>
    </row>
    <row r="204" spans="3:23">
      <c r="I204" s="468" t="s">
        <v>288</v>
      </c>
      <c r="J204" s="468" t="s">
        <v>288</v>
      </c>
      <c r="O204" s="465">
        <v>0</v>
      </c>
      <c r="T204" s="468" t="s">
        <v>288</v>
      </c>
      <c r="U204" s="468" t="s">
        <v>288</v>
      </c>
      <c r="V204" s="468" t="s">
        <v>288</v>
      </c>
    </row>
    <row r="205" spans="3:23">
      <c r="I205" s="468" t="s">
        <v>288</v>
      </c>
      <c r="J205" s="468" t="s">
        <v>288</v>
      </c>
      <c r="O205" s="465">
        <v>0</v>
      </c>
      <c r="T205" s="468" t="s">
        <v>288</v>
      </c>
      <c r="U205" s="468" t="s">
        <v>288</v>
      </c>
      <c r="V205" s="468" t="s">
        <v>288</v>
      </c>
    </row>
    <row r="206" spans="3:23">
      <c r="I206" s="468" t="s">
        <v>288</v>
      </c>
      <c r="J206" s="468" t="s">
        <v>288</v>
      </c>
      <c r="O206" s="465">
        <v>0</v>
      </c>
      <c r="T206" s="468" t="s">
        <v>288</v>
      </c>
      <c r="U206" s="468" t="s">
        <v>288</v>
      </c>
      <c r="V206" s="468" t="s">
        <v>288</v>
      </c>
    </row>
    <row r="207" spans="3:23">
      <c r="I207" s="468" t="s">
        <v>288</v>
      </c>
      <c r="J207" s="468" t="s">
        <v>288</v>
      </c>
      <c r="O207" s="465">
        <v>0</v>
      </c>
      <c r="T207" s="468" t="s">
        <v>288</v>
      </c>
      <c r="U207" s="468" t="s">
        <v>288</v>
      </c>
      <c r="V207" s="468" t="s">
        <v>288</v>
      </c>
    </row>
    <row r="208" spans="3:23">
      <c r="I208" s="468" t="s">
        <v>288</v>
      </c>
      <c r="J208" s="468" t="s">
        <v>288</v>
      </c>
      <c r="O208" s="465">
        <v>0</v>
      </c>
      <c r="T208" s="468" t="s">
        <v>288</v>
      </c>
      <c r="U208" s="468" t="s">
        <v>288</v>
      </c>
      <c r="V208" s="468" t="s">
        <v>288</v>
      </c>
    </row>
    <row r="209" spans="9:22">
      <c r="I209" s="468" t="s">
        <v>288</v>
      </c>
      <c r="J209" s="468" t="s">
        <v>288</v>
      </c>
      <c r="O209" s="465">
        <v>0</v>
      </c>
      <c r="T209" s="468" t="s">
        <v>288</v>
      </c>
      <c r="U209" s="468" t="s">
        <v>288</v>
      </c>
      <c r="V209" s="468" t="s">
        <v>288</v>
      </c>
    </row>
    <row r="210" spans="9:22">
      <c r="I210" s="468" t="s">
        <v>288</v>
      </c>
      <c r="J210" s="468" t="s">
        <v>288</v>
      </c>
      <c r="O210" s="465">
        <v>0</v>
      </c>
      <c r="T210" s="468" t="s">
        <v>288</v>
      </c>
      <c r="U210" s="468" t="s">
        <v>288</v>
      </c>
      <c r="V210" s="468" t="s">
        <v>288</v>
      </c>
    </row>
    <row r="211" spans="9:22">
      <c r="T211" s="468"/>
      <c r="U211" s="468"/>
      <c r="V211" s="468"/>
    </row>
    <row r="212" spans="9:22">
      <c r="T212" s="468"/>
      <c r="U212" s="468"/>
      <c r="V212" s="468"/>
    </row>
    <row r="213" spans="9:22">
      <c r="T213" s="468"/>
      <c r="U213" s="468"/>
      <c r="V213" s="468"/>
    </row>
    <row r="214" spans="9:22">
      <c r="T214" s="468"/>
      <c r="U214" s="468"/>
      <c r="V214" s="468"/>
    </row>
    <row r="215" spans="9:22">
      <c r="T215" s="468"/>
      <c r="U215" s="468"/>
      <c r="V215" s="468"/>
    </row>
    <row r="216" spans="9:22">
      <c r="T216" s="468"/>
      <c r="U216" s="468"/>
      <c r="V216" s="468"/>
    </row>
    <row r="217" spans="9:22">
      <c r="T217" s="468"/>
      <c r="U217" s="468"/>
      <c r="V217" s="468"/>
    </row>
    <row r="218" spans="9:22">
      <c r="T218" s="468"/>
      <c r="U218" s="468"/>
      <c r="V218" s="468"/>
    </row>
    <row r="219" spans="9:22">
      <c r="T219" s="468"/>
      <c r="U219" s="468"/>
      <c r="V219" s="468"/>
    </row>
    <row r="220" spans="9:22">
      <c r="T220" s="468"/>
      <c r="U220" s="468"/>
      <c r="V220" s="468"/>
    </row>
    <row r="221" spans="9:22">
      <c r="T221" s="468"/>
      <c r="U221" s="468"/>
      <c r="V221" s="468"/>
    </row>
    <row r="222" spans="9:22" hidden="1">
      <c r="T222" s="468"/>
      <c r="U222" s="468"/>
      <c r="V222" s="468"/>
    </row>
    <row r="223" spans="9:22">
      <c r="T223" s="468"/>
      <c r="U223" s="468"/>
      <c r="V223" s="468"/>
    </row>
    <row r="224" spans="9:22">
      <c r="T224" s="468"/>
      <c r="U224" s="468"/>
      <c r="V224" s="468"/>
    </row>
    <row r="225" spans="20:22">
      <c r="T225" s="468"/>
      <c r="U225" s="468"/>
      <c r="V225" s="468"/>
    </row>
    <row r="226" spans="20:22">
      <c r="T226" s="468"/>
      <c r="U226" s="468"/>
      <c r="V226" s="468"/>
    </row>
    <row r="227" spans="20:22">
      <c r="T227" s="468"/>
      <c r="U227" s="468"/>
      <c r="V227" s="468"/>
    </row>
    <row r="228" spans="20:22">
      <c r="T228" s="468"/>
      <c r="U228" s="468"/>
      <c r="V228" s="468"/>
    </row>
    <row r="229" spans="20:22">
      <c r="T229" s="468"/>
      <c r="U229" s="468"/>
      <c r="V229" s="468"/>
    </row>
    <row r="230" spans="20:22">
      <c r="T230" s="468"/>
      <c r="U230" s="468"/>
      <c r="V230" s="468"/>
    </row>
    <row r="231" spans="20:22">
      <c r="T231" s="468"/>
      <c r="U231" s="468"/>
      <c r="V231" s="468"/>
    </row>
    <row r="232" spans="20:22">
      <c r="T232" s="468"/>
      <c r="U232" s="468"/>
      <c r="V232" s="468"/>
    </row>
    <row r="233" spans="20:22">
      <c r="T233" s="468"/>
      <c r="U233" s="468"/>
      <c r="V233" s="468"/>
    </row>
    <row r="234" spans="20:22">
      <c r="T234" s="468"/>
      <c r="U234" s="468"/>
      <c r="V234" s="468"/>
    </row>
    <row r="235" spans="20:22">
      <c r="T235" s="468"/>
      <c r="U235" s="468"/>
      <c r="V235" s="468"/>
    </row>
    <row r="236" spans="20:22">
      <c r="T236" s="468"/>
      <c r="U236" s="468"/>
      <c r="V236" s="468"/>
    </row>
    <row r="237" spans="20:22">
      <c r="T237" s="468"/>
      <c r="U237" s="468"/>
      <c r="V237" s="468"/>
    </row>
    <row r="238" spans="20:22">
      <c r="T238" s="468"/>
      <c r="U238" s="468"/>
      <c r="V238" s="468"/>
    </row>
    <row r="239" spans="20:22">
      <c r="T239" s="468"/>
      <c r="U239" s="468"/>
      <c r="V239" s="468"/>
    </row>
    <row r="240" spans="20:22">
      <c r="T240" s="468"/>
      <c r="U240" s="468"/>
      <c r="V240" s="468"/>
    </row>
    <row r="241" spans="20:22">
      <c r="T241" s="468"/>
      <c r="U241" s="468"/>
      <c r="V241" s="468"/>
    </row>
    <row r="242" spans="20:22">
      <c r="T242" s="468"/>
      <c r="U242" s="468"/>
      <c r="V242" s="468"/>
    </row>
    <row r="243" spans="20:22">
      <c r="T243" s="468"/>
      <c r="U243" s="468"/>
      <c r="V243" s="468"/>
    </row>
    <row r="244" spans="20:22">
      <c r="T244" s="468"/>
      <c r="U244" s="468"/>
      <c r="V244" s="468"/>
    </row>
    <row r="245" spans="20:22">
      <c r="T245" s="468"/>
      <c r="U245" s="468"/>
      <c r="V245" s="468"/>
    </row>
    <row r="246" spans="20:22">
      <c r="T246" s="468"/>
      <c r="U246" s="468"/>
      <c r="V246" s="468"/>
    </row>
    <row r="247" spans="20:22">
      <c r="T247" s="468"/>
      <c r="U247" s="468"/>
      <c r="V247" s="468"/>
    </row>
    <row r="248" spans="20:22">
      <c r="T248" s="468"/>
      <c r="U248" s="468"/>
      <c r="V248" s="468"/>
    </row>
    <row r="249" spans="20:22">
      <c r="T249" s="468"/>
      <c r="U249" s="468"/>
      <c r="V249" s="468"/>
    </row>
    <row r="250" spans="20:22">
      <c r="T250" s="468"/>
      <c r="U250" s="468"/>
      <c r="V250" s="468"/>
    </row>
    <row r="251" spans="20:22">
      <c r="T251" s="468"/>
      <c r="U251" s="468"/>
      <c r="V251" s="468"/>
    </row>
    <row r="252" spans="20:22">
      <c r="T252" s="468"/>
      <c r="U252" s="468"/>
      <c r="V252" s="468"/>
    </row>
    <row r="253" spans="20:22">
      <c r="T253" s="468"/>
      <c r="U253" s="468"/>
      <c r="V253" s="468"/>
    </row>
    <row r="254" spans="20:22">
      <c r="T254" s="468"/>
      <c r="U254" s="468"/>
      <c r="V254" s="468"/>
    </row>
    <row r="255" spans="20:22">
      <c r="T255" s="468"/>
      <c r="U255" s="468"/>
      <c r="V255" s="468"/>
    </row>
    <row r="256" spans="20:22">
      <c r="T256" s="468"/>
      <c r="U256" s="468"/>
      <c r="V256" s="468"/>
    </row>
    <row r="257" spans="20:22">
      <c r="T257" s="468"/>
      <c r="U257" s="468"/>
      <c r="V257" s="468"/>
    </row>
    <row r="258" spans="20:22">
      <c r="T258" s="468"/>
      <c r="U258" s="468"/>
      <c r="V258" s="468"/>
    </row>
    <row r="259" spans="20:22">
      <c r="T259" s="468"/>
      <c r="U259" s="468"/>
      <c r="V259" s="468"/>
    </row>
    <row r="260" spans="20:22">
      <c r="T260" s="468"/>
      <c r="U260" s="468"/>
      <c r="V260" s="468"/>
    </row>
    <row r="261" spans="20:22">
      <c r="T261" s="468"/>
      <c r="U261" s="468"/>
      <c r="V261" s="468"/>
    </row>
    <row r="262" spans="20:22">
      <c r="T262" s="468"/>
      <c r="U262" s="468"/>
      <c r="V262" s="468"/>
    </row>
    <row r="263" spans="20:22">
      <c r="T263" s="468"/>
      <c r="U263" s="468"/>
      <c r="V263" s="468"/>
    </row>
    <row r="264" spans="20:22">
      <c r="T264" s="468"/>
      <c r="U264" s="468"/>
      <c r="V264" s="468"/>
    </row>
    <row r="265" spans="20:22">
      <c r="T265" s="468"/>
      <c r="U265" s="468"/>
      <c r="V265" s="468"/>
    </row>
    <row r="266" spans="20:22">
      <c r="T266" s="468"/>
      <c r="U266" s="468"/>
      <c r="V266" s="468"/>
    </row>
    <row r="267" spans="20:22">
      <c r="T267" s="468"/>
      <c r="U267" s="468"/>
      <c r="V267" s="468"/>
    </row>
    <row r="268" spans="20:22">
      <c r="T268" s="468"/>
      <c r="U268" s="468"/>
      <c r="V268" s="468"/>
    </row>
    <row r="269" spans="20:22">
      <c r="T269" s="468"/>
      <c r="U269" s="468"/>
      <c r="V269" s="468"/>
    </row>
    <row r="270" spans="20:22">
      <c r="T270" s="468"/>
      <c r="U270" s="468"/>
      <c r="V270" s="468"/>
    </row>
    <row r="271" spans="20:22">
      <c r="T271" s="468"/>
      <c r="U271" s="468"/>
      <c r="V271" s="468"/>
    </row>
    <row r="272" spans="20:22">
      <c r="T272" s="468"/>
      <c r="U272" s="468"/>
      <c r="V272" s="468"/>
    </row>
    <row r="273" spans="20:22">
      <c r="T273" s="468"/>
      <c r="U273" s="468"/>
      <c r="V273" s="468"/>
    </row>
    <row r="274" spans="20:22">
      <c r="T274" s="468"/>
      <c r="U274" s="468"/>
      <c r="V274" s="468"/>
    </row>
    <row r="275" spans="20:22">
      <c r="T275" s="468"/>
      <c r="U275" s="468"/>
      <c r="V275" s="468"/>
    </row>
    <row r="276" spans="20:22">
      <c r="T276" s="468"/>
      <c r="U276" s="468"/>
      <c r="V276" s="468"/>
    </row>
    <row r="277" spans="20:22">
      <c r="T277" s="468"/>
      <c r="U277" s="468"/>
      <c r="V277" s="468"/>
    </row>
    <row r="278" spans="20:22">
      <c r="T278" s="468"/>
      <c r="U278" s="468"/>
      <c r="V278" s="468"/>
    </row>
    <row r="279" spans="20:22">
      <c r="T279" s="468"/>
      <c r="U279" s="468"/>
      <c r="V279" s="468"/>
    </row>
    <row r="280" spans="20:22">
      <c r="T280" s="468"/>
      <c r="U280" s="468"/>
      <c r="V280" s="468"/>
    </row>
    <row r="281" spans="20:22">
      <c r="T281" s="468"/>
      <c r="U281" s="468"/>
      <c r="V281" s="468"/>
    </row>
    <row r="282" spans="20:22">
      <c r="T282" s="468"/>
      <c r="U282" s="468"/>
      <c r="V282" s="468"/>
    </row>
    <row r="283" spans="20:22">
      <c r="T283" s="468"/>
      <c r="U283" s="468"/>
      <c r="V283" s="468"/>
    </row>
    <row r="284" spans="20:22">
      <c r="T284" s="468"/>
      <c r="U284" s="468"/>
      <c r="V284" s="468"/>
    </row>
    <row r="285" spans="20:22">
      <c r="T285" s="468"/>
      <c r="U285" s="468"/>
      <c r="V285" s="468"/>
    </row>
    <row r="286" spans="20:22">
      <c r="T286" s="468"/>
      <c r="U286" s="468"/>
      <c r="V286" s="468"/>
    </row>
    <row r="287" spans="20:22">
      <c r="T287" s="468"/>
      <c r="U287" s="468"/>
      <c r="V287" s="468"/>
    </row>
    <row r="288" spans="20:22">
      <c r="T288" s="468"/>
      <c r="U288" s="468"/>
      <c r="V288" s="468"/>
    </row>
    <row r="289" spans="20:22">
      <c r="T289" s="468"/>
      <c r="U289" s="468"/>
      <c r="V289" s="468"/>
    </row>
    <row r="290" spans="20:22">
      <c r="T290" s="468"/>
      <c r="U290" s="468"/>
      <c r="V290" s="468"/>
    </row>
    <row r="291" spans="20:22">
      <c r="T291" s="468"/>
      <c r="U291" s="468"/>
      <c r="V291" s="468"/>
    </row>
    <row r="292" spans="20:22">
      <c r="T292" s="468"/>
      <c r="U292" s="468"/>
      <c r="V292" s="468"/>
    </row>
    <row r="293" spans="20:22">
      <c r="T293" s="468"/>
      <c r="U293" s="468"/>
      <c r="V293" s="468"/>
    </row>
    <row r="294" spans="20:22">
      <c r="T294" s="468"/>
      <c r="U294" s="468"/>
      <c r="V294" s="468"/>
    </row>
    <row r="295" spans="20:22">
      <c r="T295" s="468"/>
      <c r="U295" s="468"/>
      <c r="V295" s="468"/>
    </row>
    <row r="296" spans="20:22">
      <c r="T296" s="468"/>
      <c r="U296" s="468"/>
      <c r="V296" s="468"/>
    </row>
    <row r="297" spans="20:22">
      <c r="T297" s="468"/>
      <c r="U297" s="468"/>
      <c r="V297" s="468"/>
    </row>
    <row r="298" spans="20:22">
      <c r="T298" s="468"/>
      <c r="U298" s="468"/>
      <c r="V298" s="468"/>
    </row>
    <row r="299" spans="20:22">
      <c r="T299" s="468"/>
      <c r="U299" s="468"/>
      <c r="V299" s="468"/>
    </row>
    <row r="300" spans="20:22">
      <c r="T300" s="468"/>
      <c r="U300" s="468"/>
      <c r="V300" s="468"/>
    </row>
    <row r="301" spans="20:22">
      <c r="T301" s="468"/>
      <c r="U301" s="468"/>
      <c r="V301" s="468"/>
    </row>
    <row r="302" spans="20:22">
      <c r="T302" s="468"/>
      <c r="U302" s="468"/>
      <c r="V302" s="468"/>
    </row>
    <row r="303" spans="20:22">
      <c r="T303" s="468"/>
      <c r="U303" s="468"/>
      <c r="V303" s="468"/>
    </row>
    <row r="304" spans="20:22">
      <c r="T304" s="468"/>
      <c r="U304" s="468"/>
      <c r="V304" s="468"/>
    </row>
    <row r="305" spans="20:22">
      <c r="T305" s="468"/>
      <c r="U305" s="468"/>
      <c r="V305" s="468"/>
    </row>
    <row r="306" spans="20:22">
      <c r="T306" s="468"/>
      <c r="U306" s="468"/>
      <c r="V306" s="468"/>
    </row>
    <row r="307" spans="20:22"/>
    <row r="308" spans="20:22"/>
    <row r="309" spans="20:22"/>
    <row r="310" spans="20:22"/>
    <row r="311" spans="20:22"/>
    <row r="312" spans="20:22"/>
    <row r="313" spans="20:22"/>
    <row r="314" spans="20:22"/>
    <row r="315" spans="20:22"/>
    <row r="316" spans="20:22"/>
    <row r="317" spans="20:22"/>
    <row r="318" spans="20:22"/>
    <row r="319" spans="20:22"/>
    <row r="320" spans="20:22"/>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sheetData>
  <sheetProtection sheet="1" objects="1" scenarios="1" selectLockedCells="1"/>
  <mergeCells count="16">
    <mergeCell ref="D1:E1"/>
    <mergeCell ref="B3:B8"/>
    <mergeCell ref="B62:B72"/>
    <mergeCell ref="B111:B117"/>
    <mergeCell ref="B123:B128"/>
    <mergeCell ref="B118:B122"/>
    <mergeCell ref="B73:B110"/>
    <mergeCell ref="B156:B160"/>
    <mergeCell ref="B161:B165"/>
    <mergeCell ref="B166:B177"/>
    <mergeCell ref="B135:B145"/>
    <mergeCell ref="B9:B20"/>
    <mergeCell ref="B21:B61"/>
    <mergeCell ref="B146:B150"/>
    <mergeCell ref="B151:B155"/>
    <mergeCell ref="B129:B134"/>
  </mergeCells>
  <phoneticPr fontId="14"/>
  <dataValidations count="2">
    <dataValidation type="list" allowBlank="1" showErrorMessage="1" sqref="E109:E177 P3:P177 M3:M177 E8:E98">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ignoredErrors>
    <ignoredError sqref="J69" evalError="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C21" sqref="C21"/>
    </sheetView>
  </sheetViews>
  <sheetFormatPr defaultRowHeight="13.5"/>
  <cols>
    <col min="3" max="3" width="9.875" bestFit="1" customWidth="1"/>
    <col min="4" max="4" width="30.5" bestFit="1" customWidth="1"/>
  </cols>
  <sheetData>
    <row r="3" spans="3:4">
      <c r="C3" s="301" t="s">
        <v>372</v>
      </c>
      <c r="D3" s="303"/>
    </row>
    <row r="4" spans="3:4">
      <c r="C4" s="305"/>
      <c r="D4" s="303" t="s">
        <v>373</v>
      </c>
    </row>
    <row r="5" spans="3:4">
      <c r="C5" s="306"/>
      <c r="D5" s="303" t="s">
        <v>374</v>
      </c>
    </row>
    <row r="6" spans="3:4">
      <c r="C6" s="303"/>
      <c r="D6" s="303" t="s">
        <v>375</v>
      </c>
    </row>
    <row r="13" spans="3:4">
      <c r="C13" s="301" t="s">
        <v>368</v>
      </c>
      <c r="D13" s="301" t="s">
        <v>367</v>
      </c>
    </row>
    <row r="14" spans="3:4">
      <c r="C14" s="302"/>
      <c r="D14" s="303" t="s">
        <v>369</v>
      </c>
    </row>
    <row r="15" spans="3:4">
      <c r="C15" s="304"/>
      <c r="D15" s="303" t="s">
        <v>370</v>
      </c>
    </row>
    <row r="16" spans="3:4">
      <c r="C16" s="303"/>
      <c r="D16" s="303" t="s">
        <v>371</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F11" sqref="F11"/>
    </sheetView>
  </sheetViews>
  <sheetFormatPr defaultColWidth="10.5" defaultRowHeight="13.5"/>
  <cols>
    <col min="1" max="1" width="16.25" customWidth="1"/>
  </cols>
  <sheetData>
    <row r="1" spans="1:26" s="12" customFormat="1">
      <c r="B1" s="13"/>
      <c r="C1" s="14" t="s">
        <v>112</v>
      </c>
      <c r="D1" s="14" t="s">
        <v>98</v>
      </c>
      <c r="E1" s="14" t="s">
        <v>95</v>
      </c>
      <c r="F1" s="14" t="s">
        <v>101</v>
      </c>
      <c r="G1" s="14" t="s">
        <v>148</v>
      </c>
      <c r="H1" s="14" t="s">
        <v>115</v>
      </c>
      <c r="I1" s="14" t="s">
        <v>149</v>
      </c>
      <c r="J1" s="14" t="s">
        <v>121</v>
      </c>
      <c r="K1" s="14" t="s">
        <v>118</v>
      </c>
      <c r="L1" s="14" t="s">
        <v>127</v>
      </c>
      <c r="M1" s="14" t="s">
        <v>125</v>
      </c>
      <c r="N1" s="14" t="s">
        <v>108</v>
      </c>
      <c r="P1" s="15" t="s">
        <v>195</v>
      </c>
      <c r="Q1" s="15" t="s">
        <v>80</v>
      </c>
      <c r="S1" s="15" t="s">
        <v>196</v>
      </c>
      <c r="U1" s="15" t="s">
        <v>159</v>
      </c>
      <c r="W1" s="15" t="s">
        <v>258</v>
      </c>
      <c r="Y1" s="639" t="s">
        <v>649</v>
      </c>
      <c r="Z1" s="639" t="s">
        <v>650</v>
      </c>
    </row>
    <row r="2" spans="1:26">
      <c r="A2" s="469" t="s">
        <v>112</v>
      </c>
      <c r="B2" s="470">
        <v>1</v>
      </c>
      <c r="C2" s="471" t="s">
        <v>113</v>
      </c>
      <c r="D2" s="471" t="s">
        <v>99</v>
      </c>
      <c r="E2" s="471" t="s">
        <v>165</v>
      </c>
      <c r="F2" s="471" t="s">
        <v>104</v>
      </c>
      <c r="G2" s="471" t="s">
        <v>71</v>
      </c>
      <c r="H2" s="471" t="s">
        <v>178</v>
      </c>
      <c r="I2" s="471" t="s">
        <v>182</v>
      </c>
      <c r="J2" s="471" t="s">
        <v>185</v>
      </c>
      <c r="K2" s="471" t="s">
        <v>119</v>
      </c>
      <c r="L2" s="471" t="s">
        <v>250</v>
      </c>
      <c r="M2" s="471" t="s">
        <v>152</v>
      </c>
      <c r="N2" s="471" t="s">
        <v>156</v>
      </c>
      <c r="P2" s="16" t="s">
        <v>197</v>
      </c>
      <c r="Q2" s="16" t="s">
        <v>114</v>
      </c>
      <c r="S2" t="s">
        <v>71</v>
      </c>
      <c r="U2" t="s">
        <v>189</v>
      </c>
      <c r="W2" s="19" t="s">
        <v>259</v>
      </c>
      <c r="Y2" t="s">
        <v>651</v>
      </c>
      <c r="Z2" t="s">
        <v>652</v>
      </c>
    </row>
    <row r="3" spans="1:26">
      <c r="A3" s="470" t="s">
        <v>98</v>
      </c>
      <c r="B3" s="470">
        <v>2</v>
      </c>
      <c r="C3" s="471" t="s">
        <v>160</v>
      </c>
      <c r="D3" s="471" t="s">
        <v>162</v>
      </c>
      <c r="E3" s="471" t="s">
        <v>96</v>
      </c>
      <c r="F3" s="471" t="s">
        <v>106</v>
      </c>
      <c r="G3" s="471" t="s">
        <v>69</v>
      </c>
      <c r="H3" s="471" t="s">
        <v>179</v>
      </c>
      <c r="I3" s="471" t="s">
        <v>183</v>
      </c>
      <c r="J3" s="471" t="s">
        <v>122</v>
      </c>
      <c r="K3" s="471" t="s">
        <v>186</v>
      </c>
      <c r="L3" s="471" t="s">
        <v>251</v>
      </c>
      <c r="M3" s="471" t="s">
        <v>126</v>
      </c>
      <c r="N3" s="471" t="s">
        <v>123</v>
      </c>
      <c r="P3" s="16" t="s">
        <v>198</v>
      </c>
      <c r="Q3" s="16" t="s">
        <v>199</v>
      </c>
      <c r="S3" t="s">
        <v>69</v>
      </c>
      <c r="U3" t="s">
        <v>164</v>
      </c>
      <c r="W3" s="19" t="s">
        <v>260</v>
      </c>
      <c r="Y3" t="s">
        <v>653</v>
      </c>
      <c r="Z3" t="s">
        <v>654</v>
      </c>
    </row>
    <row r="4" spans="1:26">
      <c r="A4" s="470" t="s">
        <v>95</v>
      </c>
      <c r="B4" s="470">
        <v>3</v>
      </c>
      <c r="C4" s="471" t="s">
        <v>161</v>
      </c>
      <c r="D4" s="471" t="s">
        <v>163</v>
      </c>
      <c r="E4" s="471" t="s">
        <v>97</v>
      </c>
      <c r="F4" s="471" t="s">
        <v>169</v>
      </c>
      <c r="G4" s="471" t="s">
        <v>172</v>
      </c>
      <c r="H4" s="471" t="s">
        <v>180</v>
      </c>
      <c r="I4" s="471" t="s">
        <v>184</v>
      </c>
      <c r="J4" s="471"/>
      <c r="K4" s="471" t="s">
        <v>187</v>
      </c>
      <c r="L4" s="471"/>
      <c r="M4" s="471" t="s">
        <v>153</v>
      </c>
      <c r="N4" s="472" t="s">
        <v>109</v>
      </c>
      <c r="P4" s="16" t="s">
        <v>200</v>
      </c>
      <c r="Q4" s="16" t="s">
        <v>105</v>
      </c>
      <c r="S4" t="s">
        <v>175</v>
      </c>
      <c r="U4" t="s">
        <v>201</v>
      </c>
      <c r="W4" s="19" t="s">
        <v>261</v>
      </c>
      <c r="Y4" t="s">
        <v>655</v>
      </c>
      <c r="Z4" t="s">
        <v>634</v>
      </c>
    </row>
    <row r="5" spans="1:26">
      <c r="A5" s="470" t="s">
        <v>101</v>
      </c>
      <c r="B5" s="470">
        <v>4</v>
      </c>
      <c r="C5" s="471"/>
      <c r="D5" s="471"/>
      <c r="E5" s="471" t="s">
        <v>166</v>
      </c>
      <c r="F5" s="471" t="s">
        <v>170</v>
      </c>
      <c r="G5" s="471" t="s">
        <v>173</v>
      </c>
      <c r="H5" s="471" t="s">
        <v>181</v>
      </c>
      <c r="I5" s="471"/>
      <c r="J5" s="471"/>
      <c r="K5" s="471" t="s">
        <v>188</v>
      </c>
      <c r="L5" s="471"/>
      <c r="M5" s="471" t="s">
        <v>154</v>
      </c>
      <c r="N5" s="471" t="s">
        <v>191</v>
      </c>
      <c r="P5" s="16" t="s">
        <v>202</v>
      </c>
      <c r="Q5" s="16" t="s">
        <v>103</v>
      </c>
      <c r="S5" t="s">
        <v>172</v>
      </c>
      <c r="W5" s="19" t="s">
        <v>262</v>
      </c>
    </row>
    <row r="6" spans="1:26">
      <c r="A6" s="470" t="s">
        <v>115</v>
      </c>
      <c r="B6" s="470">
        <v>5</v>
      </c>
      <c r="C6" s="471"/>
      <c r="D6" s="471"/>
      <c r="E6" s="471" t="s">
        <v>167</v>
      </c>
      <c r="F6" s="471" t="s">
        <v>102</v>
      </c>
      <c r="G6" s="471" t="s">
        <v>177</v>
      </c>
      <c r="H6" s="471" t="s">
        <v>116</v>
      </c>
      <c r="I6" s="471"/>
      <c r="J6" s="471"/>
      <c r="K6" s="471"/>
      <c r="L6" s="471"/>
      <c r="M6" s="471" t="s">
        <v>190</v>
      </c>
      <c r="N6" s="471" t="s">
        <v>124</v>
      </c>
      <c r="P6" s="16" t="s">
        <v>203</v>
      </c>
      <c r="Q6" s="16" t="s">
        <v>204</v>
      </c>
      <c r="S6" t="s">
        <v>173</v>
      </c>
      <c r="W6" s="19" t="s">
        <v>263</v>
      </c>
    </row>
    <row r="7" spans="1:26">
      <c r="A7" s="470" t="s">
        <v>205</v>
      </c>
      <c r="B7" s="470">
        <v>6</v>
      </c>
      <c r="C7" s="471"/>
      <c r="D7" s="471"/>
      <c r="E7" s="471" t="s">
        <v>168</v>
      </c>
      <c r="F7" s="471" t="s">
        <v>171</v>
      </c>
      <c r="G7" s="471" t="s">
        <v>296</v>
      </c>
      <c r="H7" s="473" t="s">
        <v>279</v>
      </c>
      <c r="I7" s="471"/>
      <c r="J7" s="471"/>
      <c r="K7" s="471"/>
      <c r="L7" s="471"/>
      <c r="M7" s="471"/>
      <c r="N7" s="471" t="s">
        <v>192</v>
      </c>
      <c r="P7" s="16" t="s">
        <v>206</v>
      </c>
      <c r="Q7" s="16" t="s">
        <v>207</v>
      </c>
      <c r="S7" t="s">
        <v>174</v>
      </c>
      <c r="W7" s="19" t="s">
        <v>264</v>
      </c>
    </row>
    <row r="8" spans="1:26">
      <c r="A8" s="470" t="s">
        <v>149</v>
      </c>
      <c r="B8" s="470">
        <v>7</v>
      </c>
      <c r="C8" s="471"/>
      <c r="D8" s="471"/>
      <c r="E8" s="471"/>
      <c r="F8" s="471"/>
      <c r="G8" s="471" t="s">
        <v>644</v>
      </c>
      <c r="H8" s="473" t="s">
        <v>278</v>
      </c>
      <c r="I8" s="471"/>
      <c r="J8" s="471"/>
      <c r="K8" s="471"/>
      <c r="L8" s="471"/>
      <c r="M8" s="471"/>
      <c r="N8" s="471" t="s">
        <v>193</v>
      </c>
      <c r="P8" s="16" t="s">
        <v>208</v>
      </c>
      <c r="Q8" s="16" t="s">
        <v>209</v>
      </c>
      <c r="S8" t="s">
        <v>176</v>
      </c>
      <c r="W8" s="19" t="s">
        <v>265</v>
      </c>
    </row>
    <row r="9" spans="1:26">
      <c r="A9" s="470" t="s">
        <v>127</v>
      </c>
      <c r="B9" s="470">
        <v>8</v>
      </c>
      <c r="C9" s="471"/>
      <c r="D9" s="471"/>
      <c r="E9" s="471"/>
      <c r="F9" s="471"/>
      <c r="G9" s="471" t="s">
        <v>665</v>
      </c>
      <c r="H9" s="473" t="s">
        <v>280</v>
      </c>
      <c r="I9" s="471"/>
      <c r="J9" s="471"/>
      <c r="K9" s="471"/>
      <c r="L9" s="471"/>
      <c r="M9" s="471"/>
      <c r="N9" s="471" t="s">
        <v>111</v>
      </c>
      <c r="P9" s="16" t="s">
        <v>210</v>
      </c>
      <c r="Q9" s="16" t="s">
        <v>211</v>
      </c>
      <c r="W9" s="19" t="s">
        <v>267</v>
      </c>
    </row>
    <row r="10" spans="1:26">
      <c r="A10" s="470" t="s">
        <v>118</v>
      </c>
      <c r="B10" s="470">
        <v>9</v>
      </c>
      <c r="C10" s="471"/>
      <c r="D10" s="471"/>
      <c r="E10" s="471"/>
      <c r="F10" s="471"/>
      <c r="G10" s="471" t="s">
        <v>295</v>
      </c>
      <c r="H10" s="473" t="s">
        <v>281</v>
      </c>
      <c r="I10" s="471"/>
      <c r="J10" s="471"/>
      <c r="K10" s="471"/>
      <c r="L10" s="471"/>
      <c r="M10" s="471"/>
      <c r="N10" s="471" t="s">
        <v>194</v>
      </c>
      <c r="P10" s="16" t="s">
        <v>212</v>
      </c>
      <c r="Q10" s="16" t="s">
        <v>213</v>
      </c>
      <c r="W10" s="19" t="s">
        <v>272</v>
      </c>
    </row>
    <row r="11" spans="1:26">
      <c r="A11" s="470" t="s">
        <v>121</v>
      </c>
      <c r="B11" s="470">
        <v>10</v>
      </c>
      <c r="C11" s="471"/>
      <c r="D11" s="471"/>
      <c r="E11" s="471"/>
      <c r="F11" s="471"/>
      <c r="G11" s="471"/>
      <c r="H11" s="473" t="s">
        <v>282</v>
      </c>
      <c r="I11" s="471"/>
      <c r="J11" s="471"/>
      <c r="K11" s="471"/>
      <c r="L11" s="471"/>
      <c r="M11" s="471"/>
      <c r="N11" s="471"/>
      <c r="P11" s="16" t="s">
        <v>214</v>
      </c>
      <c r="Q11" s="16" t="s">
        <v>215</v>
      </c>
      <c r="W11" s="19" t="s">
        <v>271</v>
      </c>
    </row>
    <row r="12" spans="1:26">
      <c r="A12" s="470" t="s">
        <v>216</v>
      </c>
      <c r="B12" s="470">
        <v>11</v>
      </c>
      <c r="C12" s="471"/>
      <c r="D12" s="471"/>
      <c r="E12" s="471"/>
      <c r="F12" s="471"/>
      <c r="G12" s="471"/>
      <c r="H12" s="471"/>
      <c r="I12" s="471"/>
      <c r="J12" s="471"/>
      <c r="K12" s="471"/>
      <c r="L12" s="471"/>
      <c r="M12" s="471"/>
      <c r="N12" s="471"/>
      <c r="P12" s="16" t="s">
        <v>217</v>
      </c>
      <c r="Q12" s="16" t="s">
        <v>117</v>
      </c>
      <c r="W12" s="19" t="s">
        <v>270</v>
      </c>
    </row>
    <row r="13" spans="1:26">
      <c r="A13" s="470" t="s">
        <v>109</v>
      </c>
      <c r="B13" s="470">
        <v>12</v>
      </c>
      <c r="C13" s="471"/>
      <c r="D13" s="471"/>
      <c r="E13" s="471"/>
      <c r="F13" s="471"/>
      <c r="G13" s="471"/>
      <c r="H13" s="471"/>
      <c r="I13" s="471"/>
      <c r="J13" s="471"/>
      <c r="K13" s="471"/>
      <c r="L13" s="471"/>
      <c r="M13" s="471"/>
      <c r="N13" s="471"/>
      <c r="P13" s="16" t="s">
        <v>218</v>
      </c>
      <c r="Q13" s="16" t="s">
        <v>219</v>
      </c>
      <c r="W13" s="19" t="s">
        <v>269</v>
      </c>
    </row>
    <row r="14" spans="1:26">
      <c r="A14" s="470" t="s">
        <v>220</v>
      </c>
      <c r="B14" s="470">
        <v>13</v>
      </c>
      <c r="C14" s="471"/>
      <c r="D14" s="471"/>
      <c r="E14" s="471"/>
      <c r="F14" s="471"/>
      <c r="G14" s="471"/>
      <c r="H14" s="471"/>
      <c r="I14" s="471"/>
      <c r="J14" s="471"/>
      <c r="K14" s="471"/>
      <c r="L14" s="471"/>
      <c r="M14" s="471"/>
      <c r="N14" s="471"/>
      <c r="P14" s="16" t="s">
        <v>221</v>
      </c>
      <c r="Q14" s="16" t="s">
        <v>100</v>
      </c>
      <c r="W14" s="19" t="s">
        <v>268</v>
      </c>
    </row>
    <row r="15" spans="1:26">
      <c r="A15" s="470" t="s">
        <v>222</v>
      </c>
      <c r="B15" s="470">
        <v>14</v>
      </c>
      <c r="C15" s="471"/>
      <c r="D15" s="471"/>
      <c r="E15" s="471"/>
      <c r="F15" s="471"/>
      <c r="G15" s="471"/>
      <c r="H15" s="471"/>
      <c r="I15" s="471"/>
      <c r="J15" s="471"/>
      <c r="K15" s="471"/>
      <c r="L15" s="471"/>
      <c r="M15" s="471"/>
      <c r="N15" s="471"/>
      <c r="P15" s="16" t="s">
        <v>223</v>
      </c>
      <c r="Q15" s="16" t="s">
        <v>224</v>
      </c>
      <c r="W15" s="19" t="s">
        <v>266</v>
      </c>
    </row>
    <row r="16" spans="1:26">
      <c r="A16" s="471"/>
      <c r="B16" s="471"/>
      <c r="C16" s="471"/>
      <c r="D16" s="471"/>
      <c r="E16" s="471"/>
      <c r="F16" s="471"/>
      <c r="G16" s="471"/>
      <c r="H16" s="471"/>
      <c r="I16" s="471"/>
      <c r="J16" s="471"/>
      <c r="K16" s="471"/>
      <c r="L16" s="471"/>
      <c r="M16" s="471"/>
      <c r="N16" s="471"/>
      <c r="P16" s="16" t="s">
        <v>225</v>
      </c>
      <c r="Q16" s="16" t="s">
        <v>226</v>
      </c>
    </row>
    <row r="17" spans="1:17">
      <c r="A17" s="471"/>
      <c r="B17" s="471"/>
      <c r="C17" s="471"/>
      <c r="D17" s="471"/>
      <c r="E17" s="471"/>
      <c r="F17" s="471"/>
      <c r="G17" s="471"/>
      <c r="H17" s="471"/>
      <c r="I17" s="471"/>
      <c r="J17" s="471"/>
      <c r="K17" s="471"/>
      <c r="L17" s="471"/>
      <c r="M17" s="471"/>
      <c r="N17" s="471"/>
      <c r="P17" s="16" t="s">
        <v>227</v>
      </c>
      <c r="Q17" s="16" t="s">
        <v>228</v>
      </c>
    </row>
    <row r="18" spans="1:17">
      <c r="A18" s="471"/>
      <c r="B18" s="471"/>
      <c r="C18" s="471"/>
      <c r="D18" s="471"/>
      <c r="E18" s="471"/>
      <c r="F18" s="471"/>
      <c r="G18" s="471"/>
      <c r="H18" s="471"/>
      <c r="I18" s="471"/>
      <c r="J18" s="471"/>
      <c r="K18" s="471"/>
      <c r="L18" s="471"/>
      <c r="M18" s="471"/>
      <c r="N18" s="471"/>
      <c r="P18" s="16" t="s">
        <v>229</v>
      </c>
      <c r="Q18" s="16" t="s">
        <v>230</v>
      </c>
    </row>
    <row r="19" spans="1:17">
      <c r="A19" s="471"/>
      <c r="B19" s="471"/>
      <c r="C19" s="471"/>
      <c r="D19" s="471"/>
      <c r="E19" s="471"/>
      <c r="F19" s="471"/>
      <c r="G19" s="471"/>
      <c r="H19" s="471"/>
      <c r="I19" s="471"/>
      <c r="J19" s="471"/>
      <c r="K19" s="471"/>
      <c r="L19" s="471"/>
      <c r="M19" s="471"/>
      <c r="N19" s="471"/>
      <c r="P19" s="16" t="s">
        <v>231</v>
      </c>
      <c r="Q19" s="16" t="s">
        <v>158</v>
      </c>
    </row>
    <row r="20" spans="1:17">
      <c r="A20" s="471"/>
      <c r="B20" s="471"/>
      <c r="C20" s="471"/>
      <c r="D20" s="471"/>
      <c r="E20" s="471"/>
      <c r="F20" s="471"/>
      <c r="G20" s="471"/>
      <c r="H20" s="471"/>
      <c r="I20" s="471"/>
      <c r="J20" s="471"/>
      <c r="K20" s="471"/>
      <c r="L20" s="471"/>
      <c r="M20" s="471"/>
      <c r="N20" s="471"/>
      <c r="P20" s="16" t="s">
        <v>232</v>
      </c>
      <c r="Q20" s="16" t="s">
        <v>233</v>
      </c>
    </row>
    <row r="21" spans="1:17">
      <c r="A21" s="471"/>
      <c r="B21" s="471"/>
      <c r="C21" s="471"/>
      <c r="D21" s="471"/>
      <c r="E21" s="471"/>
      <c r="F21" s="471"/>
      <c r="G21" s="471"/>
      <c r="H21" s="471"/>
      <c r="I21" s="471"/>
      <c r="J21" s="471"/>
      <c r="K21" s="471"/>
      <c r="L21" s="471"/>
      <c r="M21" s="471"/>
      <c r="N21" s="471"/>
      <c r="P21" s="16" t="s">
        <v>234</v>
      </c>
      <c r="Q21" s="17" t="s">
        <v>128</v>
      </c>
    </row>
    <row r="22" spans="1:17">
      <c r="A22" s="471"/>
      <c r="B22" s="471"/>
      <c r="C22" s="471"/>
      <c r="D22" s="471"/>
      <c r="E22" s="471"/>
      <c r="F22" s="471"/>
      <c r="G22" s="471"/>
      <c r="H22" s="471"/>
      <c r="I22" s="471"/>
      <c r="J22" s="471"/>
      <c r="K22" s="471"/>
      <c r="L22" s="471"/>
      <c r="M22" s="471"/>
      <c r="N22" s="471"/>
      <c r="P22" s="16" t="s">
        <v>235</v>
      </c>
      <c r="Q22" s="18" t="s">
        <v>120</v>
      </c>
    </row>
    <row r="23" spans="1:17">
      <c r="A23" s="471"/>
      <c r="B23" s="471"/>
      <c r="C23" s="471"/>
      <c r="D23" s="471"/>
      <c r="E23" s="471"/>
      <c r="F23" s="471"/>
      <c r="G23" s="471"/>
      <c r="H23" s="471"/>
      <c r="I23" s="471"/>
      <c r="J23" s="471"/>
      <c r="K23" s="471"/>
      <c r="L23" s="471"/>
      <c r="M23" s="471"/>
      <c r="N23" s="471"/>
      <c r="P23" s="16" t="s">
        <v>68</v>
      </c>
      <c r="Q23" s="17" t="s">
        <v>110</v>
      </c>
    </row>
    <row r="24" spans="1:17">
      <c r="A24" s="471"/>
      <c r="B24" s="471"/>
      <c r="C24" s="471"/>
      <c r="D24" s="471"/>
      <c r="E24" s="471"/>
      <c r="F24" s="471"/>
      <c r="G24" s="471"/>
      <c r="H24" s="471"/>
      <c r="I24" s="471"/>
      <c r="J24" s="471"/>
      <c r="K24" s="471"/>
      <c r="L24" s="471"/>
      <c r="M24" s="471"/>
      <c r="N24" s="471"/>
      <c r="P24" s="16" t="s">
        <v>236</v>
      </c>
      <c r="Q24" s="18" t="s">
        <v>237</v>
      </c>
    </row>
    <row r="25" spans="1:17">
      <c r="A25" s="471"/>
      <c r="B25" s="471"/>
      <c r="C25" s="471"/>
      <c r="D25" s="471"/>
      <c r="E25" s="471"/>
      <c r="F25" s="471"/>
      <c r="G25" s="471"/>
      <c r="H25" s="471"/>
      <c r="I25" s="471"/>
      <c r="J25" s="471"/>
      <c r="K25" s="471"/>
      <c r="L25" s="471"/>
      <c r="M25" s="471"/>
      <c r="N25" s="471"/>
      <c r="P25" s="16" t="s">
        <v>70</v>
      </c>
      <c r="Q25" s="18" t="s">
        <v>238</v>
      </c>
    </row>
    <row r="26" spans="1:17">
      <c r="P26" s="16" t="s">
        <v>239</v>
      </c>
      <c r="Q26" s="18" t="s">
        <v>240</v>
      </c>
    </row>
    <row r="27" spans="1:17">
      <c r="P27" s="16" t="s">
        <v>241</v>
      </c>
      <c r="Q27" s="18" t="s">
        <v>240</v>
      </c>
    </row>
    <row r="28" spans="1:17">
      <c r="P28" s="16" t="s">
        <v>73</v>
      </c>
      <c r="Q28" s="18" t="s">
        <v>242</v>
      </c>
    </row>
    <row r="29" spans="1:17">
      <c r="P29" s="16" t="s">
        <v>243</v>
      </c>
      <c r="Q29" s="18" t="s">
        <v>244</v>
      </c>
    </row>
    <row r="30" spans="1:17">
      <c r="P30" s="16" t="s">
        <v>72</v>
      </c>
      <c r="Q30" s="18" t="s">
        <v>240</v>
      </c>
    </row>
    <row r="31" spans="1:17">
      <c r="P31" s="16" t="s">
        <v>245</v>
      </c>
      <c r="Q31" s="18" t="s">
        <v>240</v>
      </c>
    </row>
    <row r="32" spans="1:17">
      <c r="P32" s="16" t="s">
        <v>75</v>
      </c>
      <c r="Q32" s="598" t="s">
        <v>80</v>
      </c>
    </row>
    <row r="33" spans="16:17">
      <c r="P33" s="16" t="s">
        <v>246</v>
      </c>
      <c r="Q33" s="598" t="s">
        <v>638</v>
      </c>
    </row>
    <row r="34" spans="16:17">
      <c r="P34" s="16" t="s">
        <v>247</v>
      </c>
    </row>
    <row r="35" spans="16:17">
      <c r="P35" s="16" t="s">
        <v>74</v>
      </c>
    </row>
    <row r="36" spans="16:17">
      <c r="P36" s="16" t="s">
        <v>248</v>
      </c>
    </row>
    <row r="37" spans="16:17">
      <c r="P37" s="16" t="s">
        <v>249</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tabSelected="1" workbookViewId="0">
      <selection activeCell="B2" sqref="B2"/>
    </sheetView>
  </sheetViews>
  <sheetFormatPr defaultRowHeight="13.5"/>
  <cols>
    <col min="1" max="1" width="3.375" customWidth="1"/>
    <col min="7" max="7" width="9.125" customWidth="1"/>
    <col min="8" max="8" width="9.25" customWidth="1"/>
  </cols>
  <sheetData>
    <row r="2" spans="1:11" ht="17.25">
      <c r="B2" s="311" t="s">
        <v>671</v>
      </c>
    </row>
    <row r="4" spans="1:11" ht="13.5" customHeight="1">
      <c r="A4">
        <v>1</v>
      </c>
      <c r="B4" s="854" t="s">
        <v>553</v>
      </c>
      <c r="C4" s="854"/>
      <c r="D4" s="854"/>
      <c r="E4" s="854"/>
      <c r="F4" s="854"/>
      <c r="G4" s="854"/>
      <c r="H4" s="854"/>
      <c r="I4" s="854"/>
      <c r="J4" s="568"/>
      <c r="K4" s="568"/>
    </row>
    <row r="5" spans="1:11">
      <c r="B5" s="854"/>
      <c r="C5" s="854"/>
      <c r="D5" s="854"/>
      <c r="E5" s="854"/>
      <c r="F5" s="854"/>
      <c r="G5" s="854"/>
      <c r="H5" s="854"/>
      <c r="I5" s="854"/>
      <c r="J5" s="568"/>
      <c r="K5" s="568"/>
    </row>
    <row r="6" spans="1:11">
      <c r="A6">
        <v>2</v>
      </c>
      <c r="B6" s="853" t="s">
        <v>554</v>
      </c>
      <c r="C6" s="853"/>
      <c r="D6" s="853"/>
      <c r="E6" s="853"/>
      <c r="F6" s="853"/>
      <c r="G6" s="853"/>
      <c r="H6" s="853"/>
      <c r="I6" s="853"/>
      <c r="J6" s="853"/>
      <c r="K6" s="853"/>
    </row>
    <row r="7" spans="1:11" ht="13.5" customHeight="1">
      <c r="A7">
        <v>3</v>
      </c>
      <c r="B7" s="854" t="s">
        <v>555</v>
      </c>
      <c r="C7" s="854"/>
      <c r="D7" s="854"/>
      <c r="E7" s="854"/>
      <c r="F7" s="854"/>
      <c r="G7" s="854"/>
      <c r="H7" s="854"/>
      <c r="I7" s="854"/>
      <c r="J7" s="854"/>
      <c r="K7" s="854"/>
    </row>
    <row r="8" spans="1:11">
      <c r="A8">
        <v>4</v>
      </c>
      <c r="B8" s="853" t="s">
        <v>556</v>
      </c>
      <c r="C8" s="853"/>
      <c r="D8" s="853"/>
      <c r="E8" s="853"/>
      <c r="F8" s="853"/>
      <c r="G8" s="853"/>
    </row>
    <row r="9" spans="1:11" ht="13.5" customHeight="1">
      <c r="A9">
        <v>5</v>
      </c>
      <c r="B9" s="854" t="s">
        <v>557</v>
      </c>
      <c r="C9" s="854"/>
      <c r="D9" s="854"/>
      <c r="E9" s="854"/>
      <c r="F9" s="854"/>
      <c r="G9" s="854"/>
      <c r="H9" s="854"/>
      <c r="I9" s="854"/>
      <c r="J9" s="854"/>
      <c r="K9" s="854"/>
    </row>
    <row r="10" spans="1:11">
      <c r="A10">
        <v>6</v>
      </c>
      <c r="B10" s="853" t="s">
        <v>558</v>
      </c>
      <c r="C10" s="853"/>
      <c r="D10" s="853"/>
      <c r="E10" s="853"/>
      <c r="F10" s="853"/>
      <c r="G10" s="853"/>
    </row>
    <row r="11" spans="1:11" ht="13.5" customHeight="1">
      <c r="A11">
        <v>7</v>
      </c>
      <c r="B11" s="854" t="s">
        <v>559</v>
      </c>
      <c r="C11" s="854"/>
      <c r="D11" s="854"/>
      <c r="E11" s="854"/>
      <c r="F11" s="854"/>
      <c r="G11" s="854"/>
      <c r="H11" s="854"/>
      <c r="I11" s="854"/>
      <c r="J11" s="854"/>
      <c r="K11" s="854"/>
    </row>
    <row r="12" spans="1:11">
      <c r="A12">
        <v>8</v>
      </c>
      <c r="B12" s="853" t="s">
        <v>560</v>
      </c>
      <c r="C12" s="853"/>
      <c r="D12" s="853"/>
      <c r="E12" s="853"/>
      <c r="F12" s="853"/>
      <c r="G12" s="853"/>
    </row>
    <row r="13" spans="1:11" ht="13.5" customHeight="1">
      <c r="A13">
        <v>9</v>
      </c>
      <c r="B13" s="854" t="s">
        <v>561</v>
      </c>
      <c r="C13" s="854"/>
      <c r="D13" s="854"/>
      <c r="E13" s="854"/>
      <c r="F13" s="854"/>
      <c r="G13" s="854"/>
      <c r="H13" s="854"/>
      <c r="I13" s="854"/>
      <c r="J13" s="854"/>
      <c r="K13" s="854"/>
    </row>
    <row r="14" spans="1:11" ht="13.5" customHeight="1">
      <c r="A14">
        <v>10</v>
      </c>
      <c r="B14" s="854" t="s">
        <v>562</v>
      </c>
      <c r="C14" s="854"/>
      <c r="D14" s="854"/>
      <c r="E14" s="854"/>
      <c r="F14" s="854"/>
      <c r="G14" s="854"/>
      <c r="H14" s="854"/>
      <c r="I14" s="854"/>
      <c r="J14" s="854"/>
      <c r="K14" s="854"/>
    </row>
    <row r="15" spans="1:11" ht="13.5" customHeight="1">
      <c r="A15">
        <v>11</v>
      </c>
      <c r="B15" s="854" t="s">
        <v>563</v>
      </c>
      <c r="C15" s="854"/>
      <c r="D15" s="854"/>
      <c r="E15" s="854"/>
      <c r="F15" s="854"/>
      <c r="G15" s="854"/>
      <c r="H15" s="854"/>
      <c r="I15" s="854"/>
      <c r="J15" s="854"/>
      <c r="K15" s="854"/>
    </row>
    <row r="16" spans="1:11" ht="14.25" thickBot="1"/>
    <row r="17" spans="3:8">
      <c r="C17" s="569" t="s">
        <v>564</v>
      </c>
      <c r="D17" s="570"/>
      <c r="E17" s="570"/>
      <c r="F17" s="570"/>
      <c r="G17" s="569"/>
      <c r="H17" s="571"/>
    </row>
    <row r="18" spans="3:8">
      <c r="C18" s="572" t="s">
        <v>565</v>
      </c>
      <c r="D18" s="573" t="s">
        <v>566</v>
      </c>
      <c r="E18" s="573"/>
      <c r="F18" s="573"/>
      <c r="G18" s="572"/>
      <c r="H18" s="574"/>
    </row>
    <row r="19" spans="3:8">
      <c r="C19" s="572"/>
      <c r="D19" s="573" t="s">
        <v>567</v>
      </c>
      <c r="E19" s="573"/>
      <c r="F19" s="573"/>
      <c r="G19" s="572"/>
      <c r="H19" s="574"/>
    </row>
    <row r="20" spans="3:8">
      <c r="C20" s="572"/>
      <c r="D20" s="573"/>
      <c r="E20" s="573"/>
      <c r="F20" s="573"/>
      <c r="G20" s="572"/>
      <c r="H20" s="574"/>
    </row>
    <row r="21" spans="3:8">
      <c r="C21" s="572"/>
      <c r="D21" s="573"/>
      <c r="E21" s="573"/>
      <c r="F21" s="573"/>
      <c r="G21" s="572"/>
      <c r="H21" s="574"/>
    </row>
    <row r="22" spans="3:8">
      <c r="C22" s="572"/>
      <c r="D22" s="573"/>
      <c r="E22" s="573"/>
      <c r="F22" s="573"/>
      <c r="G22" s="572"/>
      <c r="H22" s="574"/>
    </row>
    <row r="23" spans="3:8">
      <c r="C23" s="572"/>
      <c r="D23" s="573"/>
      <c r="E23" s="573"/>
      <c r="F23" s="573"/>
      <c r="G23" s="572"/>
      <c r="H23" s="574"/>
    </row>
    <row r="24" spans="3:8">
      <c r="C24" s="572"/>
      <c r="D24" s="573"/>
      <c r="E24" s="573"/>
      <c r="F24" s="573"/>
      <c r="G24" s="572"/>
      <c r="H24" s="574"/>
    </row>
    <row r="25" spans="3:8">
      <c r="C25" s="572"/>
      <c r="D25" s="573"/>
      <c r="E25" s="573"/>
      <c r="F25" s="573"/>
      <c r="G25" s="572"/>
      <c r="H25" s="574"/>
    </row>
    <row r="26" spans="3:8">
      <c r="C26" s="572"/>
      <c r="D26" s="573"/>
      <c r="E26" s="573"/>
      <c r="F26" s="575"/>
      <c r="G26" s="576"/>
      <c r="H26" s="574"/>
    </row>
    <row r="27" spans="3:8">
      <c r="C27" s="572"/>
      <c r="D27" s="573"/>
      <c r="E27" s="573"/>
      <c r="F27" s="577"/>
      <c r="G27" s="578"/>
      <c r="H27" s="574"/>
    </row>
    <row r="28" spans="3:8" ht="14.25" thickBot="1">
      <c r="C28" s="579"/>
      <c r="D28" s="580"/>
      <c r="E28" s="580"/>
      <c r="F28" s="581"/>
      <c r="G28" s="578"/>
      <c r="H28" s="574"/>
    </row>
    <row r="29" spans="3:8">
      <c r="C29" s="572"/>
      <c r="D29" s="573"/>
      <c r="E29" s="573"/>
      <c r="F29" s="577"/>
      <c r="G29" s="578"/>
      <c r="H29" s="574"/>
    </row>
    <row r="30" spans="3:8">
      <c r="C30" s="572"/>
      <c r="D30" s="573"/>
      <c r="E30" s="573"/>
      <c r="F30" s="577"/>
      <c r="G30" s="578"/>
      <c r="H30" s="574"/>
    </row>
    <row r="31" spans="3:8">
      <c r="C31" s="572"/>
      <c r="D31" s="573"/>
      <c r="E31" s="573"/>
      <c r="F31" s="575"/>
      <c r="G31" s="576"/>
      <c r="H31" s="574"/>
    </row>
    <row r="32" spans="3:8">
      <c r="C32" s="572"/>
      <c r="D32" s="573"/>
      <c r="E32" s="573"/>
      <c r="F32" s="573"/>
      <c r="G32" s="572" t="s">
        <v>568</v>
      </c>
      <c r="H32" s="574"/>
    </row>
    <row r="33" spans="3:8">
      <c r="C33" s="572"/>
      <c r="D33" s="573"/>
      <c r="E33" s="573"/>
      <c r="F33" s="573"/>
      <c r="G33" s="572" t="s">
        <v>565</v>
      </c>
      <c r="H33" s="574" t="s">
        <v>569</v>
      </c>
    </row>
    <row r="34" spans="3:8">
      <c r="C34" s="572"/>
      <c r="D34" s="573"/>
      <c r="E34" s="573"/>
      <c r="F34" s="573"/>
      <c r="G34" s="572"/>
      <c r="H34" s="574" t="s">
        <v>570</v>
      </c>
    </row>
    <row r="35" spans="3:8">
      <c r="C35" s="572"/>
      <c r="D35" s="573"/>
      <c r="E35" s="573"/>
      <c r="F35" s="573"/>
      <c r="G35" s="572"/>
      <c r="H35" s="574"/>
    </row>
    <row r="36" spans="3:8">
      <c r="C36" s="572"/>
      <c r="D36" s="573"/>
      <c r="E36" s="573"/>
      <c r="F36" s="573"/>
      <c r="G36" s="572"/>
      <c r="H36" s="574"/>
    </row>
    <row r="37" spans="3:8">
      <c r="C37" s="572"/>
      <c r="D37" s="573"/>
      <c r="E37" s="573"/>
      <c r="F37" s="573"/>
      <c r="G37" s="572"/>
      <c r="H37" s="574"/>
    </row>
    <row r="38" spans="3:8">
      <c r="C38" s="572" t="s">
        <v>571</v>
      </c>
      <c r="D38" s="573"/>
      <c r="E38" s="573"/>
      <c r="F38" s="573"/>
      <c r="G38" s="572"/>
      <c r="H38" s="574"/>
    </row>
    <row r="39" spans="3:8">
      <c r="C39" s="572" t="s">
        <v>565</v>
      </c>
      <c r="D39" s="573" t="s">
        <v>572</v>
      </c>
      <c r="E39" s="573"/>
      <c r="F39" s="573"/>
      <c r="G39" s="572"/>
      <c r="H39" s="574"/>
    </row>
    <row r="40" spans="3:8">
      <c r="C40" s="572"/>
      <c r="D40" s="573" t="s">
        <v>573</v>
      </c>
      <c r="E40" s="573"/>
      <c r="F40" s="573"/>
      <c r="G40" s="572"/>
      <c r="H40" s="574"/>
    </row>
    <row r="41" spans="3:8" ht="14.25" thickBot="1">
      <c r="C41" s="579"/>
      <c r="D41" s="580"/>
      <c r="E41" s="580"/>
      <c r="F41" s="580"/>
      <c r="G41" s="579"/>
      <c r="H41" s="582"/>
    </row>
  </sheetData>
  <mergeCells count="11">
    <mergeCell ref="B11:K11"/>
    <mergeCell ref="B12:G12"/>
    <mergeCell ref="B13:K13"/>
    <mergeCell ref="B14:K14"/>
    <mergeCell ref="B15:K15"/>
    <mergeCell ref="B10:G10"/>
    <mergeCell ref="B4:I5"/>
    <mergeCell ref="B6:K6"/>
    <mergeCell ref="B7:K7"/>
    <mergeCell ref="B8:G8"/>
    <mergeCell ref="B9:K9"/>
  </mergeCells>
  <phoneticPr fontId="14"/>
  <pageMargins left="0.9055118110236221" right="0.9055118110236221" top="1.1417322834645669" bottom="0.74803149606299213" header="0.9055118110236221" footer="0.31496062992125984"/>
  <pageSetup paperSize="9" orientation="portrait" r:id="rId1"/>
  <headerFooter>
    <oddHeader>&amp;L肉用牛（肥育）春から秋の耕作放棄地経産牛放牧（全域）</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workbookViewId="0">
      <selection activeCell="L31" sqref="L31"/>
    </sheetView>
  </sheetViews>
  <sheetFormatPr defaultRowHeight="13.5"/>
  <cols>
    <col min="2" max="2" width="10.625" customWidth="1"/>
    <col min="9" max="9" width="9.875" bestFit="1" customWidth="1"/>
  </cols>
  <sheetData>
    <row r="1" spans="1:11" ht="17.25">
      <c r="A1" s="583" t="s">
        <v>574</v>
      </c>
    </row>
    <row r="3" spans="1:11">
      <c r="A3" s="584" t="s">
        <v>575</v>
      </c>
      <c r="B3" s="584" t="s">
        <v>576</v>
      </c>
      <c r="C3" s="584" t="s">
        <v>577</v>
      </c>
      <c r="D3" s="584" t="s">
        <v>578</v>
      </c>
      <c r="E3" s="584" t="s">
        <v>579</v>
      </c>
      <c r="F3" s="584" t="s">
        <v>580</v>
      </c>
      <c r="G3" s="584" t="s">
        <v>581</v>
      </c>
      <c r="I3" t="s">
        <v>582</v>
      </c>
      <c r="K3" t="s">
        <v>583</v>
      </c>
    </row>
    <row r="4" spans="1:11">
      <c r="A4" s="585">
        <v>41995</v>
      </c>
      <c r="B4">
        <v>7</v>
      </c>
      <c r="C4" s="586">
        <v>299623</v>
      </c>
      <c r="D4" s="586">
        <v>372600</v>
      </c>
      <c r="E4" s="586">
        <v>203040</v>
      </c>
      <c r="F4">
        <v>488</v>
      </c>
      <c r="G4" s="587">
        <f>C4/F4</f>
        <v>613.98155737704917</v>
      </c>
      <c r="I4" s="587">
        <f>C4*B4</f>
        <v>2097361</v>
      </c>
      <c r="K4" s="587">
        <f>F4*B4</f>
        <v>3416</v>
      </c>
    </row>
    <row r="5" spans="1:11">
      <c r="A5" s="585">
        <v>41985</v>
      </c>
      <c r="B5">
        <v>17</v>
      </c>
      <c r="C5" s="586">
        <v>296809</v>
      </c>
      <c r="D5" s="586">
        <v>509760</v>
      </c>
      <c r="E5" s="586">
        <v>44280</v>
      </c>
      <c r="F5">
        <v>527</v>
      </c>
      <c r="G5" s="587">
        <f t="shared" ref="G5:G28" si="0">C5/F5</f>
        <v>563.2049335863378</v>
      </c>
      <c r="I5" s="587">
        <f t="shared" ref="I5:I28" si="1">C5*B5</f>
        <v>5045753</v>
      </c>
      <c r="K5" s="587">
        <f t="shared" ref="K5:K28" si="2">F5*B5</f>
        <v>8959</v>
      </c>
    </row>
    <row r="6" spans="1:11">
      <c r="A6" s="585">
        <v>41975</v>
      </c>
      <c r="B6">
        <v>11</v>
      </c>
      <c r="C6" s="586">
        <v>324491</v>
      </c>
      <c r="D6" s="586">
        <v>437400</v>
      </c>
      <c r="E6" s="586">
        <v>88560</v>
      </c>
      <c r="F6">
        <v>558</v>
      </c>
      <c r="G6" s="587">
        <f t="shared" si="0"/>
        <v>581.52508960573482</v>
      </c>
      <c r="I6" s="587">
        <f t="shared" si="1"/>
        <v>3569401</v>
      </c>
      <c r="K6" s="587">
        <f t="shared" si="2"/>
        <v>6138</v>
      </c>
    </row>
    <row r="7" spans="1:11">
      <c r="A7" s="585">
        <v>41963</v>
      </c>
      <c r="B7">
        <v>18</v>
      </c>
      <c r="C7" s="586">
        <v>310680</v>
      </c>
      <c r="D7" s="586">
        <v>697680</v>
      </c>
      <c r="E7" s="586">
        <v>89640</v>
      </c>
      <c r="F7">
        <v>536</v>
      </c>
      <c r="G7" s="587">
        <f t="shared" si="0"/>
        <v>579.62686567164178</v>
      </c>
      <c r="I7" s="587">
        <f t="shared" si="1"/>
        <v>5592240</v>
      </c>
      <c r="K7" s="587">
        <f t="shared" si="2"/>
        <v>9648</v>
      </c>
    </row>
    <row r="8" spans="1:11">
      <c r="A8" s="585">
        <v>41955</v>
      </c>
      <c r="B8">
        <v>9</v>
      </c>
      <c r="C8" s="586">
        <v>363840</v>
      </c>
      <c r="D8" s="586">
        <v>622080</v>
      </c>
      <c r="E8" s="586">
        <v>171720</v>
      </c>
      <c r="F8">
        <v>562</v>
      </c>
      <c r="G8" s="587">
        <f t="shared" si="0"/>
        <v>647.40213523131672</v>
      </c>
      <c r="I8" s="587">
        <f t="shared" si="1"/>
        <v>3274560</v>
      </c>
      <c r="K8" s="587">
        <f t="shared" si="2"/>
        <v>5058</v>
      </c>
    </row>
    <row r="9" spans="1:11">
      <c r="A9" s="585">
        <v>41947</v>
      </c>
      <c r="B9">
        <v>12</v>
      </c>
      <c r="C9" s="586">
        <v>297990</v>
      </c>
      <c r="D9" s="586">
        <v>427680</v>
      </c>
      <c r="E9" s="586">
        <v>238680</v>
      </c>
      <c r="F9">
        <v>513</v>
      </c>
      <c r="G9" s="587">
        <f t="shared" si="0"/>
        <v>580.87719298245611</v>
      </c>
      <c r="I9" s="587">
        <f t="shared" si="1"/>
        <v>3575880</v>
      </c>
      <c r="K9" s="587">
        <f t="shared" si="2"/>
        <v>6156</v>
      </c>
    </row>
    <row r="10" spans="1:11">
      <c r="A10" s="585">
        <v>41934</v>
      </c>
      <c r="B10">
        <v>9</v>
      </c>
      <c r="C10" s="586">
        <v>328920</v>
      </c>
      <c r="D10" s="586">
        <v>440640</v>
      </c>
      <c r="E10" s="586">
        <v>181440</v>
      </c>
      <c r="F10">
        <v>553</v>
      </c>
      <c r="G10" s="587">
        <f t="shared" si="0"/>
        <v>594.79204339963837</v>
      </c>
      <c r="I10" s="587">
        <f t="shared" si="1"/>
        <v>2960280</v>
      </c>
      <c r="K10" s="587">
        <f t="shared" si="2"/>
        <v>4977</v>
      </c>
    </row>
    <row r="11" spans="1:11">
      <c r="A11" s="585">
        <v>41926</v>
      </c>
      <c r="B11">
        <v>6</v>
      </c>
      <c r="C11" s="586">
        <v>206460</v>
      </c>
      <c r="D11" s="586">
        <v>313200</v>
      </c>
      <c r="E11" s="586">
        <v>97200</v>
      </c>
      <c r="F11">
        <v>444</v>
      </c>
      <c r="G11" s="587">
        <f t="shared" si="0"/>
        <v>465</v>
      </c>
      <c r="I11" s="587">
        <f t="shared" si="1"/>
        <v>1238760</v>
      </c>
      <c r="K11" s="587">
        <f t="shared" si="2"/>
        <v>2664</v>
      </c>
    </row>
    <row r="12" spans="1:11">
      <c r="A12" s="585">
        <v>41914</v>
      </c>
      <c r="B12">
        <v>4</v>
      </c>
      <c r="C12" s="586">
        <v>277560</v>
      </c>
      <c r="D12" s="586">
        <v>328320</v>
      </c>
      <c r="E12" s="586">
        <v>213840</v>
      </c>
      <c r="F12">
        <v>510</v>
      </c>
      <c r="G12" s="587">
        <f t="shared" si="0"/>
        <v>544.23529411764707</v>
      </c>
      <c r="I12" s="587">
        <f t="shared" si="1"/>
        <v>1110240</v>
      </c>
      <c r="K12" s="587">
        <f t="shared" si="2"/>
        <v>2040</v>
      </c>
    </row>
    <row r="13" spans="1:11">
      <c r="A13" s="585">
        <v>41904</v>
      </c>
      <c r="B13">
        <v>10</v>
      </c>
      <c r="C13" s="586">
        <v>278100</v>
      </c>
      <c r="D13" s="586">
        <v>453600</v>
      </c>
      <c r="E13" s="586">
        <v>22680</v>
      </c>
      <c r="F13">
        <v>513</v>
      </c>
      <c r="G13" s="587">
        <f t="shared" si="0"/>
        <v>542.10526315789468</v>
      </c>
      <c r="I13" s="587">
        <f t="shared" si="1"/>
        <v>2781000</v>
      </c>
      <c r="K13" s="587">
        <f t="shared" si="2"/>
        <v>5130</v>
      </c>
    </row>
    <row r="14" spans="1:11">
      <c r="A14" s="585">
        <v>41893</v>
      </c>
      <c r="B14">
        <v>5</v>
      </c>
      <c r="C14" s="586">
        <v>270432</v>
      </c>
      <c r="D14" s="586">
        <v>400680</v>
      </c>
      <c r="E14" s="586">
        <v>135000</v>
      </c>
      <c r="F14">
        <v>521</v>
      </c>
      <c r="G14" s="587">
        <f t="shared" si="0"/>
        <v>519.06333973128596</v>
      </c>
      <c r="I14" s="587">
        <f t="shared" si="1"/>
        <v>1352160</v>
      </c>
      <c r="K14" s="587">
        <f t="shared" si="2"/>
        <v>2605</v>
      </c>
    </row>
    <row r="15" spans="1:11">
      <c r="A15" s="585">
        <v>41884</v>
      </c>
      <c r="B15">
        <v>11</v>
      </c>
      <c r="C15" s="586">
        <v>215411</v>
      </c>
      <c r="D15" s="586">
        <v>313200</v>
      </c>
      <c r="E15" s="586">
        <v>65880</v>
      </c>
      <c r="F15">
        <v>499</v>
      </c>
      <c r="G15" s="587">
        <f t="shared" si="0"/>
        <v>431.68537074148298</v>
      </c>
      <c r="I15" s="587">
        <f t="shared" si="1"/>
        <v>2369521</v>
      </c>
      <c r="K15" s="587">
        <f t="shared" si="2"/>
        <v>5489</v>
      </c>
    </row>
    <row r="16" spans="1:11">
      <c r="A16" s="585">
        <v>41873</v>
      </c>
      <c r="B16">
        <v>17</v>
      </c>
      <c r="C16" s="586">
        <v>254054</v>
      </c>
      <c r="D16" s="586">
        <v>375840</v>
      </c>
      <c r="E16" s="586">
        <v>28080</v>
      </c>
      <c r="F16">
        <v>493</v>
      </c>
      <c r="G16" s="587">
        <f t="shared" si="0"/>
        <v>515.32251521298178</v>
      </c>
      <c r="I16" s="587">
        <f t="shared" si="1"/>
        <v>4318918</v>
      </c>
      <c r="K16" s="587">
        <f t="shared" si="2"/>
        <v>8381</v>
      </c>
    </row>
    <row r="17" spans="1:13">
      <c r="A17" s="585">
        <v>41855</v>
      </c>
      <c r="B17">
        <v>12</v>
      </c>
      <c r="C17" s="586">
        <v>238320</v>
      </c>
      <c r="D17" s="586">
        <v>332640</v>
      </c>
      <c r="E17" s="586">
        <v>114480</v>
      </c>
      <c r="F17">
        <v>524</v>
      </c>
      <c r="G17" s="587">
        <f t="shared" si="0"/>
        <v>454.80916030534354</v>
      </c>
      <c r="I17" s="587">
        <f t="shared" si="1"/>
        <v>2859840</v>
      </c>
      <c r="K17" s="587">
        <f t="shared" si="2"/>
        <v>6288</v>
      </c>
    </row>
    <row r="18" spans="1:13">
      <c r="A18" s="585">
        <v>41842</v>
      </c>
      <c r="B18">
        <v>14</v>
      </c>
      <c r="C18" s="586">
        <v>240840</v>
      </c>
      <c r="D18" s="586">
        <v>554040</v>
      </c>
      <c r="E18" s="586">
        <v>81000</v>
      </c>
      <c r="F18">
        <v>526</v>
      </c>
      <c r="G18" s="587">
        <f t="shared" si="0"/>
        <v>457.87072243346006</v>
      </c>
      <c r="I18" s="587">
        <f t="shared" si="1"/>
        <v>3371760</v>
      </c>
      <c r="K18" s="587">
        <f t="shared" si="2"/>
        <v>7364</v>
      </c>
    </row>
    <row r="19" spans="1:13">
      <c r="A19" s="585">
        <v>41834</v>
      </c>
      <c r="B19">
        <v>11</v>
      </c>
      <c r="C19" s="586">
        <v>305542</v>
      </c>
      <c r="D19" s="586">
        <v>408240</v>
      </c>
      <c r="E19" s="586">
        <v>225720</v>
      </c>
      <c r="F19">
        <v>516</v>
      </c>
      <c r="G19" s="587">
        <f t="shared" si="0"/>
        <v>592.13565891472865</v>
      </c>
      <c r="I19" s="587">
        <f t="shared" si="1"/>
        <v>3360962</v>
      </c>
      <c r="K19" s="587">
        <f t="shared" si="2"/>
        <v>5676</v>
      </c>
    </row>
    <row r="20" spans="1:13">
      <c r="A20" s="585">
        <v>41822</v>
      </c>
      <c r="B20">
        <v>2</v>
      </c>
      <c r="C20" s="586">
        <v>308340</v>
      </c>
      <c r="D20" s="586">
        <v>363960</v>
      </c>
      <c r="E20" s="586">
        <v>252720</v>
      </c>
      <c r="F20">
        <v>569</v>
      </c>
      <c r="G20" s="587">
        <f t="shared" si="0"/>
        <v>541.89806678383127</v>
      </c>
      <c r="I20" s="587">
        <f t="shared" si="1"/>
        <v>616680</v>
      </c>
      <c r="K20" s="587">
        <f t="shared" si="2"/>
        <v>1138</v>
      </c>
    </row>
    <row r="21" spans="1:13">
      <c r="A21" s="585">
        <v>41813</v>
      </c>
      <c r="B21">
        <v>15</v>
      </c>
      <c r="C21" s="586">
        <v>289656</v>
      </c>
      <c r="D21" s="586">
        <v>517320</v>
      </c>
      <c r="E21" s="586">
        <v>99360</v>
      </c>
      <c r="F21">
        <v>511</v>
      </c>
      <c r="G21" s="587">
        <f t="shared" si="0"/>
        <v>566.84148727984348</v>
      </c>
      <c r="I21" s="587">
        <f t="shared" si="1"/>
        <v>4344840</v>
      </c>
      <c r="K21" s="587">
        <f t="shared" si="2"/>
        <v>7665</v>
      </c>
    </row>
    <row r="22" spans="1:13">
      <c r="A22" s="585">
        <v>41802</v>
      </c>
      <c r="B22">
        <v>7</v>
      </c>
      <c r="C22" s="586">
        <v>306874</v>
      </c>
      <c r="D22" s="586">
        <v>414720</v>
      </c>
      <c r="E22" s="586">
        <v>219240</v>
      </c>
      <c r="F22">
        <v>545</v>
      </c>
      <c r="G22" s="587">
        <f t="shared" si="0"/>
        <v>563.0715596330275</v>
      </c>
      <c r="I22" s="587">
        <f t="shared" si="1"/>
        <v>2148118</v>
      </c>
      <c r="K22" s="587">
        <f t="shared" si="2"/>
        <v>3815</v>
      </c>
    </row>
    <row r="23" spans="1:13">
      <c r="A23" s="585">
        <v>41792</v>
      </c>
      <c r="B23">
        <v>3</v>
      </c>
      <c r="C23" s="586">
        <v>270000</v>
      </c>
      <c r="D23" s="586">
        <v>358560</v>
      </c>
      <c r="E23" s="586">
        <v>213840</v>
      </c>
      <c r="F23">
        <v>505</v>
      </c>
      <c r="G23" s="587">
        <f t="shared" si="0"/>
        <v>534.65346534653463</v>
      </c>
      <c r="I23" s="587">
        <f t="shared" si="1"/>
        <v>810000</v>
      </c>
      <c r="K23" s="587">
        <f t="shared" si="2"/>
        <v>1515</v>
      </c>
    </row>
    <row r="24" spans="1:13">
      <c r="A24" s="585">
        <v>41781</v>
      </c>
      <c r="B24">
        <v>12</v>
      </c>
      <c r="C24" s="586">
        <v>293760</v>
      </c>
      <c r="D24" s="586">
        <v>440640</v>
      </c>
      <c r="E24" s="586">
        <v>154440</v>
      </c>
      <c r="F24">
        <v>534</v>
      </c>
      <c r="G24" s="587">
        <f t="shared" si="0"/>
        <v>550.11235955056179</v>
      </c>
      <c r="I24" s="587">
        <f t="shared" si="1"/>
        <v>3525120</v>
      </c>
      <c r="K24" s="587">
        <f t="shared" si="2"/>
        <v>6408</v>
      </c>
    </row>
    <row r="25" spans="1:13">
      <c r="A25" s="585">
        <v>41771</v>
      </c>
      <c r="B25">
        <v>13</v>
      </c>
      <c r="C25" s="586">
        <v>280218</v>
      </c>
      <c r="D25" s="586">
        <v>448200</v>
      </c>
      <c r="E25" s="586">
        <v>68040</v>
      </c>
      <c r="F25">
        <v>508</v>
      </c>
      <c r="G25" s="587">
        <f t="shared" si="0"/>
        <v>551.61023622047242</v>
      </c>
      <c r="I25" s="587">
        <f t="shared" si="1"/>
        <v>3642834</v>
      </c>
      <c r="K25" s="587">
        <f t="shared" si="2"/>
        <v>6604</v>
      </c>
    </row>
    <row r="26" spans="1:13">
      <c r="A26" s="585">
        <v>41751</v>
      </c>
      <c r="B26">
        <v>17</v>
      </c>
      <c r="C26" s="586">
        <v>269174</v>
      </c>
      <c r="D26" s="586">
        <v>451440</v>
      </c>
      <c r="E26" s="586">
        <v>118800</v>
      </c>
      <c r="F26">
        <v>533</v>
      </c>
      <c r="G26" s="587">
        <f t="shared" si="0"/>
        <v>505.0168855534709</v>
      </c>
      <c r="I26" s="587">
        <f t="shared" si="1"/>
        <v>4575958</v>
      </c>
      <c r="K26" s="587">
        <f t="shared" si="2"/>
        <v>9061</v>
      </c>
    </row>
    <row r="27" spans="1:13">
      <c r="A27" s="585">
        <v>41743</v>
      </c>
      <c r="B27">
        <v>14</v>
      </c>
      <c r="C27" s="586">
        <v>289363</v>
      </c>
      <c r="D27" s="586">
        <v>399600</v>
      </c>
      <c r="E27" s="586">
        <v>131760</v>
      </c>
      <c r="F27">
        <v>547</v>
      </c>
      <c r="G27" s="587">
        <f t="shared" si="0"/>
        <v>529</v>
      </c>
      <c r="I27" s="587">
        <f t="shared" si="1"/>
        <v>4051082</v>
      </c>
      <c r="K27" s="587">
        <f t="shared" si="2"/>
        <v>7658</v>
      </c>
    </row>
    <row r="28" spans="1:13">
      <c r="A28" s="585">
        <v>41731</v>
      </c>
      <c r="B28">
        <v>5</v>
      </c>
      <c r="C28" s="586">
        <v>397008</v>
      </c>
      <c r="D28" s="586">
        <v>495720</v>
      </c>
      <c r="E28" s="586">
        <v>245160</v>
      </c>
      <c r="F28">
        <v>590</v>
      </c>
      <c r="G28" s="587">
        <f t="shared" si="0"/>
        <v>672.89491525423728</v>
      </c>
      <c r="I28" s="587">
        <f t="shared" si="1"/>
        <v>1985040</v>
      </c>
      <c r="K28" s="587">
        <f t="shared" si="2"/>
        <v>2950</v>
      </c>
    </row>
    <row r="29" spans="1:13">
      <c r="A29" s="584" t="s">
        <v>584</v>
      </c>
      <c r="B29">
        <f>SUM(B4:B28)</f>
        <v>261</v>
      </c>
      <c r="C29" s="586">
        <f>AVERAGEA(C4:C28)</f>
        <v>288538.59999999998</v>
      </c>
      <c r="D29" s="586">
        <f>AVERAGEA(D4:D28)</f>
        <v>435110.40000000002</v>
      </c>
      <c r="E29" s="586">
        <f>AVERAGEA(E4:E28)</f>
        <v>140184</v>
      </c>
      <c r="F29">
        <f>AVERAGEA(F4:F28)</f>
        <v>525</v>
      </c>
      <c r="G29" s="587">
        <f>AVERAGEA(G4:G28)</f>
        <v>547.9494447236392</v>
      </c>
      <c r="H29" s="588" t="s">
        <v>585</v>
      </c>
      <c r="I29" s="589">
        <f>(SUM(I4:I28))/B29</f>
        <v>285740.64367816091</v>
      </c>
      <c r="J29" s="588" t="s">
        <v>586</v>
      </c>
      <c r="K29" s="589">
        <f>(SUM(K4:K28))/B29</f>
        <v>524.14942528735628</v>
      </c>
      <c r="L29" s="588" t="s">
        <v>587</v>
      </c>
      <c r="M29" s="590">
        <f>I29/K29</f>
        <v>545.15111510712484</v>
      </c>
    </row>
    <row r="32" spans="1:13">
      <c r="H32" s="591" t="s">
        <v>588</v>
      </c>
    </row>
    <row r="33" spans="1:8" ht="17.25">
      <c r="A33" s="583" t="s">
        <v>589</v>
      </c>
    </row>
    <row r="35" spans="1:8">
      <c r="A35" t="s">
        <v>590</v>
      </c>
      <c r="E35" t="s">
        <v>591</v>
      </c>
      <c r="H35" s="591"/>
    </row>
    <row r="36" spans="1:8">
      <c r="A36" t="s">
        <v>592</v>
      </c>
      <c r="C36" s="592" t="s">
        <v>593</v>
      </c>
      <c r="E36" t="s">
        <v>594</v>
      </c>
      <c r="G36" s="592" t="s">
        <v>595</v>
      </c>
    </row>
    <row r="37" spans="1:8">
      <c r="A37" t="s">
        <v>596</v>
      </c>
      <c r="C37" s="592" t="s">
        <v>597</v>
      </c>
      <c r="E37" t="s">
        <v>598</v>
      </c>
      <c r="G37" s="592" t="s">
        <v>599</v>
      </c>
    </row>
    <row r="38" spans="1:8">
      <c r="A38" t="s">
        <v>600</v>
      </c>
      <c r="C38" s="593" t="s">
        <v>601</v>
      </c>
      <c r="E38" t="s">
        <v>602</v>
      </c>
      <c r="G38" s="592" t="s">
        <v>603</v>
      </c>
    </row>
    <row r="39" spans="1:8">
      <c r="A39" s="853" t="s">
        <v>604</v>
      </c>
      <c r="B39" s="853"/>
      <c r="C39" s="592" t="s">
        <v>605</v>
      </c>
      <c r="E39" t="s">
        <v>606</v>
      </c>
      <c r="G39" s="592" t="s">
        <v>607</v>
      </c>
    </row>
    <row r="40" spans="1:8">
      <c r="A40" t="s">
        <v>608</v>
      </c>
      <c r="C40" s="594" t="s">
        <v>609</v>
      </c>
      <c r="E40" t="s">
        <v>610</v>
      </c>
      <c r="G40" s="592" t="s">
        <v>611</v>
      </c>
      <c r="H40" t="s">
        <v>612</v>
      </c>
    </row>
    <row r="41" spans="1:8">
      <c r="F41" t="s">
        <v>613</v>
      </c>
      <c r="G41" s="592" t="s">
        <v>614</v>
      </c>
    </row>
    <row r="42" spans="1:8">
      <c r="E42" t="s">
        <v>615</v>
      </c>
    </row>
    <row r="43" spans="1:8">
      <c r="E43" t="s">
        <v>616</v>
      </c>
      <c r="G43" s="592" t="s">
        <v>617</v>
      </c>
      <c r="H43" t="s">
        <v>618</v>
      </c>
    </row>
    <row r="44" spans="1:8">
      <c r="E44" t="s">
        <v>619</v>
      </c>
      <c r="G44" s="592" t="s">
        <v>605</v>
      </c>
      <c r="H44" t="s">
        <v>620</v>
      </c>
    </row>
    <row r="45" spans="1:8">
      <c r="E45" t="s">
        <v>621</v>
      </c>
      <c r="G45" s="592" t="s">
        <v>622</v>
      </c>
      <c r="H45" t="s">
        <v>623</v>
      </c>
    </row>
    <row r="46" spans="1:8">
      <c r="E46" t="s">
        <v>624</v>
      </c>
      <c r="G46" s="592" t="s">
        <v>625</v>
      </c>
    </row>
    <row r="47" spans="1:8">
      <c r="F47" t="s">
        <v>613</v>
      </c>
      <c r="G47" s="592" t="s">
        <v>626</v>
      </c>
    </row>
    <row r="49" spans="6:16">
      <c r="F49" t="s">
        <v>627</v>
      </c>
      <c r="G49" s="594" t="s">
        <v>628</v>
      </c>
    </row>
    <row r="51" spans="6:16">
      <c r="H51" s="855" t="s">
        <v>629</v>
      </c>
      <c r="I51" s="855"/>
      <c r="J51" s="855"/>
      <c r="K51" s="855"/>
      <c r="L51" s="855"/>
      <c r="M51" s="855"/>
      <c r="N51" s="855"/>
      <c r="O51" s="855"/>
      <c r="P51" s="855"/>
    </row>
  </sheetData>
  <mergeCells count="2">
    <mergeCell ref="A39:B39"/>
    <mergeCell ref="H51:P51"/>
  </mergeCells>
  <phoneticPr fontId="14"/>
  <pageMargins left="0.7" right="0.7" top="0.75" bottom="0.75" header="0.3" footer="0.3"/>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
  <sheetViews>
    <sheetView workbookViewId="0">
      <selection activeCell="L31" sqref="L31"/>
    </sheetView>
  </sheetViews>
  <sheetFormatPr defaultRowHeight="13.5"/>
  <cols>
    <col min="1" max="1" width="8" customWidth="1"/>
    <col min="2" max="2" width="2.25" customWidth="1"/>
    <col min="3" max="3" width="2.875" customWidth="1"/>
    <col min="4" max="4" width="2.5" customWidth="1"/>
    <col min="5" max="5" width="2.75" customWidth="1"/>
    <col min="6" max="6" width="2.625" customWidth="1"/>
    <col min="7" max="7" width="3.625" customWidth="1"/>
    <col min="8" max="8" width="2.5" customWidth="1"/>
    <col min="9" max="9" width="7.5" customWidth="1"/>
    <col min="10" max="10" width="3" customWidth="1"/>
    <col min="11" max="11" width="3.75" customWidth="1"/>
    <col min="12" max="12" width="1.875" customWidth="1"/>
    <col min="13" max="13" width="2.75" customWidth="1"/>
    <col min="14" max="14" width="2.25" customWidth="1"/>
    <col min="15" max="15" width="3.875" customWidth="1"/>
    <col min="16" max="16" width="2.75" customWidth="1"/>
    <col min="17" max="17" width="9.375" customWidth="1"/>
    <col min="18" max="18" width="3" customWidth="1"/>
  </cols>
  <sheetData>
    <row r="2" spans="1:25">
      <c r="A2" s="853" t="s">
        <v>630</v>
      </c>
      <c r="B2" s="853"/>
      <c r="C2" s="853"/>
      <c r="D2" s="853"/>
      <c r="E2" s="853"/>
      <c r="F2" s="853"/>
      <c r="G2" s="853"/>
      <c r="H2" s="853"/>
      <c r="I2" s="853"/>
      <c r="J2" s="853"/>
      <c r="K2" s="853"/>
      <c r="L2" s="853"/>
      <c r="M2" s="853"/>
      <c r="N2" s="853"/>
      <c r="O2" s="853"/>
      <c r="P2" s="853"/>
      <c r="Q2" s="853"/>
      <c r="R2" s="853"/>
      <c r="S2" s="853"/>
      <c r="T2" s="853"/>
      <c r="U2" s="853"/>
      <c r="V2" s="853"/>
      <c r="W2" s="853"/>
      <c r="X2" s="853"/>
    </row>
    <row r="3" spans="1:25">
      <c r="C3" s="586"/>
    </row>
    <row r="4" spans="1:25">
      <c r="A4" s="853" t="s">
        <v>631</v>
      </c>
      <c r="B4" s="853"/>
      <c r="C4" s="853"/>
      <c r="D4" s="853"/>
      <c r="E4" s="853"/>
      <c r="F4" s="853"/>
      <c r="G4" s="853"/>
      <c r="H4" s="853"/>
      <c r="I4" s="853"/>
      <c r="J4" s="853"/>
      <c r="K4" s="853"/>
      <c r="L4" s="853"/>
      <c r="M4" s="853"/>
      <c r="N4" s="853"/>
      <c r="O4" s="853"/>
      <c r="P4" s="853"/>
      <c r="Q4" s="853"/>
      <c r="R4" s="853"/>
      <c r="S4" s="853"/>
      <c r="T4" s="853"/>
      <c r="U4" s="853"/>
      <c r="V4" s="853"/>
      <c r="W4" s="853"/>
      <c r="X4" s="853"/>
      <c r="Y4" s="853"/>
    </row>
    <row r="6" spans="1:25">
      <c r="A6" s="586">
        <v>272500</v>
      </c>
      <c r="B6" t="s">
        <v>632</v>
      </c>
      <c r="C6" t="s">
        <v>633</v>
      </c>
      <c r="D6">
        <v>2</v>
      </c>
      <c r="E6" t="s">
        <v>634</v>
      </c>
      <c r="F6" t="s">
        <v>633</v>
      </c>
      <c r="G6">
        <v>0.5</v>
      </c>
      <c r="H6" t="s">
        <v>633</v>
      </c>
      <c r="I6">
        <v>7.2800000000000004E-2</v>
      </c>
      <c r="J6" t="s">
        <v>633</v>
      </c>
      <c r="K6" s="595">
        <v>0.5</v>
      </c>
      <c r="L6" s="596" t="s">
        <v>633</v>
      </c>
      <c r="M6">
        <v>8</v>
      </c>
      <c r="N6" s="596" t="s">
        <v>635</v>
      </c>
      <c r="O6" s="587">
        <v>12</v>
      </c>
      <c r="P6" t="s">
        <v>636</v>
      </c>
      <c r="Q6" s="597">
        <f>A6*D6*G6*I6*K6*(M6/O6)</f>
        <v>6612.6666666666661</v>
      </c>
      <c r="R6" t="s">
        <v>632</v>
      </c>
      <c r="S6" t="s">
        <v>637</v>
      </c>
    </row>
  </sheetData>
  <mergeCells count="2">
    <mergeCell ref="A2:X2"/>
    <mergeCell ref="A4:Y4"/>
  </mergeCells>
  <phoneticPr fontId="1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43</vt:i4>
      </vt:variant>
    </vt:vector>
  </HeadingPairs>
  <TitlesOfParts>
    <vt:vector size="56"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ｲﾒｰｼﾞ</vt:lpstr>
      <vt:lpstr>牛購入・販売根基</vt:lpstr>
      <vt:lpstr>共済掛金算出</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2018-02-24T06:16:10Z</cp:lastPrinted>
  <dcterms:created xsi:type="dcterms:W3CDTF">2008-10-27T01:58:08Z</dcterms:created>
  <dcterms:modified xsi:type="dcterms:W3CDTF">2018-02-24T06:39:51Z</dcterms:modified>
</cp:coreProperties>
</file>