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1545" yWindow="6420" windowWidth="26430" windowHeight="6060" firstSheet="4" activeTab="10"/>
  </bookViews>
  <sheets>
    <sheet name="経営収支" sheetId="7" r:id="rId1"/>
    <sheet name="作業体系表" sheetId="5" r:id="rId2"/>
    <sheet name="Z-BFM" sheetId="19" r:id="rId3"/>
    <sheet name="①技術体系" sheetId="1" r:id="rId4"/>
    <sheet name="②償却資産" sheetId="2" r:id="rId5"/>
    <sheet name="③労働時間" sheetId="3" r:id="rId6"/>
    <sheet name="④収入" sheetId="21" r:id="rId7"/>
    <sheet name="⑤支出" sheetId="4" r:id="rId8"/>
    <sheet name="凡例" sheetId="20" r:id="rId9"/>
    <sheet name="科目設定" sheetId="11" r:id="rId10"/>
    <sheet name="ｲﾒｰｼﾞ" sheetId="22" r:id="rId11"/>
    <sheet name="牛購入・販売根基" sheetId="23" r:id="rId12"/>
    <sheet name="共済掛金算出" sheetId="24" r:id="rId13"/>
  </sheets>
  <externalReferences>
    <externalReference r:id="rId14"/>
    <externalReference r:id="rId15"/>
  </externalReferences>
  <definedNames>
    <definedName name="_xlnm._FilterDatabase" localSheetId="7" hidden="1">⑤支出!$A$2:$W$178</definedName>
    <definedName name="①_粗収益_10" localSheetId="2">[1]科目集計用!#REF!</definedName>
    <definedName name="①_粗収益_10">#REF!</definedName>
    <definedName name="①_粗収益_4" localSheetId="2">[1]収支入力!#REF!</definedName>
    <definedName name="①_粗収益_4">⑤支出!#REF!</definedName>
    <definedName name="①_粗収益_7" localSheetId="2">#REF!</definedName>
    <definedName name="①_粗収益_7">#REF!</definedName>
    <definedName name="②_種苗費_10" localSheetId="2">[1]科目集計用!#REF!</definedName>
    <definedName name="②_種苗費_10">#REF!</definedName>
    <definedName name="②_種苗費_4" localSheetId="2">[1]収支入力!#REF!</definedName>
    <definedName name="②_種苗費_4">⑤支出!#REF!</definedName>
    <definedName name="②_種苗費_7" localSheetId="2">#REF!</definedName>
    <definedName name="②_種苗費_7">#REF!</definedName>
    <definedName name="③_肥料費_10" localSheetId="2">[1]科目集計用!#REF!</definedName>
    <definedName name="③_肥料費_10">#REF!</definedName>
    <definedName name="③_肥料費_4" localSheetId="2">[1]収支入力!#REF!</definedName>
    <definedName name="③_肥料費_4">⑤支出!#REF!</definedName>
    <definedName name="③_肥料費_7" localSheetId="2">#REF!</definedName>
    <definedName name="③_肥料費_7">#REF!</definedName>
    <definedName name="④_農薬費_10" localSheetId="2">[1]科目集計用!#REF!</definedName>
    <definedName name="④_農薬費_10">#REF!</definedName>
    <definedName name="④_農薬費_4" localSheetId="2">[1]収支入力!#REF!</definedName>
    <definedName name="④_農薬費_4">⑤支出!#REF!</definedName>
    <definedName name="④_農薬費_7" localSheetId="2">#REF!</definedName>
    <definedName name="④_農薬費_7">#REF!</definedName>
    <definedName name="⑤_諸材料費_10" localSheetId="2">[1]科目集計用!#REF!</definedName>
    <definedName name="⑤_諸材料費_10">#REF!</definedName>
    <definedName name="⑤_諸材料費_4" localSheetId="2">[1]収支入力!#REF!</definedName>
    <definedName name="⑤_諸材料費_4">⑤支出!#REF!</definedName>
    <definedName name="⑤_諸材料費_7" localSheetId="2">#REF!</definedName>
    <definedName name="⑤_諸材料費_7">#REF!</definedName>
    <definedName name="⑥_光熱動力費_10" localSheetId="2">[1]科目集計用!#REF!</definedName>
    <definedName name="⑥_光熱動力費_10">#REF!</definedName>
    <definedName name="⑥_光熱動力費_4" localSheetId="2">[1]収支入力!#REF!</definedName>
    <definedName name="⑥_光熱動力費_4">⑤支出!#REF!</definedName>
    <definedName name="⑥_光熱動力費_7" localSheetId="2">#REF!</definedName>
    <definedName name="⑥_光熱動力費_7">#REF!</definedName>
    <definedName name="⑦_小農具費_10" localSheetId="2">[1]科目集計用!#REF!</definedName>
    <definedName name="⑦_小農具費_10">#REF!</definedName>
    <definedName name="⑦_小農具費_4" localSheetId="2">[1]収支入力!#REF!</definedName>
    <definedName name="⑦_小農具費_4">⑤支出!#REF!</definedName>
    <definedName name="⑦_小農具費_7" localSheetId="2">#REF!</definedName>
    <definedName name="⑦_小農具費_7">#REF!</definedName>
    <definedName name="⑧_雇用労働費_10" localSheetId="2">[1]科目集計用!#REF!</definedName>
    <definedName name="⑧_雇用労働費_10">#REF!</definedName>
    <definedName name="⑧_雇用労働費_4" localSheetId="2">[1]収支入力!#REF!</definedName>
    <definedName name="⑧_雇用労働費_4">⑤支出!#REF!</definedName>
    <definedName name="⑧_雇用労働費_7" localSheetId="2">#REF!</definedName>
    <definedName name="⑧_雇用労働費_7">#REF!</definedName>
    <definedName name="⑨_賃料料金_10" localSheetId="2">[1]科目集計用!#REF!</definedName>
    <definedName name="⑨_賃料料金_10">#REF!</definedName>
    <definedName name="⑨_賃料料金_4" localSheetId="2">[1]収支入力!#REF!</definedName>
    <definedName name="⑨_賃料料金_4">⑤支出!#REF!</definedName>
    <definedName name="⑨_賃料料金_7" localSheetId="2">#REF!</definedName>
    <definedName name="⑨_賃料料金_7">#REF!</definedName>
    <definedName name="⑩_土地改良水利費_10" localSheetId="2">[1]科目集計用!#REF!</definedName>
    <definedName name="⑩_土地改良水利費_10">#REF!</definedName>
    <definedName name="⑩_土地改良水利費_4" localSheetId="2">[1]収支入力!#REF!</definedName>
    <definedName name="⑩_土地改良水利費_4">⑤支出!#REF!</definedName>
    <definedName name="⑩_土地改良水利費_7" localSheetId="2">#REF!</definedName>
    <definedName name="⑩_土地改良水利費_7">#REF!</definedName>
    <definedName name="⑪_販売経費_10" localSheetId="2">[1]科目集計用!#REF!</definedName>
    <definedName name="⑪_販売経費_10">#REF!</definedName>
    <definedName name="⑪_販売経費_4" localSheetId="2">[1]収支入力!#REF!</definedName>
    <definedName name="⑪_販売経費_4">⑤支出!#REF!</definedName>
    <definedName name="⑪_販売経費_7" localSheetId="2">#REF!</definedName>
    <definedName name="⑪_販売経費_7">#REF!</definedName>
    <definedName name="⑫_共済掛金_10" localSheetId="2">[1]科目集計用!#REF!</definedName>
    <definedName name="⑫_共済掛金_10">#REF!</definedName>
    <definedName name="⑫_共済掛金_4" localSheetId="2">[1]収支入力!#REF!</definedName>
    <definedName name="⑫_共済掛金_4">⑤支出!#REF!</definedName>
    <definedName name="⑫_共済掛金_7" localSheetId="2">#REF!</definedName>
    <definedName name="⑫_共済掛金_7">#REF!</definedName>
    <definedName name="⑬_その他変動_10" localSheetId="2">[1]科目集計用!#REF!</definedName>
    <definedName name="⑬_その他変動_10">#REF!</definedName>
    <definedName name="⑬_その他変動_4" localSheetId="2">[1]収支入力!#REF!</definedName>
    <definedName name="⑬_その他変動_4">⑤支出!#REF!</definedName>
    <definedName name="⑬_その他変動_7" localSheetId="2">#REF!</definedName>
    <definedName name="⑬_その他変動_7">#REF!</definedName>
    <definedName name="EI_back" localSheetId="2">'Z-BFM'!$I$11:$I$28</definedName>
    <definedName name="EI_choice" localSheetId="2">'Z-BFM'!$L$27</definedName>
    <definedName name="EI_expense" localSheetId="2">'Z-BFM'!$C$16:$C$25</definedName>
    <definedName name="EI_front" localSheetId="2">'Z-BFM'!$F$11:$F$28</definedName>
    <definedName name="EI_landcoef" localSheetId="2">'Z-BFM'!$L$28</definedName>
    <definedName name="EI_landuse" localSheetId="2">'Z-BFM'!$L$11:$L$16</definedName>
    <definedName name="EI_outline" localSheetId="2">'Z-BFM'!$C$3:$E$8</definedName>
    <definedName name="EI_profit" localSheetId="2">'Z-BFM'!$C$27</definedName>
    <definedName name="EI_return" localSheetId="2">'Z-BFM'!$C$11:$C$14</definedName>
    <definedName name="Excel_BuiltIn__FilterDatabase_3">③労働時間!$A$4:$N$4</definedName>
    <definedName name="Excel_BuiltIn_Print_Titles_10" localSheetId="2">[1]科目集計用!#REF!</definedName>
    <definedName name="Excel_BuiltIn_Print_Titles_10">#REF!</definedName>
    <definedName name="GDATA" localSheetId="2">#REF!</definedName>
    <definedName name="GDATA">#REF!</definedName>
    <definedName name="GDATA_4" localSheetId="2">#REF!</definedName>
    <definedName name="GDATA_4">#REF!</definedName>
    <definedName name="GDATA_7" localSheetId="2">#REF!</definedName>
    <definedName name="GDATA_7">#REF!</definedName>
    <definedName name="_xlnm.Print_Area" localSheetId="3">①技術体系!$A$1:$E$25</definedName>
    <definedName name="_xlnm.Print_Area" localSheetId="5">③労働時間!$A$1:$O$353</definedName>
    <definedName name="_xlnm.Print_Area" localSheetId="6">④収入!$A$2:$H$22</definedName>
    <definedName name="_xlnm.Print_Area" localSheetId="7">⑤支出!$B$1:$W$177</definedName>
    <definedName name="_xlnm.Print_Area" localSheetId="9">科目設定!$A$1:$W$38</definedName>
    <definedName name="_xlnm.Print_Area" localSheetId="1">作業体系表!$A$1:$AN$51</definedName>
    <definedName name="_xlnm.Print_Titles" localSheetId="3">①技術体系!$1:$5</definedName>
    <definedName name="_xlnm.Print_Titles" localSheetId="5">③労働時間!$1:$4</definedName>
    <definedName name="_xlnm.Print_Titles" localSheetId="7">⑤支出!$1:$2</definedName>
    <definedName name="アメダスポイント名" localSheetId="2">[1]科目設定!$W$2:$W$16</definedName>
    <definedName name="アメダスポイント名">科目設定!$W$2:$W$16</definedName>
    <definedName name="科目" localSheetId="2">[1]科目設定!$C$1:$N$1</definedName>
    <definedName name="科目">科目設定!$C$1:$N$1</definedName>
    <definedName name="管理費用">科目設定!$N$2:$N$11</definedName>
    <definedName name="機械">②償却資産!$B$20:$B$33</definedName>
    <definedName name="機械能力">②償却資産!$D$20:$D$33</definedName>
    <definedName name="月旬" localSheetId="2">[1]科目設定!$P$2:$P$38</definedName>
    <definedName name="月旬">科目設定!$P$2:$P$38</definedName>
    <definedName name="原動機">'[2]算出根基３（減価償却費等）'!$C$14:$C$25</definedName>
    <definedName name="固定区分" localSheetId="2">[1]科目設定!$U$2:$U$4</definedName>
    <definedName name="固定区分">科目設定!$U$2:$U$4</definedName>
    <definedName name="固定費" localSheetId="2">[1]科目集計用!$I$111</definedName>
    <definedName name="固定費">#REF!</definedName>
    <definedName name="雇用労働費">科目設定!$L$2:$L$4</definedName>
    <definedName name="作業期間">'[2]算出根基２（労働時間他）'!$T$5:$T$42</definedName>
    <definedName name="作業機械・規格">'[2]算出根基３（減価償却費等）'!$D$14:$D$25</definedName>
    <definedName name="作業名">①技術体系!$A$6:$A$25</definedName>
    <definedName name="作業名_4" localSheetId="2">#REF!</definedName>
    <definedName name="作業名_4">#REF!</definedName>
    <definedName name="作業名_7" localSheetId="2">#REF!</definedName>
    <definedName name="作業名_7">#REF!</definedName>
    <definedName name="作業名2">[2]前提条件!$A$23:$A$49</definedName>
    <definedName name="種苗費">科目設定!$D$2:$D$5</definedName>
    <definedName name="諸材料費">科目設定!$H$2:$H$8</definedName>
    <definedName name="植付本数">科目設定!$Y$2:$Y$4</definedName>
    <definedName name="粗収益">科目設定!$C$2:$C$5</definedName>
    <definedName name="想定面積" localSheetId="2">[1]償却資産!$E$1</definedName>
    <definedName name="想定面積">②償却資産!$E$1</definedName>
    <definedName name="単位" localSheetId="2">[1]科目設定!$Q$2:$Q$32</definedName>
    <definedName name="単位">科目設定!$Q$2:$Q$35</definedName>
    <definedName name="賃借料・利用料">科目設定!$K$2:$K$6</definedName>
    <definedName name="土地改良・水利費">科目設定!$J$2:$J$4</definedName>
    <definedName name="動力・光熱費">科目設定!$G$2:$G$8</definedName>
    <definedName name="燃料">'[2]算出根基１（粗収益・物財費）'!$P$22:$P$28</definedName>
    <definedName name="燃料種類" localSheetId="2">[1]科目設定!$S$2:$S$8</definedName>
    <definedName name="燃料種類">科目設定!$S$2:$S$8</definedName>
    <definedName name="農業薬剤費">科目設定!$F$2:$F$8</definedName>
    <definedName name="農具費">科目設定!$I$2:$I$5</definedName>
    <definedName name="売上高" localSheetId="2">[1]科目集計用!$I$7</definedName>
    <definedName name="売上高">#REF!</definedName>
    <definedName name="販売費用">科目設定!$M$2:$M$7</definedName>
    <definedName name="肥料費">科目設定!$E$2:$E$8</definedName>
    <definedName name="変動費" localSheetId="2">[1]科目集計用!$I$110</definedName>
    <definedName name="変動費">#REF!</definedName>
    <definedName name="本">科目設定!$Z$2:$Z$4</definedName>
  </definedNames>
  <calcPr calcId="145621"/>
</workbook>
</file>

<file path=xl/calcChain.xml><?xml version="1.0" encoding="utf-8"?>
<calcChain xmlns="http://schemas.openxmlformats.org/spreadsheetml/2006/main">
  <c r="F68" i="4" l="1"/>
  <c r="I70" i="4" l="1"/>
  <c r="J70" i="4" s="1"/>
  <c r="C64" i="4"/>
  <c r="C65" i="4"/>
  <c r="C66" i="4"/>
  <c r="C67" i="4"/>
  <c r="D67" i="4" s="1"/>
  <c r="C68" i="4"/>
  <c r="C69" i="4"/>
  <c r="D65" i="4"/>
  <c r="I65" i="4" s="1"/>
  <c r="D66" i="4"/>
  <c r="I66" i="4" s="1"/>
  <c r="I67" i="4" l="1"/>
  <c r="J67" i="4"/>
  <c r="J66" i="4"/>
  <c r="J65" i="4"/>
  <c r="G22" i="7"/>
  <c r="AN36" i="5"/>
  <c r="D40" i="5" s="1"/>
  <c r="AN35" i="5"/>
  <c r="C6" i="19"/>
  <c r="V133" i="4" l="1"/>
  <c r="U133" i="4"/>
  <c r="T133" i="4"/>
  <c r="O133" i="4"/>
  <c r="J133" i="4"/>
  <c r="I133" i="4"/>
  <c r="J132" i="4"/>
  <c r="I132" i="4"/>
  <c r="V131" i="4"/>
  <c r="U131" i="4"/>
  <c r="T131" i="4"/>
  <c r="O131" i="4"/>
  <c r="J131" i="4"/>
  <c r="I131" i="4"/>
  <c r="V130" i="4"/>
  <c r="U130" i="4"/>
  <c r="T130" i="4"/>
  <c r="O130" i="4"/>
  <c r="V129" i="4"/>
  <c r="U129" i="4"/>
  <c r="T129" i="4"/>
  <c r="O129" i="4"/>
  <c r="U30" i="5"/>
  <c r="AK29" i="5"/>
  <c r="AG29" i="5"/>
  <c r="AC29" i="5"/>
  <c r="Y29" i="5"/>
  <c r="U29" i="5"/>
  <c r="Q29" i="5"/>
  <c r="M29" i="5"/>
  <c r="I29" i="5"/>
  <c r="E29" i="5"/>
  <c r="R353" i="3"/>
  <c r="Q353" i="3"/>
  <c r="R352" i="3"/>
  <c r="Q352" i="3"/>
  <c r="R351" i="3"/>
  <c r="Q351" i="3"/>
  <c r="R350" i="3"/>
  <c r="Q350" i="3"/>
  <c r="R349" i="3"/>
  <c r="Q349" i="3"/>
  <c r="R348" i="3"/>
  <c r="Q348" i="3"/>
  <c r="R347" i="3"/>
  <c r="Q347" i="3"/>
  <c r="R346" i="3"/>
  <c r="Q346" i="3"/>
  <c r="R345" i="3"/>
  <c r="Q345" i="3"/>
  <c r="R344" i="3"/>
  <c r="Q344" i="3"/>
  <c r="R343" i="3"/>
  <c r="Q343" i="3"/>
  <c r="R342" i="3"/>
  <c r="Q342" i="3"/>
  <c r="R341" i="3"/>
  <c r="Q341" i="3"/>
  <c r="R340" i="3"/>
  <c r="Q340" i="3"/>
  <c r="R339" i="3"/>
  <c r="Q339" i="3"/>
  <c r="R338" i="3"/>
  <c r="Q338" i="3"/>
  <c r="R337" i="3"/>
  <c r="Q337" i="3"/>
  <c r="R336" i="3"/>
  <c r="Q336" i="3"/>
  <c r="R335" i="3"/>
  <c r="Q335" i="3"/>
  <c r="R334" i="3"/>
  <c r="Q334" i="3"/>
  <c r="R333" i="3"/>
  <c r="Q333" i="3"/>
  <c r="R332" i="3"/>
  <c r="Q332" i="3"/>
  <c r="R331" i="3"/>
  <c r="Q331" i="3"/>
  <c r="R330" i="3"/>
  <c r="Q330" i="3"/>
  <c r="R329" i="3"/>
  <c r="Q329" i="3"/>
  <c r="R328" i="3"/>
  <c r="Q328" i="3"/>
  <c r="R327" i="3"/>
  <c r="Q327" i="3"/>
  <c r="R326" i="3"/>
  <c r="Q326" i="3"/>
  <c r="R325" i="3"/>
  <c r="Q325" i="3"/>
  <c r="R324" i="3"/>
  <c r="Q324" i="3"/>
  <c r="R323" i="3"/>
  <c r="Q323" i="3"/>
  <c r="R322" i="3"/>
  <c r="Q322" i="3"/>
  <c r="R321" i="3"/>
  <c r="Q321" i="3"/>
  <c r="R320" i="3"/>
  <c r="Q320" i="3"/>
  <c r="R319" i="3"/>
  <c r="Q319" i="3"/>
  <c r="R318" i="3"/>
  <c r="Q318" i="3"/>
  <c r="R317" i="3"/>
  <c r="Q317" i="3"/>
  <c r="R316" i="3"/>
  <c r="Q316" i="3"/>
  <c r="R315" i="3"/>
  <c r="Q315" i="3"/>
  <c r="R314" i="3"/>
  <c r="Q314" i="3"/>
  <c r="R313" i="3"/>
  <c r="Q313" i="3"/>
  <c r="R312" i="3"/>
  <c r="Q312" i="3"/>
  <c r="R311" i="3"/>
  <c r="Q311" i="3"/>
  <c r="R310" i="3"/>
  <c r="Q310" i="3"/>
  <c r="R309" i="3"/>
  <c r="Q309" i="3"/>
  <c r="R308" i="3"/>
  <c r="Q308" i="3"/>
  <c r="R307" i="3"/>
  <c r="Q307" i="3"/>
  <c r="R306" i="3"/>
  <c r="Q306" i="3"/>
  <c r="R305" i="3"/>
  <c r="Q305" i="3"/>
  <c r="R304" i="3"/>
  <c r="Q304" i="3"/>
  <c r="R303" i="3"/>
  <c r="Q303" i="3"/>
  <c r="R302" i="3"/>
  <c r="Q302" i="3"/>
  <c r="R301" i="3"/>
  <c r="Q301" i="3"/>
  <c r="R300" i="3"/>
  <c r="Q300" i="3"/>
  <c r="R299" i="3"/>
  <c r="Q299" i="3"/>
  <c r="R298" i="3"/>
  <c r="Q298" i="3"/>
  <c r="R297" i="3"/>
  <c r="Q297" i="3"/>
  <c r="R296" i="3"/>
  <c r="Q296" i="3"/>
  <c r="R295" i="3"/>
  <c r="Q295" i="3"/>
  <c r="R294" i="3"/>
  <c r="Q294" i="3"/>
  <c r="R293" i="3"/>
  <c r="Q293" i="3"/>
  <c r="R292" i="3"/>
  <c r="Q292" i="3"/>
  <c r="R291" i="3"/>
  <c r="Q291" i="3"/>
  <c r="R290" i="3"/>
  <c r="Q290" i="3"/>
  <c r="R289" i="3"/>
  <c r="Q289" i="3"/>
  <c r="R288" i="3"/>
  <c r="Q288" i="3"/>
  <c r="R287" i="3"/>
  <c r="Q287" i="3"/>
  <c r="R286" i="3"/>
  <c r="Q286" i="3"/>
  <c r="R285" i="3"/>
  <c r="Q285" i="3"/>
  <c r="R284" i="3"/>
  <c r="Q284" i="3"/>
  <c r="R283" i="3"/>
  <c r="Q283" i="3"/>
  <c r="R282" i="3"/>
  <c r="Q282" i="3"/>
  <c r="R281" i="3"/>
  <c r="Q281" i="3"/>
  <c r="R280" i="3"/>
  <c r="Q280" i="3"/>
  <c r="R279" i="3"/>
  <c r="Q279" i="3"/>
  <c r="R278" i="3"/>
  <c r="Q278" i="3"/>
  <c r="R277" i="3"/>
  <c r="Q277" i="3"/>
  <c r="R276" i="3"/>
  <c r="Q276" i="3"/>
  <c r="R275" i="3"/>
  <c r="Q275" i="3"/>
  <c r="R274" i="3"/>
  <c r="Q274" i="3"/>
  <c r="R273" i="3"/>
  <c r="Q273" i="3"/>
  <c r="R272" i="3"/>
  <c r="Q272" i="3"/>
  <c r="R271" i="3"/>
  <c r="Q271" i="3"/>
  <c r="R270" i="3"/>
  <c r="Q270" i="3"/>
  <c r="R269" i="3"/>
  <c r="Q269" i="3"/>
  <c r="R268" i="3"/>
  <c r="Q268" i="3"/>
  <c r="R267" i="3"/>
  <c r="Q267" i="3"/>
  <c r="R266" i="3"/>
  <c r="Q266" i="3"/>
  <c r="R265" i="3"/>
  <c r="Q265" i="3"/>
  <c r="R264" i="3"/>
  <c r="Q264" i="3"/>
  <c r="R263" i="3"/>
  <c r="Q263" i="3"/>
  <c r="R262" i="3"/>
  <c r="Q262" i="3"/>
  <c r="R261" i="3"/>
  <c r="Q261" i="3"/>
  <c r="R260" i="3"/>
  <c r="Q260" i="3"/>
  <c r="R259" i="3"/>
  <c r="Q259" i="3"/>
  <c r="R258" i="3"/>
  <c r="Q258" i="3"/>
  <c r="R257" i="3"/>
  <c r="Q257" i="3"/>
  <c r="R256" i="3"/>
  <c r="Q256" i="3"/>
  <c r="R255" i="3"/>
  <c r="Q255" i="3"/>
  <c r="R254" i="3"/>
  <c r="Q254" i="3"/>
  <c r="R253" i="3"/>
  <c r="Q253" i="3"/>
  <c r="R252" i="3"/>
  <c r="Q252" i="3"/>
  <c r="R251" i="3"/>
  <c r="Q251" i="3"/>
  <c r="R250" i="3"/>
  <c r="Q250" i="3"/>
  <c r="R249" i="3"/>
  <c r="Q249" i="3"/>
  <c r="R248" i="3"/>
  <c r="Q248" i="3"/>
  <c r="R247" i="3"/>
  <c r="Q247" i="3"/>
  <c r="R246" i="3"/>
  <c r="Q246" i="3"/>
  <c r="R245" i="3"/>
  <c r="Q245" i="3"/>
  <c r="R244" i="3"/>
  <c r="Q244" i="3"/>
  <c r="R243" i="3"/>
  <c r="Q243" i="3"/>
  <c r="R242" i="3"/>
  <c r="Q242" i="3"/>
  <c r="R241" i="3"/>
  <c r="Q241" i="3"/>
  <c r="R240" i="3"/>
  <c r="Q240" i="3"/>
  <c r="R239" i="3"/>
  <c r="Q239" i="3"/>
  <c r="R238" i="3"/>
  <c r="Q238" i="3"/>
  <c r="R237" i="3"/>
  <c r="Q237" i="3"/>
  <c r="R236" i="3"/>
  <c r="Q236" i="3"/>
  <c r="R235" i="3"/>
  <c r="Q235" i="3"/>
  <c r="R234" i="3"/>
  <c r="Q234" i="3"/>
  <c r="R233" i="3"/>
  <c r="Q233" i="3"/>
  <c r="R232" i="3"/>
  <c r="Q232" i="3"/>
  <c r="R231" i="3"/>
  <c r="Q231" i="3"/>
  <c r="R230" i="3"/>
  <c r="Q230" i="3"/>
  <c r="R229" i="3"/>
  <c r="Q229" i="3"/>
  <c r="R228" i="3"/>
  <c r="Q228" i="3"/>
  <c r="R227" i="3"/>
  <c r="Q227" i="3"/>
  <c r="R226" i="3"/>
  <c r="Q226" i="3"/>
  <c r="R225" i="3"/>
  <c r="Q225" i="3"/>
  <c r="R224" i="3"/>
  <c r="Q224" i="3"/>
  <c r="R223" i="3"/>
  <c r="Q223" i="3"/>
  <c r="R222" i="3"/>
  <c r="Q222" i="3"/>
  <c r="R221" i="3"/>
  <c r="Q221" i="3"/>
  <c r="R220" i="3"/>
  <c r="Q220" i="3"/>
  <c r="R219" i="3"/>
  <c r="Q219" i="3"/>
  <c r="R218" i="3"/>
  <c r="Q218" i="3"/>
  <c r="R217" i="3"/>
  <c r="Q217" i="3"/>
  <c r="R216" i="3"/>
  <c r="Q216" i="3"/>
  <c r="R215" i="3"/>
  <c r="Q215" i="3"/>
  <c r="R214" i="3"/>
  <c r="Q214" i="3"/>
  <c r="R213" i="3"/>
  <c r="Q213" i="3"/>
  <c r="R212" i="3"/>
  <c r="Q212" i="3"/>
  <c r="R211" i="3"/>
  <c r="Q211" i="3"/>
  <c r="R210" i="3"/>
  <c r="Q210" i="3"/>
  <c r="R209" i="3"/>
  <c r="Q209" i="3"/>
  <c r="R208" i="3"/>
  <c r="Q208" i="3"/>
  <c r="R207" i="3"/>
  <c r="Q207" i="3"/>
  <c r="R206" i="3"/>
  <c r="Q206" i="3"/>
  <c r="R205" i="3"/>
  <c r="Q205" i="3"/>
  <c r="R204" i="3"/>
  <c r="Q204" i="3"/>
  <c r="R203" i="3"/>
  <c r="Q203" i="3"/>
  <c r="R202" i="3"/>
  <c r="Q202" i="3"/>
  <c r="R201" i="3"/>
  <c r="Q201" i="3"/>
  <c r="R200" i="3"/>
  <c r="Q200" i="3"/>
  <c r="R199" i="3"/>
  <c r="Q199" i="3"/>
  <c r="R198" i="3"/>
  <c r="Q198" i="3"/>
  <c r="R197" i="3"/>
  <c r="Q197" i="3"/>
  <c r="R196" i="3"/>
  <c r="Q196" i="3"/>
  <c r="R195" i="3"/>
  <c r="Q195" i="3"/>
  <c r="R194" i="3"/>
  <c r="Q194" i="3"/>
  <c r="R193" i="3"/>
  <c r="Q193" i="3"/>
  <c r="R192" i="3"/>
  <c r="Q192" i="3"/>
  <c r="R191" i="3"/>
  <c r="Q191" i="3"/>
  <c r="R190" i="3"/>
  <c r="Q190" i="3"/>
  <c r="R189" i="3"/>
  <c r="Q189" i="3"/>
  <c r="R188" i="3"/>
  <c r="Q188" i="3"/>
  <c r="R187" i="3"/>
  <c r="Q187" i="3"/>
  <c r="R186" i="3"/>
  <c r="Q186" i="3"/>
  <c r="R185" i="3"/>
  <c r="Q185" i="3"/>
  <c r="R184" i="3"/>
  <c r="Q184" i="3"/>
  <c r="R183" i="3"/>
  <c r="Q183" i="3"/>
  <c r="R182" i="3"/>
  <c r="Q182" i="3"/>
  <c r="R181" i="3"/>
  <c r="Q181" i="3"/>
  <c r="R180" i="3"/>
  <c r="Q180" i="3"/>
  <c r="R179" i="3"/>
  <c r="Q179" i="3"/>
  <c r="R178" i="3"/>
  <c r="Q178" i="3"/>
  <c r="R177" i="3"/>
  <c r="Q177" i="3"/>
  <c r="R176" i="3"/>
  <c r="Q176" i="3"/>
  <c r="R175" i="3"/>
  <c r="Q175" i="3"/>
  <c r="R174" i="3"/>
  <c r="Q174" i="3"/>
  <c r="R173" i="3"/>
  <c r="Q173" i="3"/>
  <c r="R172" i="3"/>
  <c r="Q172" i="3"/>
  <c r="R171" i="3"/>
  <c r="Q171" i="3"/>
  <c r="R170" i="3"/>
  <c r="Q170" i="3"/>
  <c r="R169" i="3"/>
  <c r="Q169" i="3"/>
  <c r="R168" i="3"/>
  <c r="Q168" i="3"/>
  <c r="R167" i="3"/>
  <c r="Q167" i="3"/>
  <c r="R166" i="3"/>
  <c r="Q166" i="3"/>
  <c r="R165" i="3"/>
  <c r="Q165" i="3"/>
  <c r="R164" i="3"/>
  <c r="Q164" i="3"/>
  <c r="R163" i="3"/>
  <c r="Q163" i="3"/>
  <c r="R162" i="3"/>
  <c r="Q162" i="3"/>
  <c r="R161" i="3"/>
  <c r="Q161" i="3"/>
  <c r="R160" i="3"/>
  <c r="Q160" i="3"/>
  <c r="R159" i="3"/>
  <c r="Q159" i="3"/>
  <c r="R158" i="3"/>
  <c r="Q158" i="3"/>
  <c r="R157" i="3"/>
  <c r="Q157" i="3"/>
  <c r="R156" i="3"/>
  <c r="Q156" i="3"/>
  <c r="R155" i="3"/>
  <c r="Q155" i="3"/>
  <c r="R154" i="3"/>
  <c r="Q154" i="3"/>
  <c r="R153" i="3"/>
  <c r="Q153" i="3"/>
  <c r="R152" i="3"/>
  <c r="Q152" i="3"/>
  <c r="R151" i="3"/>
  <c r="Q151" i="3"/>
  <c r="R150" i="3"/>
  <c r="Q150" i="3"/>
  <c r="R149" i="3"/>
  <c r="Q149" i="3"/>
  <c r="R148" i="3"/>
  <c r="Q148" i="3"/>
  <c r="R147" i="3"/>
  <c r="Q147" i="3"/>
  <c r="R146" i="3"/>
  <c r="Q146" i="3"/>
  <c r="R145" i="3"/>
  <c r="Q145" i="3"/>
  <c r="R144" i="3"/>
  <c r="Q144" i="3"/>
  <c r="R143" i="3"/>
  <c r="Q143" i="3"/>
  <c r="R142" i="3"/>
  <c r="Q142" i="3"/>
  <c r="R141" i="3"/>
  <c r="Q141" i="3"/>
  <c r="R140" i="3"/>
  <c r="Q140" i="3"/>
  <c r="R139" i="3"/>
  <c r="Q139" i="3"/>
  <c r="R138" i="3"/>
  <c r="Q138" i="3"/>
  <c r="R137" i="3"/>
  <c r="Q137" i="3"/>
  <c r="R136" i="3"/>
  <c r="Q136" i="3"/>
  <c r="R135" i="3"/>
  <c r="Q135" i="3"/>
  <c r="R134" i="3"/>
  <c r="Q134" i="3"/>
  <c r="R133" i="3"/>
  <c r="Q133" i="3"/>
  <c r="R132" i="3"/>
  <c r="Q132" i="3"/>
  <c r="R131" i="3"/>
  <c r="Q131" i="3"/>
  <c r="R130" i="3"/>
  <c r="Q130" i="3"/>
  <c r="R129" i="3"/>
  <c r="Q129" i="3"/>
  <c r="R128" i="3"/>
  <c r="Q128" i="3"/>
  <c r="R127" i="3"/>
  <c r="Q127" i="3"/>
  <c r="R126" i="3"/>
  <c r="Q126" i="3"/>
  <c r="R125" i="3"/>
  <c r="Q125" i="3"/>
  <c r="R124" i="3"/>
  <c r="Q124" i="3"/>
  <c r="R123" i="3"/>
  <c r="Q123" i="3"/>
  <c r="R122" i="3"/>
  <c r="Q122" i="3"/>
  <c r="R121" i="3"/>
  <c r="Q121" i="3"/>
  <c r="R120" i="3"/>
  <c r="Q120" i="3"/>
  <c r="R119" i="3"/>
  <c r="Q119" i="3"/>
  <c r="R118" i="3"/>
  <c r="Q118" i="3"/>
  <c r="R117" i="3"/>
  <c r="Q117" i="3"/>
  <c r="R116" i="3"/>
  <c r="Q116" i="3"/>
  <c r="R115" i="3"/>
  <c r="Q115" i="3"/>
  <c r="R114" i="3"/>
  <c r="Q114" i="3"/>
  <c r="R113" i="3"/>
  <c r="Q113" i="3"/>
  <c r="R112" i="3"/>
  <c r="Q112" i="3"/>
  <c r="R111" i="3"/>
  <c r="Q111" i="3"/>
  <c r="R110" i="3"/>
  <c r="Q110" i="3"/>
  <c r="R109" i="3"/>
  <c r="Q109" i="3"/>
  <c r="R108" i="3"/>
  <c r="Q108" i="3"/>
  <c r="R107" i="3"/>
  <c r="Q107" i="3"/>
  <c r="R106" i="3"/>
  <c r="Q106" i="3"/>
  <c r="R105" i="3"/>
  <c r="Q105" i="3"/>
  <c r="R104" i="3"/>
  <c r="Q104" i="3"/>
  <c r="R103" i="3"/>
  <c r="Q103" i="3"/>
  <c r="R102" i="3"/>
  <c r="Q102" i="3"/>
  <c r="R101" i="3"/>
  <c r="Q101" i="3"/>
  <c r="R100" i="3"/>
  <c r="Q100" i="3"/>
  <c r="R99" i="3"/>
  <c r="Q99" i="3"/>
  <c r="R98" i="3"/>
  <c r="Q98" i="3"/>
  <c r="R97" i="3"/>
  <c r="Q97" i="3"/>
  <c r="R96" i="3"/>
  <c r="Q96" i="3"/>
  <c r="R95" i="3"/>
  <c r="Q95" i="3"/>
  <c r="R94" i="3"/>
  <c r="Q94" i="3"/>
  <c r="R93" i="3"/>
  <c r="Q93" i="3"/>
  <c r="R92" i="3"/>
  <c r="Q92" i="3"/>
  <c r="R91" i="3"/>
  <c r="Q91" i="3"/>
  <c r="R90" i="3"/>
  <c r="Q90" i="3"/>
  <c r="R89" i="3"/>
  <c r="Q89" i="3"/>
  <c r="R88" i="3"/>
  <c r="Q88" i="3"/>
  <c r="R87" i="3"/>
  <c r="Q87" i="3"/>
  <c r="R86" i="3"/>
  <c r="Q86" i="3"/>
  <c r="R85" i="3"/>
  <c r="Q85" i="3"/>
  <c r="R84" i="3"/>
  <c r="Q84" i="3"/>
  <c r="R83" i="3"/>
  <c r="Q83" i="3"/>
  <c r="R82" i="3"/>
  <c r="Q82" i="3"/>
  <c r="R81" i="3"/>
  <c r="Q81" i="3"/>
  <c r="R80" i="3"/>
  <c r="Q80" i="3"/>
  <c r="R79" i="3"/>
  <c r="Q79" i="3"/>
  <c r="R78" i="3"/>
  <c r="Q78" i="3"/>
  <c r="R77" i="3"/>
  <c r="Q77" i="3"/>
  <c r="R76" i="3"/>
  <c r="Q76" i="3"/>
  <c r="R75" i="3"/>
  <c r="Q75" i="3"/>
  <c r="R74" i="3"/>
  <c r="Q74" i="3"/>
  <c r="R73" i="3"/>
  <c r="Q73" i="3"/>
  <c r="R72" i="3"/>
  <c r="Q72" i="3"/>
  <c r="R71" i="3"/>
  <c r="Q71" i="3"/>
  <c r="R70" i="3"/>
  <c r="Q70" i="3"/>
  <c r="R69" i="3"/>
  <c r="Q69" i="3"/>
  <c r="R68" i="3"/>
  <c r="Q68" i="3"/>
  <c r="R67" i="3"/>
  <c r="Q67" i="3"/>
  <c r="R66" i="3"/>
  <c r="Q66" i="3"/>
  <c r="R65" i="3"/>
  <c r="Q65" i="3"/>
  <c r="R64" i="3"/>
  <c r="Q64" i="3"/>
  <c r="R63" i="3"/>
  <c r="Q63" i="3"/>
  <c r="R62" i="3"/>
  <c r="Q62" i="3"/>
  <c r="R61" i="3"/>
  <c r="Q61" i="3"/>
  <c r="R60" i="3"/>
  <c r="Q60" i="3"/>
  <c r="R59" i="3"/>
  <c r="Q59" i="3"/>
  <c r="R58" i="3"/>
  <c r="Q58" i="3"/>
  <c r="R57" i="3"/>
  <c r="Q57" i="3"/>
  <c r="R56" i="3"/>
  <c r="Q56" i="3"/>
  <c r="R55" i="3"/>
  <c r="Q55" i="3"/>
  <c r="R54" i="3"/>
  <c r="Q54" i="3"/>
  <c r="R53" i="3"/>
  <c r="Q53" i="3"/>
  <c r="R52" i="3"/>
  <c r="Q52" i="3"/>
  <c r="R51" i="3"/>
  <c r="Q51" i="3"/>
  <c r="R50" i="3"/>
  <c r="Q50" i="3"/>
  <c r="R49" i="3"/>
  <c r="Q49" i="3"/>
  <c r="R48" i="3"/>
  <c r="Q48" i="3"/>
  <c r="R47" i="3"/>
  <c r="Q47" i="3"/>
  <c r="R46" i="3"/>
  <c r="Q46" i="3"/>
  <c r="R45" i="3"/>
  <c r="Q45" i="3"/>
  <c r="R44" i="3"/>
  <c r="Q44" i="3"/>
  <c r="R43" i="3"/>
  <c r="Q43" i="3"/>
  <c r="R42" i="3"/>
  <c r="Q42" i="3"/>
  <c r="R41" i="3"/>
  <c r="Q41" i="3"/>
  <c r="R40" i="3"/>
  <c r="Q40" i="3"/>
  <c r="R39" i="3"/>
  <c r="Q39" i="3"/>
  <c r="R38" i="3"/>
  <c r="Q38" i="3"/>
  <c r="R37" i="3"/>
  <c r="Q37" i="3"/>
  <c r="R36" i="3"/>
  <c r="Q36" i="3"/>
  <c r="R35" i="3"/>
  <c r="Q35" i="3"/>
  <c r="R34" i="3"/>
  <c r="Q34" i="3"/>
  <c r="R33" i="3"/>
  <c r="Q33" i="3"/>
  <c r="R32" i="3"/>
  <c r="Q32" i="3"/>
  <c r="R31" i="3"/>
  <c r="Q31" i="3"/>
  <c r="R30" i="3"/>
  <c r="Q30" i="3"/>
  <c r="R29" i="3"/>
  <c r="Q29" i="3"/>
  <c r="R28" i="3"/>
  <c r="Q28" i="3"/>
  <c r="R27" i="3"/>
  <c r="Q27" i="3"/>
  <c r="R26" i="3"/>
  <c r="Q26" i="3"/>
  <c r="R25" i="3"/>
  <c r="Q25" i="3"/>
  <c r="R24" i="3"/>
  <c r="Q24" i="3"/>
  <c r="R23" i="3"/>
  <c r="Q23" i="3"/>
  <c r="R22" i="3"/>
  <c r="Q22" i="3"/>
  <c r="R21" i="3"/>
  <c r="Q21" i="3"/>
  <c r="R20" i="3"/>
  <c r="Q20" i="3"/>
  <c r="R19" i="3"/>
  <c r="Q19" i="3"/>
  <c r="R18" i="3"/>
  <c r="Q18" i="3"/>
  <c r="R17" i="3"/>
  <c r="Q17" i="3"/>
  <c r="R16" i="3"/>
  <c r="Q16" i="3"/>
  <c r="R15" i="3"/>
  <c r="Q15" i="3"/>
  <c r="R14" i="3"/>
  <c r="Q14" i="3"/>
  <c r="R13" i="3"/>
  <c r="Q13" i="3"/>
  <c r="R12" i="3"/>
  <c r="Q12" i="3"/>
  <c r="R11" i="3"/>
  <c r="Q11" i="3"/>
  <c r="R10" i="3"/>
  <c r="Q10" i="3"/>
  <c r="R9" i="3"/>
  <c r="Q9" i="3"/>
  <c r="R8" i="3"/>
  <c r="Q8" i="3"/>
  <c r="R7" i="3"/>
  <c r="Q7" i="3"/>
  <c r="R6" i="3"/>
  <c r="AG30" i="5" s="1"/>
  <c r="Q6" i="3"/>
  <c r="D29" i="5" s="1"/>
  <c r="R5" i="3"/>
  <c r="AM30" i="5" s="1"/>
  <c r="Q5" i="3"/>
  <c r="AM29" i="5" s="1"/>
  <c r="G28" i="7"/>
  <c r="Q6" i="24"/>
  <c r="F29" i="23"/>
  <c r="E29" i="23"/>
  <c r="D29" i="23"/>
  <c r="C29" i="23"/>
  <c r="B29" i="23"/>
  <c r="K28" i="23"/>
  <c r="I28" i="23"/>
  <c r="G28" i="23"/>
  <c r="K27" i="23"/>
  <c r="I27" i="23"/>
  <c r="G27" i="23"/>
  <c r="K26" i="23"/>
  <c r="I26" i="23"/>
  <c r="G26" i="23"/>
  <c r="K25" i="23"/>
  <c r="I25" i="23"/>
  <c r="G25" i="23"/>
  <c r="K24" i="23"/>
  <c r="I24" i="23"/>
  <c r="G24" i="23"/>
  <c r="K23" i="23"/>
  <c r="I23" i="23"/>
  <c r="G23" i="23"/>
  <c r="K22" i="23"/>
  <c r="I22" i="23"/>
  <c r="G22" i="23"/>
  <c r="K21" i="23"/>
  <c r="I21" i="23"/>
  <c r="G21" i="23"/>
  <c r="K20" i="23"/>
  <c r="I20" i="23"/>
  <c r="G20" i="23"/>
  <c r="K19" i="23"/>
  <c r="I19" i="23"/>
  <c r="G19" i="23"/>
  <c r="K18" i="23"/>
  <c r="I18" i="23"/>
  <c r="G18" i="23"/>
  <c r="K17" i="23"/>
  <c r="I17" i="23"/>
  <c r="G17" i="23"/>
  <c r="K16" i="23"/>
  <c r="I16" i="23"/>
  <c r="G16" i="23"/>
  <c r="K15" i="23"/>
  <c r="I15" i="23"/>
  <c r="G15" i="23"/>
  <c r="K14" i="23"/>
  <c r="I14" i="23"/>
  <c r="G14" i="23"/>
  <c r="K13" i="23"/>
  <c r="I13" i="23"/>
  <c r="G13" i="23"/>
  <c r="K12" i="23"/>
  <c r="I12" i="23"/>
  <c r="G12" i="23"/>
  <c r="K11" i="23"/>
  <c r="I11" i="23"/>
  <c r="G11" i="23"/>
  <c r="K10" i="23"/>
  <c r="I10" i="23"/>
  <c r="G10" i="23"/>
  <c r="K9" i="23"/>
  <c r="I9" i="23"/>
  <c r="G9" i="23"/>
  <c r="K8" i="23"/>
  <c r="I8" i="23"/>
  <c r="G8" i="23"/>
  <c r="K7" i="23"/>
  <c r="I7" i="23"/>
  <c r="G7" i="23"/>
  <c r="K6" i="23"/>
  <c r="I6" i="23"/>
  <c r="G6" i="23"/>
  <c r="K5" i="23"/>
  <c r="I5" i="23"/>
  <c r="G5" i="23"/>
  <c r="K4" i="23"/>
  <c r="I4" i="23"/>
  <c r="G4" i="23"/>
  <c r="E30" i="5" l="1"/>
  <c r="M30" i="5"/>
  <c r="G29" i="23"/>
  <c r="H29" i="5"/>
  <c r="L29" i="5"/>
  <c r="P29" i="5"/>
  <c r="T29" i="5"/>
  <c r="X29" i="5"/>
  <c r="AB29" i="5"/>
  <c r="AF29" i="5"/>
  <c r="AJ29" i="5"/>
  <c r="D30" i="5"/>
  <c r="H30" i="5"/>
  <c r="L30" i="5"/>
  <c r="P30" i="5"/>
  <c r="T30" i="5"/>
  <c r="X30" i="5"/>
  <c r="AB30" i="5"/>
  <c r="AF30" i="5"/>
  <c r="AJ30" i="5"/>
  <c r="I30" i="5"/>
  <c r="Q30" i="5"/>
  <c r="Y30" i="5"/>
  <c r="AK30" i="5"/>
  <c r="N29" i="5"/>
  <c r="R29" i="5"/>
  <c r="V29" i="5"/>
  <c r="Z29" i="5"/>
  <c r="AD29" i="5"/>
  <c r="AH29" i="5"/>
  <c r="AL29" i="5"/>
  <c r="F30" i="5"/>
  <c r="J30" i="5"/>
  <c r="N30" i="5"/>
  <c r="R30" i="5"/>
  <c r="V30" i="5"/>
  <c r="Z30" i="5"/>
  <c r="AD30" i="5"/>
  <c r="AH30" i="5"/>
  <c r="AL30" i="5"/>
  <c r="AC30" i="5"/>
  <c r="F29" i="5"/>
  <c r="J29" i="5"/>
  <c r="I29" i="23"/>
  <c r="G29" i="5"/>
  <c r="K29" i="5"/>
  <c r="O29" i="5"/>
  <c r="S29" i="5"/>
  <c r="W29" i="5"/>
  <c r="AA29" i="5"/>
  <c r="AE29" i="5"/>
  <c r="AI29" i="5"/>
  <c r="G30" i="5"/>
  <c r="K30" i="5"/>
  <c r="O30" i="5"/>
  <c r="S30" i="5"/>
  <c r="W30" i="5"/>
  <c r="AA30" i="5"/>
  <c r="AE30" i="5"/>
  <c r="AI30" i="5"/>
  <c r="K29" i="23"/>
  <c r="M29" i="23" s="1"/>
  <c r="J176" i="4" l="1"/>
  <c r="J175" i="4"/>
  <c r="J174" i="4"/>
  <c r="J173" i="4"/>
  <c r="J172" i="4"/>
  <c r="J171" i="4"/>
  <c r="J170" i="4"/>
  <c r="J169" i="4"/>
  <c r="J168" i="4"/>
  <c r="J167" i="4"/>
  <c r="J166" i="4"/>
  <c r="J164" i="4"/>
  <c r="J163" i="4"/>
  <c r="J162" i="4"/>
  <c r="J161" i="4"/>
  <c r="J165" i="4" s="1"/>
  <c r="J159" i="4"/>
  <c r="J158" i="4"/>
  <c r="J157" i="4"/>
  <c r="J156" i="4"/>
  <c r="J160" i="4" s="1"/>
  <c r="J154" i="4"/>
  <c r="J153" i="4"/>
  <c r="J152" i="4"/>
  <c r="J149" i="4"/>
  <c r="J148" i="4"/>
  <c r="J147" i="4"/>
  <c r="J146" i="4"/>
  <c r="J144" i="4"/>
  <c r="J143" i="4"/>
  <c r="J142" i="4"/>
  <c r="J141" i="4"/>
  <c r="J139" i="4"/>
  <c r="J138" i="4"/>
  <c r="J137" i="4"/>
  <c r="J136" i="4"/>
  <c r="J135" i="4"/>
  <c r="J127" i="4"/>
  <c r="J126" i="4"/>
  <c r="J121" i="4"/>
  <c r="J120" i="4"/>
  <c r="J119" i="4"/>
  <c r="J118" i="4"/>
  <c r="J122" i="4" s="1"/>
  <c r="J116" i="4"/>
  <c r="J115" i="4"/>
  <c r="J114" i="4"/>
  <c r="J113" i="4"/>
  <c r="J112" i="4"/>
  <c r="J111" i="4"/>
  <c r="J117" i="4" s="1"/>
  <c r="J109" i="4"/>
  <c r="J108" i="4"/>
  <c r="J107" i="4"/>
  <c r="J106" i="4"/>
  <c r="J105" i="4"/>
  <c r="J104" i="4"/>
  <c r="J103" i="4"/>
  <c r="J102" i="4"/>
  <c r="J101" i="4"/>
  <c r="J100" i="4"/>
  <c r="J99" i="4"/>
  <c r="J98" i="4"/>
  <c r="J97" i="4"/>
  <c r="J96" i="4"/>
  <c r="J95" i="4"/>
  <c r="J94" i="4"/>
  <c r="J93" i="4"/>
  <c r="J60" i="4"/>
  <c r="J59" i="4"/>
  <c r="J58" i="4"/>
  <c r="J57" i="4"/>
  <c r="J56" i="4"/>
  <c r="J55" i="4"/>
  <c r="J54" i="4"/>
  <c r="J53" i="4"/>
  <c r="J52" i="4"/>
  <c r="J51" i="4"/>
  <c r="J50" i="4"/>
  <c r="J49" i="4"/>
  <c r="J48" i="4"/>
  <c r="J47" i="4"/>
  <c r="J46" i="4"/>
  <c r="J45" i="4"/>
  <c r="J44" i="4"/>
  <c r="J43" i="4"/>
  <c r="J42" i="4"/>
  <c r="J41" i="4"/>
  <c r="J40" i="4"/>
  <c r="J39" i="4"/>
  <c r="J38" i="4"/>
  <c r="J37" i="4"/>
  <c r="J36" i="4"/>
  <c r="J35" i="4"/>
  <c r="J34" i="4"/>
  <c r="J33" i="4"/>
  <c r="J32" i="4"/>
  <c r="J31" i="4"/>
  <c r="J30" i="4"/>
  <c r="J29" i="4"/>
  <c r="J28" i="4"/>
  <c r="J27" i="4"/>
  <c r="J26" i="4"/>
  <c r="J25" i="4"/>
  <c r="J24" i="4"/>
  <c r="J23" i="4"/>
  <c r="J22" i="4"/>
  <c r="J21" i="4"/>
  <c r="J19" i="4"/>
  <c r="J18" i="4"/>
  <c r="J17" i="4"/>
  <c r="J16" i="4"/>
  <c r="J15" i="4"/>
  <c r="J14" i="4"/>
  <c r="J13" i="4"/>
  <c r="J12" i="4"/>
  <c r="J11" i="4"/>
  <c r="J10" i="4"/>
  <c r="J9" i="4"/>
  <c r="J7" i="4"/>
  <c r="J6" i="4"/>
  <c r="J5" i="4"/>
  <c r="J4" i="4"/>
  <c r="J8" i="4" s="1"/>
  <c r="J3" i="4"/>
  <c r="I136" i="4"/>
  <c r="I137" i="4"/>
  <c r="I138" i="4"/>
  <c r="I139" i="4"/>
  <c r="I140" i="4"/>
  <c r="J140" i="4" s="1"/>
  <c r="I141" i="4"/>
  <c r="I142" i="4"/>
  <c r="I143" i="4"/>
  <c r="I144" i="4"/>
  <c r="I135" i="4"/>
  <c r="D20" i="21"/>
  <c r="K22" i="2"/>
  <c r="L22" i="2" s="1"/>
  <c r="K23" i="2"/>
  <c r="L23" i="2" s="1"/>
  <c r="K24" i="2"/>
  <c r="L24" i="2" s="1"/>
  <c r="K25" i="2"/>
  <c r="L25" i="2" s="1"/>
  <c r="K26" i="2"/>
  <c r="L26" i="2" s="1"/>
  <c r="K27" i="2"/>
  <c r="L27" i="2" s="1"/>
  <c r="K28" i="2"/>
  <c r="L28" i="2" s="1"/>
  <c r="K29" i="2"/>
  <c r="L29" i="2" s="1"/>
  <c r="K30" i="2"/>
  <c r="L30" i="2" s="1"/>
  <c r="K31" i="2"/>
  <c r="L31" i="2" s="1"/>
  <c r="I167" i="4"/>
  <c r="I168" i="4"/>
  <c r="I169" i="4"/>
  <c r="I170" i="4"/>
  <c r="I171" i="4"/>
  <c r="I172" i="4"/>
  <c r="I173" i="4"/>
  <c r="I174" i="4"/>
  <c r="I175" i="4"/>
  <c r="I176" i="4"/>
  <c r="I166" i="4"/>
  <c r="J150" i="4" l="1"/>
  <c r="J61" i="4"/>
  <c r="J20" i="4"/>
  <c r="J145" i="4"/>
  <c r="N29" i="2"/>
  <c r="O29" i="2" s="1"/>
  <c r="P29" i="2" s="1"/>
  <c r="Q29" i="2" s="1"/>
  <c r="N27" i="2"/>
  <c r="O27" i="2" s="1"/>
  <c r="P27" i="2" s="1"/>
  <c r="Q27" i="2" s="1"/>
  <c r="N25" i="2"/>
  <c r="O25" i="2" s="1"/>
  <c r="P25" i="2" s="1"/>
  <c r="Q25" i="2" s="1"/>
  <c r="N23" i="2"/>
  <c r="O23" i="2" s="1"/>
  <c r="P23" i="2" s="1"/>
  <c r="Q23" i="2" s="1"/>
  <c r="N30" i="2"/>
  <c r="O30" i="2" s="1"/>
  <c r="P30" i="2" s="1"/>
  <c r="Q30" i="2" s="1"/>
  <c r="N28" i="2"/>
  <c r="O28" i="2" s="1"/>
  <c r="P28" i="2" s="1"/>
  <c r="Q28" i="2" s="1"/>
  <c r="N26" i="2"/>
  <c r="O26" i="2" s="1"/>
  <c r="P26" i="2" s="1"/>
  <c r="Q26" i="2" s="1"/>
  <c r="N24" i="2"/>
  <c r="O24" i="2" s="1"/>
  <c r="P24" i="2" s="1"/>
  <c r="Q24" i="2" s="1"/>
  <c r="N22" i="2"/>
  <c r="O22" i="2" s="1"/>
  <c r="P22" i="2" s="1"/>
  <c r="Q22" i="2" s="1"/>
  <c r="I164" i="4"/>
  <c r="I163" i="4"/>
  <c r="I162" i="4"/>
  <c r="I161" i="4"/>
  <c r="I159" i="4"/>
  <c r="I158" i="4"/>
  <c r="I157" i="4"/>
  <c r="I156" i="4"/>
  <c r="I154" i="4"/>
  <c r="I153" i="4"/>
  <c r="I152" i="4"/>
  <c r="I151" i="4"/>
  <c r="J151" i="4" s="1"/>
  <c r="J155" i="4" s="1"/>
  <c r="I149" i="4"/>
  <c r="I148" i="4"/>
  <c r="I147" i="4"/>
  <c r="I146" i="4"/>
  <c r="I127" i="4"/>
  <c r="I126" i="4"/>
  <c r="I125" i="4"/>
  <c r="J125" i="4" s="1"/>
  <c r="I124" i="4"/>
  <c r="J124" i="4" s="1"/>
  <c r="I123" i="4"/>
  <c r="J123" i="4" s="1"/>
  <c r="I121" i="4"/>
  <c r="I120" i="4"/>
  <c r="I119" i="4"/>
  <c r="I118" i="4"/>
  <c r="I116" i="4"/>
  <c r="I115" i="4"/>
  <c r="I114" i="4"/>
  <c r="I113" i="4"/>
  <c r="I112" i="4"/>
  <c r="I111" i="4"/>
  <c r="I109" i="4"/>
  <c r="I108" i="4"/>
  <c r="I107" i="4"/>
  <c r="I106" i="4"/>
  <c r="I105" i="4"/>
  <c r="I104" i="4"/>
  <c r="I103" i="4"/>
  <c r="I102" i="4"/>
  <c r="I101" i="4"/>
  <c r="I100" i="4"/>
  <c r="I99" i="4"/>
  <c r="I98" i="4"/>
  <c r="I97" i="4"/>
  <c r="I96" i="4"/>
  <c r="I95" i="4"/>
  <c r="I94" i="4"/>
  <c r="I93" i="4"/>
  <c r="I92" i="4"/>
  <c r="J92" i="4" s="1"/>
  <c r="I91" i="4"/>
  <c r="J91" i="4" s="1"/>
  <c r="I90" i="4"/>
  <c r="J90" i="4" s="1"/>
  <c r="I89" i="4"/>
  <c r="J89" i="4" s="1"/>
  <c r="I88" i="4"/>
  <c r="J88" i="4" s="1"/>
  <c r="I87" i="4"/>
  <c r="J87" i="4" s="1"/>
  <c r="I86" i="4"/>
  <c r="J86" i="4" s="1"/>
  <c r="I85" i="4"/>
  <c r="J85" i="4" s="1"/>
  <c r="I84" i="4"/>
  <c r="J84" i="4" s="1"/>
  <c r="I83" i="4"/>
  <c r="J83" i="4" s="1"/>
  <c r="I82" i="4"/>
  <c r="J82" i="4" s="1"/>
  <c r="I81" i="4"/>
  <c r="J81" i="4" s="1"/>
  <c r="I80" i="4"/>
  <c r="J80" i="4" s="1"/>
  <c r="I79" i="4"/>
  <c r="J79" i="4" s="1"/>
  <c r="I78" i="4"/>
  <c r="J78" i="4" s="1"/>
  <c r="I77" i="4"/>
  <c r="J77" i="4" s="1"/>
  <c r="I76" i="4"/>
  <c r="J76" i="4" s="1"/>
  <c r="I75" i="4"/>
  <c r="J75" i="4" s="1"/>
  <c r="I74" i="4"/>
  <c r="J74" i="4" s="1"/>
  <c r="I73" i="4"/>
  <c r="J73" i="4" s="1"/>
  <c r="I60" i="4"/>
  <c r="I59" i="4"/>
  <c r="I58" i="4"/>
  <c r="I57" i="4"/>
  <c r="I56" i="4"/>
  <c r="I55" i="4"/>
  <c r="I54" i="4"/>
  <c r="I53" i="4"/>
  <c r="I52" i="4"/>
  <c r="I51" i="4"/>
  <c r="I50" i="4"/>
  <c r="I49" i="4"/>
  <c r="I48" i="4"/>
  <c r="I47" i="4"/>
  <c r="I46" i="4"/>
  <c r="I45" i="4"/>
  <c r="I44" i="4"/>
  <c r="I43" i="4"/>
  <c r="I42" i="4"/>
  <c r="I41" i="4"/>
  <c r="I40" i="4"/>
  <c r="I39" i="4"/>
  <c r="I38" i="4"/>
  <c r="I37" i="4"/>
  <c r="I36" i="4"/>
  <c r="I35" i="4"/>
  <c r="I34" i="4"/>
  <c r="I33" i="4"/>
  <c r="I32" i="4"/>
  <c r="I31" i="4"/>
  <c r="I30" i="4"/>
  <c r="I29" i="4"/>
  <c r="I28" i="4"/>
  <c r="I27" i="4"/>
  <c r="I26" i="4"/>
  <c r="I25" i="4"/>
  <c r="I24" i="4"/>
  <c r="I23" i="4"/>
  <c r="I22" i="4"/>
  <c r="I21" i="4"/>
  <c r="I19" i="4"/>
  <c r="I18" i="4"/>
  <c r="I17" i="4"/>
  <c r="I16" i="4"/>
  <c r="I15" i="4"/>
  <c r="I14" i="4"/>
  <c r="I13" i="4"/>
  <c r="I12" i="4"/>
  <c r="I11" i="4"/>
  <c r="I10" i="4"/>
  <c r="I9" i="4"/>
  <c r="I4" i="4"/>
  <c r="I5" i="4"/>
  <c r="I6" i="4"/>
  <c r="I7" i="4"/>
  <c r="I3" i="4"/>
  <c r="B23" i="5"/>
  <c r="B24" i="5"/>
  <c r="B25" i="5"/>
  <c r="B26" i="5"/>
  <c r="B27" i="5"/>
  <c r="B28" i="5"/>
  <c r="J110" i="4" l="1"/>
  <c r="J128" i="4"/>
  <c r="G27" i="7"/>
  <c r="G26" i="7"/>
  <c r="J177" i="4"/>
  <c r="E35" i="7" s="1"/>
  <c r="V164" i="4"/>
  <c r="U164" i="4"/>
  <c r="T164" i="4"/>
  <c r="O164" i="4"/>
  <c r="V162" i="4"/>
  <c r="U162" i="4"/>
  <c r="T162" i="4"/>
  <c r="O162" i="4"/>
  <c r="V161" i="4"/>
  <c r="U161" i="4"/>
  <c r="T161" i="4"/>
  <c r="O161" i="4"/>
  <c r="E34" i="7"/>
  <c r="V159" i="4"/>
  <c r="U159" i="4"/>
  <c r="T159" i="4"/>
  <c r="O159" i="4"/>
  <c r="V157" i="4"/>
  <c r="U157" i="4"/>
  <c r="T157" i="4"/>
  <c r="O157" i="4"/>
  <c r="V156" i="4"/>
  <c r="U156" i="4"/>
  <c r="T156" i="4"/>
  <c r="O156" i="4"/>
  <c r="E33" i="7"/>
  <c r="V154" i="4"/>
  <c r="U154" i="4"/>
  <c r="T154" i="4"/>
  <c r="O154" i="4"/>
  <c r="V152" i="4"/>
  <c r="U152" i="4"/>
  <c r="T152" i="4"/>
  <c r="O152" i="4"/>
  <c r="V151" i="4"/>
  <c r="U151" i="4"/>
  <c r="T151" i="4"/>
  <c r="O151" i="4"/>
  <c r="E32" i="7"/>
  <c r="V149" i="4"/>
  <c r="U149" i="4"/>
  <c r="T149" i="4"/>
  <c r="O149" i="4"/>
  <c r="V147" i="4"/>
  <c r="U147" i="4"/>
  <c r="T147" i="4"/>
  <c r="O147" i="4"/>
  <c r="V146" i="4"/>
  <c r="U146" i="4"/>
  <c r="T146" i="4"/>
  <c r="O146" i="4"/>
  <c r="E31" i="7"/>
  <c r="V121" i="4"/>
  <c r="U121" i="4"/>
  <c r="T121" i="4"/>
  <c r="O121" i="4"/>
  <c r="V119" i="4"/>
  <c r="U119" i="4"/>
  <c r="T119" i="4"/>
  <c r="O119" i="4"/>
  <c r="V118" i="4"/>
  <c r="U118" i="4"/>
  <c r="T118" i="4"/>
  <c r="O118" i="4"/>
  <c r="G25" i="7"/>
  <c r="G24" i="7"/>
  <c r="G20" i="21"/>
  <c r="E21" i="21"/>
  <c r="F21" i="21"/>
  <c r="E5" i="7" s="1"/>
  <c r="B21" i="21"/>
  <c r="B22" i="5"/>
  <c r="B21" i="5"/>
  <c r="B20" i="5"/>
  <c r="B19" i="5"/>
  <c r="B18" i="5"/>
  <c r="B17" i="5"/>
  <c r="B16" i="5"/>
  <c r="B15" i="5"/>
  <c r="B14" i="5"/>
  <c r="B13" i="5"/>
  <c r="B12" i="5"/>
  <c r="B11" i="5"/>
  <c r="B10" i="5"/>
  <c r="B9" i="5"/>
  <c r="C13" i="19" l="1"/>
  <c r="E4" i="7"/>
  <c r="E13" i="7"/>
  <c r="C11" i="19" l="1"/>
  <c r="C5" i="19"/>
  <c r="C4" i="19"/>
  <c r="E27" i="7"/>
  <c r="E26" i="7"/>
  <c r="E25" i="7"/>
  <c r="E24" i="7"/>
  <c r="D8" i="21" l="1"/>
  <c r="G8" i="21" s="1"/>
  <c r="D9" i="21"/>
  <c r="G9" i="21" s="1"/>
  <c r="D10" i="21"/>
  <c r="G10" i="21" s="1"/>
  <c r="D11" i="21"/>
  <c r="G11" i="21" s="1"/>
  <c r="D12" i="21"/>
  <c r="G12" i="21" s="1"/>
  <c r="D13" i="21"/>
  <c r="G13" i="21" s="1"/>
  <c r="D19" i="21"/>
  <c r="G19" i="21" s="1"/>
  <c r="D18" i="21"/>
  <c r="G18" i="21" s="1"/>
  <c r="D17" i="21"/>
  <c r="G17" i="21" s="1"/>
  <c r="D16" i="21"/>
  <c r="G16" i="21" s="1"/>
  <c r="D15" i="21"/>
  <c r="G15" i="21" s="1"/>
  <c r="D14" i="21"/>
  <c r="G14" i="21" s="1"/>
  <c r="C33" i="5"/>
  <c r="C63" i="4"/>
  <c r="D64" i="4"/>
  <c r="C62" i="4"/>
  <c r="N6" i="3"/>
  <c r="N7" i="3"/>
  <c r="N8" i="3"/>
  <c r="N9" i="3"/>
  <c r="N10" i="3"/>
  <c r="N11" i="3"/>
  <c r="N12" i="3"/>
  <c r="N13" i="3"/>
  <c r="N14" i="3"/>
  <c r="N15" i="3"/>
  <c r="N16" i="3"/>
  <c r="N17" i="3"/>
  <c r="N18" i="3"/>
  <c r="N19" i="3"/>
  <c r="N20" i="3"/>
  <c r="N21" i="3"/>
  <c r="N22" i="3"/>
  <c r="N23" i="3"/>
  <c r="N24" i="3"/>
  <c r="N25" i="3"/>
  <c r="N26" i="3"/>
  <c r="N27" i="3"/>
  <c r="N28" i="3"/>
  <c r="N29" i="3"/>
  <c r="N30" i="3"/>
  <c r="N31" i="3"/>
  <c r="N32" i="3"/>
  <c r="N33" i="3"/>
  <c r="N34" i="3"/>
  <c r="N35" i="3"/>
  <c r="N36" i="3"/>
  <c r="N37" i="3"/>
  <c r="N38" i="3"/>
  <c r="N39" i="3"/>
  <c r="N40" i="3"/>
  <c r="N41" i="3"/>
  <c r="N42" i="3"/>
  <c r="N43" i="3"/>
  <c r="N44" i="3"/>
  <c r="N45" i="3"/>
  <c r="N46" i="3"/>
  <c r="N47" i="3"/>
  <c r="N48" i="3"/>
  <c r="N49" i="3"/>
  <c r="N50" i="3"/>
  <c r="N51" i="3"/>
  <c r="N52" i="3"/>
  <c r="N53" i="3"/>
  <c r="N54" i="3"/>
  <c r="N55" i="3"/>
  <c r="N56" i="3"/>
  <c r="N57" i="3"/>
  <c r="N58" i="3"/>
  <c r="N59" i="3"/>
  <c r="N60" i="3"/>
  <c r="N61" i="3"/>
  <c r="N62" i="3"/>
  <c r="N63" i="3"/>
  <c r="N64" i="3"/>
  <c r="N65" i="3"/>
  <c r="N66" i="3"/>
  <c r="N67" i="3"/>
  <c r="N68" i="3"/>
  <c r="N69" i="3"/>
  <c r="N70" i="3"/>
  <c r="N71" i="3"/>
  <c r="N72" i="3"/>
  <c r="N73" i="3"/>
  <c r="N74" i="3"/>
  <c r="N75" i="3"/>
  <c r="N76" i="3"/>
  <c r="N77" i="3"/>
  <c r="N78" i="3"/>
  <c r="N79" i="3"/>
  <c r="N80" i="3"/>
  <c r="N81" i="3"/>
  <c r="N82" i="3"/>
  <c r="N83" i="3"/>
  <c r="N84" i="3"/>
  <c r="N85" i="3"/>
  <c r="N86" i="3"/>
  <c r="N87" i="3"/>
  <c r="N88" i="3"/>
  <c r="N89" i="3"/>
  <c r="N90" i="3"/>
  <c r="N91" i="3"/>
  <c r="N92" i="3"/>
  <c r="N93" i="3"/>
  <c r="N94" i="3"/>
  <c r="N95" i="3"/>
  <c r="N96" i="3"/>
  <c r="N97" i="3"/>
  <c r="N98" i="3"/>
  <c r="N99" i="3"/>
  <c r="N100" i="3"/>
  <c r="N101" i="3"/>
  <c r="N102" i="3"/>
  <c r="N103" i="3"/>
  <c r="N104" i="3"/>
  <c r="N105" i="3"/>
  <c r="N106" i="3"/>
  <c r="N107" i="3"/>
  <c r="N108" i="3"/>
  <c r="N109" i="3"/>
  <c r="N110" i="3"/>
  <c r="N111" i="3"/>
  <c r="N112" i="3"/>
  <c r="N113" i="3"/>
  <c r="N114" i="3"/>
  <c r="N115" i="3"/>
  <c r="N116" i="3"/>
  <c r="N117" i="3"/>
  <c r="N118" i="3"/>
  <c r="N119" i="3"/>
  <c r="N120" i="3"/>
  <c r="N121" i="3"/>
  <c r="N122" i="3"/>
  <c r="N123" i="3"/>
  <c r="N124" i="3"/>
  <c r="N125" i="3"/>
  <c r="N126" i="3"/>
  <c r="N127" i="3"/>
  <c r="N128" i="3"/>
  <c r="N129" i="3"/>
  <c r="N130" i="3"/>
  <c r="N131" i="3"/>
  <c r="N132" i="3"/>
  <c r="N133" i="3"/>
  <c r="N134" i="3"/>
  <c r="N135" i="3"/>
  <c r="N136" i="3"/>
  <c r="N137" i="3"/>
  <c r="N138" i="3"/>
  <c r="N139" i="3"/>
  <c r="N140" i="3"/>
  <c r="N141" i="3"/>
  <c r="N142" i="3"/>
  <c r="N143" i="3"/>
  <c r="N144" i="3"/>
  <c r="N145" i="3"/>
  <c r="N146" i="3"/>
  <c r="N147" i="3"/>
  <c r="N148" i="3"/>
  <c r="N149" i="3"/>
  <c r="N150" i="3"/>
  <c r="N151" i="3"/>
  <c r="N152" i="3"/>
  <c r="N153" i="3"/>
  <c r="N154" i="3"/>
  <c r="N155" i="3"/>
  <c r="N156" i="3"/>
  <c r="N157" i="3"/>
  <c r="N158" i="3"/>
  <c r="N159" i="3"/>
  <c r="N160" i="3"/>
  <c r="N161" i="3"/>
  <c r="N162" i="3"/>
  <c r="N163" i="3"/>
  <c r="N164" i="3"/>
  <c r="N165" i="3"/>
  <c r="N166" i="3"/>
  <c r="N167" i="3"/>
  <c r="N168" i="3"/>
  <c r="N169" i="3"/>
  <c r="N170" i="3"/>
  <c r="N171" i="3"/>
  <c r="N172" i="3"/>
  <c r="N173" i="3"/>
  <c r="N174" i="3"/>
  <c r="N175" i="3"/>
  <c r="N176" i="3"/>
  <c r="N177" i="3"/>
  <c r="N178" i="3"/>
  <c r="N179" i="3"/>
  <c r="N180" i="3"/>
  <c r="N181" i="3"/>
  <c r="N182" i="3"/>
  <c r="N183" i="3"/>
  <c r="N184" i="3"/>
  <c r="N185" i="3"/>
  <c r="N186" i="3"/>
  <c r="N187" i="3"/>
  <c r="N188" i="3"/>
  <c r="N189" i="3"/>
  <c r="N190" i="3"/>
  <c r="N191" i="3"/>
  <c r="N192" i="3"/>
  <c r="N193" i="3"/>
  <c r="N194" i="3"/>
  <c r="N195" i="3"/>
  <c r="N196" i="3"/>
  <c r="N197" i="3"/>
  <c r="N198" i="3"/>
  <c r="N199" i="3"/>
  <c r="N200" i="3"/>
  <c r="N201" i="3"/>
  <c r="N202" i="3"/>
  <c r="N203" i="3"/>
  <c r="N204" i="3"/>
  <c r="N205" i="3"/>
  <c r="N206" i="3"/>
  <c r="N207" i="3"/>
  <c r="N208" i="3"/>
  <c r="N209" i="3"/>
  <c r="N210" i="3"/>
  <c r="N211" i="3"/>
  <c r="N212" i="3"/>
  <c r="N213" i="3"/>
  <c r="N214" i="3"/>
  <c r="N215" i="3"/>
  <c r="N216" i="3"/>
  <c r="N217" i="3"/>
  <c r="N218" i="3"/>
  <c r="N219" i="3"/>
  <c r="N220" i="3"/>
  <c r="N221" i="3"/>
  <c r="N222" i="3"/>
  <c r="N223" i="3"/>
  <c r="N224" i="3"/>
  <c r="N225" i="3"/>
  <c r="N226" i="3"/>
  <c r="N227" i="3"/>
  <c r="N228" i="3"/>
  <c r="N229" i="3"/>
  <c r="N230" i="3"/>
  <c r="N231" i="3"/>
  <c r="N232" i="3"/>
  <c r="N233" i="3"/>
  <c r="N234" i="3"/>
  <c r="N235" i="3"/>
  <c r="N236" i="3"/>
  <c r="N237" i="3"/>
  <c r="N238" i="3"/>
  <c r="N239" i="3"/>
  <c r="N240" i="3"/>
  <c r="N241" i="3"/>
  <c r="N242" i="3"/>
  <c r="N243" i="3"/>
  <c r="N244" i="3"/>
  <c r="N245" i="3"/>
  <c r="N246" i="3"/>
  <c r="N247" i="3"/>
  <c r="N248" i="3"/>
  <c r="N249" i="3"/>
  <c r="N250" i="3"/>
  <c r="N251" i="3"/>
  <c r="N252" i="3"/>
  <c r="N253" i="3"/>
  <c r="N254" i="3"/>
  <c r="N255" i="3"/>
  <c r="N256" i="3"/>
  <c r="N257" i="3"/>
  <c r="N258" i="3"/>
  <c r="N259" i="3"/>
  <c r="N260" i="3"/>
  <c r="N261" i="3"/>
  <c r="N262" i="3"/>
  <c r="N263" i="3"/>
  <c r="N264" i="3"/>
  <c r="N265" i="3"/>
  <c r="N266" i="3"/>
  <c r="N267" i="3"/>
  <c r="N268" i="3"/>
  <c r="N269" i="3"/>
  <c r="N270" i="3"/>
  <c r="N271" i="3"/>
  <c r="N272" i="3"/>
  <c r="N273" i="3"/>
  <c r="N274" i="3"/>
  <c r="N275" i="3"/>
  <c r="N276" i="3"/>
  <c r="N277" i="3"/>
  <c r="N278" i="3"/>
  <c r="N279" i="3"/>
  <c r="N280" i="3"/>
  <c r="N281" i="3"/>
  <c r="N282" i="3"/>
  <c r="N283" i="3"/>
  <c r="N284" i="3"/>
  <c r="N285" i="3"/>
  <c r="N286" i="3"/>
  <c r="N287" i="3"/>
  <c r="N288" i="3"/>
  <c r="N289" i="3"/>
  <c r="N290" i="3"/>
  <c r="N291" i="3"/>
  <c r="N292" i="3"/>
  <c r="N293" i="3"/>
  <c r="N294" i="3"/>
  <c r="N295" i="3"/>
  <c r="N296" i="3"/>
  <c r="N297" i="3"/>
  <c r="N298" i="3"/>
  <c r="N299" i="3"/>
  <c r="N300" i="3"/>
  <c r="N301" i="3"/>
  <c r="N302" i="3"/>
  <c r="N303" i="3"/>
  <c r="N304" i="3"/>
  <c r="N305" i="3"/>
  <c r="N306" i="3"/>
  <c r="N307" i="3"/>
  <c r="N308" i="3"/>
  <c r="N309" i="3"/>
  <c r="N310" i="3"/>
  <c r="N311" i="3"/>
  <c r="N312" i="3"/>
  <c r="N313" i="3"/>
  <c r="N314" i="3"/>
  <c r="N315" i="3"/>
  <c r="N316" i="3"/>
  <c r="N317" i="3"/>
  <c r="N318" i="3"/>
  <c r="N319" i="3"/>
  <c r="N320" i="3"/>
  <c r="N321" i="3"/>
  <c r="N322" i="3"/>
  <c r="N323" i="3"/>
  <c r="N324" i="3"/>
  <c r="N325" i="3"/>
  <c r="N326" i="3"/>
  <c r="N327" i="3"/>
  <c r="N328" i="3"/>
  <c r="N329" i="3"/>
  <c r="N330" i="3"/>
  <c r="N331" i="3"/>
  <c r="N332" i="3"/>
  <c r="N333" i="3"/>
  <c r="N334" i="3"/>
  <c r="N335" i="3"/>
  <c r="N336" i="3"/>
  <c r="N337" i="3"/>
  <c r="N338" i="3"/>
  <c r="N339" i="3"/>
  <c r="N340" i="3"/>
  <c r="N341" i="3"/>
  <c r="N342" i="3"/>
  <c r="N343" i="3"/>
  <c r="N344" i="3"/>
  <c r="N345" i="3"/>
  <c r="N346" i="3"/>
  <c r="N347" i="3"/>
  <c r="N348" i="3"/>
  <c r="N349" i="3"/>
  <c r="N350" i="3"/>
  <c r="N351" i="3"/>
  <c r="N352" i="3"/>
  <c r="N353" i="3"/>
  <c r="N5" i="3"/>
  <c r="J6" i="3"/>
  <c r="J7" i="3"/>
  <c r="J8" i="3"/>
  <c r="J9" i="3"/>
  <c r="J10" i="3"/>
  <c r="J11" i="3"/>
  <c r="J12" i="3"/>
  <c r="J13" i="3"/>
  <c r="J14" i="3"/>
  <c r="J15" i="3"/>
  <c r="J16" i="3"/>
  <c r="J17" i="3"/>
  <c r="J18" i="3"/>
  <c r="J19" i="3"/>
  <c r="J20" i="3"/>
  <c r="J21" i="3"/>
  <c r="J22" i="3"/>
  <c r="J23" i="3"/>
  <c r="J24" i="3"/>
  <c r="J25" i="3"/>
  <c r="J26" i="3"/>
  <c r="J27" i="3"/>
  <c r="J28" i="3"/>
  <c r="J29" i="3"/>
  <c r="J30" i="3"/>
  <c r="J31" i="3"/>
  <c r="J32" i="3"/>
  <c r="J33" i="3"/>
  <c r="J34" i="3"/>
  <c r="J35" i="3"/>
  <c r="J36" i="3"/>
  <c r="J37" i="3"/>
  <c r="J38" i="3"/>
  <c r="J39" i="3"/>
  <c r="J40" i="3"/>
  <c r="J41" i="3"/>
  <c r="J42" i="3"/>
  <c r="J43" i="3"/>
  <c r="J44" i="3"/>
  <c r="J45" i="3"/>
  <c r="J46" i="3"/>
  <c r="J47" i="3"/>
  <c r="J48" i="3"/>
  <c r="J49" i="3"/>
  <c r="J50" i="3"/>
  <c r="J51" i="3"/>
  <c r="J52" i="3"/>
  <c r="J53" i="3"/>
  <c r="J54" i="3"/>
  <c r="J55" i="3"/>
  <c r="J56" i="3"/>
  <c r="J57" i="3"/>
  <c r="J58" i="3"/>
  <c r="J59" i="3"/>
  <c r="J60" i="3"/>
  <c r="J61" i="3"/>
  <c r="J62" i="3"/>
  <c r="J63" i="3"/>
  <c r="J64" i="3"/>
  <c r="J65" i="3"/>
  <c r="J66" i="3"/>
  <c r="J67" i="3"/>
  <c r="J68" i="3"/>
  <c r="J69" i="3"/>
  <c r="J70" i="3"/>
  <c r="J71" i="3"/>
  <c r="J72" i="3"/>
  <c r="J73" i="3"/>
  <c r="J74" i="3"/>
  <c r="J75" i="3"/>
  <c r="J76" i="3"/>
  <c r="J77" i="3"/>
  <c r="J78" i="3"/>
  <c r="J79" i="3"/>
  <c r="J80" i="3"/>
  <c r="J81" i="3"/>
  <c r="J82" i="3"/>
  <c r="J83" i="3"/>
  <c r="J84" i="3"/>
  <c r="J85" i="3"/>
  <c r="J86" i="3"/>
  <c r="J87" i="3"/>
  <c r="J88" i="3"/>
  <c r="J89" i="3"/>
  <c r="J90" i="3"/>
  <c r="J91" i="3"/>
  <c r="J92" i="3"/>
  <c r="J93" i="3"/>
  <c r="J94" i="3"/>
  <c r="J95" i="3"/>
  <c r="J96" i="3"/>
  <c r="J97" i="3"/>
  <c r="J98" i="3"/>
  <c r="J99" i="3"/>
  <c r="J100" i="3"/>
  <c r="J101" i="3"/>
  <c r="J102" i="3"/>
  <c r="J103" i="3"/>
  <c r="J104" i="3"/>
  <c r="J105" i="3"/>
  <c r="J106" i="3"/>
  <c r="J107" i="3"/>
  <c r="J108" i="3"/>
  <c r="J109" i="3"/>
  <c r="J110" i="3"/>
  <c r="J111" i="3"/>
  <c r="J112" i="3"/>
  <c r="J113" i="3"/>
  <c r="J114" i="3"/>
  <c r="J115" i="3"/>
  <c r="J116" i="3"/>
  <c r="J117" i="3"/>
  <c r="J118" i="3"/>
  <c r="J119" i="3"/>
  <c r="J120" i="3"/>
  <c r="J121" i="3"/>
  <c r="J122" i="3"/>
  <c r="J123" i="3"/>
  <c r="J124" i="3"/>
  <c r="J125" i="3"/>
  <c r="J126" i="3"/>
  <c r="J127" i="3"/>
  <c r="J128" i="3"/>
  <c r="J129" i="3"/>
  <c r="J130" i="3"/>
  <c r="J131" i="3"/>
  <c r="J132" i="3"/>
  <c r="J133" i="3"/>
  <c r="J134" i="3"/>
  <c r="J135" i="3"/>
  <c r="J136" i="3"/>
  <c r="J137" i="3"/>
  <c r="J138" i="3"/>
  <c r="J139" i="3"/>
  <c r="J140" i="3"/>
  <c r="J141" i="3"/>
  <c r="J142" i="3"/>
  <c r="J143" i="3"/>
  <c r="J144" i="3"/>
  <c r="J145" i="3"/>
  <c r="J146" i="3"/>
  <c r="J147" i="3"/>
  <c r="J148" i="3"/>
  <c r="J149" i="3"/>
  <c r="J150" i="3"/>
  <c r="J151" i="3"/>
  <c r="J152" i="3"/>
  <c r="J153" i="3"/>
  <c r="J154" i="3"/>
  <c r="J155" i="3"/>
  <c r="J156" i="3"/>
  <c r="J157" i="3"/>
  <c r="J158" i="3"/>
  <c r="J159" i="3"/>
  <c r="J160" i="3"/>
  <c r="J161" i="3"/>
  <c r="J162" i="3"/>
  <c r="J163" i="3"/>
  <c r="J164" i="3"/>
  <c r="J165" i="3"/>
  <c r="J166" i="3"/>
  <c r="J167" i="3"/>
  <c r="J168" i="3"/>
  <c r="J169" i="3"/>
  <c r="J170" i="3"/>
  <c r="J171" i="3"/>
  <c r="J172" i="3"/>
  <c r="J173" i="3"/>
  <c r="J174" i="3"/>
  <c r="J175" i="3"/>
  <c r="J176" i="3"/>
  <c r="J177" i="3"/>
  <c r="J178" i="3"/>
  <c r="J179" i="3"/>
  <c r="J180" i="3"/>
  <c r="J181" i="3"/>
  <c r="J182" i="3"/>
  <c r="J183" i="3"/>
  <c r="J184" i="3"/>
  <c r="J185" i="3"/>
  <c r="J186" i="3"/>
  <c r="J187" i="3"/>
  <c r="J188" i="3"/>
  <c r="J189" i="3"/>
  <c r="J190" i="3"/>
  <c r="J191" i="3"/>
  <c r="J192" i="3"/>
  <c r="J193" i="3"/>
  <c r="J194" i="3"/>
  <c r="J195" i="3"/>
  <c r="J196" i="3"/>
  <c r="J197" i="3"/>
  <c r="J198" i="3"/>
  <c r="J199" i="3"/>
  <c r="J200" i="3"/>
  <c r="J201" i="3"/>
  <c r="J202" i="3"/>
  <c r="J203" i="3"/>
  <c r="J204" i="3"/>
  <c r="J205" i="3"/>
  <c r="J206" i="3"/>
  <c r="J207" i="3"/>
  <c r="J208" i="3"/>
  <c r="J209" i="3"/>
  <c r="J210" i="3"/>
  <c r="J211" i="3"/>
  <c r="J212" i="3"/>
  <c r="J213" i="3"/>
  <c r="J214" i="3"/>
  <c r="J215" i="3"/>
  <c r="J216" i="3"/>
  <c r="J217" i="3"/>
  <c r="J218" i="3"/>
  <c r="J219" i="3"/>
  <c r="J220" i="3"/>
  <c r="J221" i="3"/>
  <c r="J222" i="3"/>
  <c r="J223" i="3"/>
  <c r="J224" i="3"/>
  <c r="J225" i="3"/>
  <c r="J226" i="3"/>
  <c r="J227" i="3"/>
  <c r="J228" i="3"/>
  <c r="J229" i="3"/>
  <c r="J230" i="3"/>
  <c r="J231" i="3"/>
  <c r="J232" i="3"/>
  <c r="J233" i="3"/>
  <c r="J234" i="3"/>
  <c r="J235" i="3"/>
  <c r="J236" i="3"/>
  <c r="J237" i="3"/>
  <c r="J238" i="3"/>
  <c r="J239" i="3"/>
  <c r="J240" i="3"/>
  <c r="J241" i="3"/>
  <c r="J242" i="3"/>
  <c r="J243" i="3"/>
  <c r="J244" i="3"/>
  <c r="J245" i="3"/>
  <c r="J246" i="3"/>
  <c r="J247" i="3"/>
  <c r="J248" i="3"/>
  <c r="J249" i="3"/>
  <c r="J250" i="3"/>
  <c r="J251" i="3"/>
  <c r="J252" i="3"/>
  <c r="J253" i="3"/>
  <c r="J254" i="3"/>
  <c r="J255" i="3"/>
  <c r="J256" i="3"/>
  <c r="J257" i="3"/>
  <c r="J258" i="3"/>
  <c r="J259" i="3"/>
  <c r="J260" i="3"/>
  <c r="J261" i="3"/>
  <c r="J262" i="3"/>
  <c r="J263" i="3"/>
  <c r="J264" i="3"/>
  <c r="J265" i="3"/>
  <c r="J266" i="3"/>
  <c r="J267" i="3"/>
  <c r="J268" i="3"/>
  <c r="J269" i="3"/>
  <c r="J270" i="3"/>
  <c r="J271" i="3"/>
  <c r="J272" i="3"/>
  <c r="J273" i="3"/>
  <c r="J274" i="3"/>
  <c r="J275" i="3"/>
  <c r="J276" i="3"/>
  <c r="J277" i="3"/>
  <c r="J278" i="3"/>
  <c r="J279" i="3"/>
  <c r="J280" i="3"/>
  <c r="J281" i="3"/>
  <c r="J282" i="3"/>
  <c r="J283" i="3"/>
  <c r="J284" i="3"/>
  <c r="J285" i="3"/>
  <c r="J286" i="3"/>
  <c r="J287" i="3"/>
  <c r="J288" i="3"/>
  <c r="J289" i="3"/>
  <c r="J290" i="3"/>
  <c r="J291" i="3"/>
  <c r="J292" i="3"/>
  <c r="J293" i="3"/>
  <c r="J294" i="3"/>
  <c r="J295" i="3"/>
  <c r="J296" i="3"/>
  <c r="J297" i="3"/>
  <c r="J298" i="3"/>
  <c r="J299" i="3"/>
  <c r="J300" i="3"/>
  <c r="J301" i="3"/>
  <c r="J302" i="3"/>
  <c r="J303" i="3"/>
  <c r="J304" i="3"/>
  <c r="J305" i="3"/>
  <c r="J306" i="3"/>
  <c r="J307" i="3"/>
  <c r="J308" i="3"/>
  <c r="J309" i="3"/>
  <c r="J310" i="3"/>
  <c r="J311" i="3"/>
  <c r="J312" i="3"/>
  <c r="J313" i="3"/>
  <c r="J314" i="3"/>
  <c r="J315" i="3"/>
  <c r="J316" i="3"/>
  <c r="J317" i="3"/>
  <c r="J318" i="3"/>
  <c r="J319" i="3"/>
  <c r="J320" i="3"/>
  <c r="J321" i="3"/>
  <c r="J322" i="3"/>
  <c r="J323" i="3"/>
  <c r="J324" i="3"/>
  <c r="J325" i="3"/>
  <c r="J326" i="3"/>
  <c r="J327" i="3"/>
  <c r="J328" i="3"/>
  <c r="J329" i="3"/>
  <c r="J330" i="3"/>
  <c r="J331" i="3"/>
  <c r="J332" i="3"/>
  <c r="J333" i="3"/>
  <c r="J334" i="3"/>
  <c r="J335" i="3"/>
  <c r="J336" i="3"/>
  <c r="J337" i="3"/>
  <c r="J338" i="3"/>
  <c r="J339" i="3"/>
  <c r="J340" i="3"/>
  <c r="J341" i="3"/>
  <c r="J342" i="3"/>
  <c r="J343" i="3"/>
  <c r="J344" i="3"/>
  <c r="J345" i="3"/>
  <c r="J346" i="3"/>
  <c r="J347" i="3"/>
  <c r="J348" i="3"/>
  <c r="J349" i="3"/>
  <c r="J350" i="3"/>
  <c r="J351" i="3"/>
  <c r="J352" i="3"/>
  <c r="J353" i="3"/>
  <c r="J5" i="3"/>
  <c r="E7" i="7"/>
  <c r="C16" i="19" s="1"/>
  <c r="E8" i="7"/>
  <c r="C17" i="19" s="1"/>
  <c r="I64" i="4" l="1"/>
  <c r="J64" i="4"/>
  <c r="D68" i="4"/>
  <c r="I68" i="4" s="1"/>
  <c r="J68" i="4" s="1"/>
  <c r="D63" i="4"/>
  <c r="J63" i="4" s="1"/>
  <c r="J69" i="4" s="1"/>
  <c r="D62" i="4"/>
  <c r="J62" i="4" s="1"/>
  <c r="G21" i="21"/>
  <c r="D21" i="21"/>
  <c r="K15" i="2"/>
  <c r="L15" i="2" s="1"/>
  <c r="K14" i="2"/>
  <c r="L14" i="2" s="1"/>
  <c r="K13" i="2"/>
  <c r="L13" i="2" s="1"/>
  <c r="K12" i="2"/>
  <c r="L12" i="2" s="1"/>
  <c r="K11" i="2"/>
  <c r="L11" i="2" s="1"/>
  <c r="K21" i="2"/>
  <c r="N21" i="2" s="1"/>
  <c r="K20" i="2"/>
  <c r="N20" i="2" s="1"/>
  <c r="O20" i="2" s="1"/>
  <c r="I63" i="4" l="1"/>
  <c r="J72" i="4"/>
  <c r="I62" i="4"/>
  <c r="C21" i="21"/>
  <c r="C12" i="19" s="1"/>
  <c r="C14" i="19" s="1"/>
  <c r="E3" i="7"/>
  <c r="E6" i="7" s="1"/>
  <c r="L20" i="2"/>
  <c r="N12" i="2"/>
  <c r="O12" i="2" s="1"/>
  <c r="N14" i="2"/>
  <c r="O14" i="2" s="1"/>
  <c r="N11" i="2"/>
  <c r="O11" i="2" s="1"/>
  <c r="N13" i="2"/>
  <c r="O13" i="2" s="1"/>
  <c r="N15" i="2"/>
  <c r="O15" i="2" s="1"/>
  <c r="O21" i="2"/>
  <c r="P21" i="2" s="1"/>
  <c r="Q21" i="2" s="1"/>
  <c r="L21" i="2"/>
  <c r="P20" i="2"/>
  <c r="Q20" i="2" s="1"/>
  <c r="K9" i="2"/>
  <c r="K7" i="2"/>
  <c r="P15" i="2" l="1"/>
  <c r="Q15" i="2" s="1"/>
  <c r="P13" i="2"/>
  <c r="Q13" i="2" s="1"/>
  <c r="P11" i="2"/>
  <c r="Q11" i="2" s="1"/>
  <c r="P12" i="2"/>
  <c r="Q12" i="2" s="1"/>
  <c r="P14" i="2"/>
  <c r="Q14" i="2" s="1"/>
  <c r="A1" i="3" l="1"/>
  <c r="AN30" i="5" l="1"/>
  <c r="D130" i="4" s="1"/>
  <c r="I130" i="4" s="1"/>
  <c r="J130" i="4" s="1"/>
  <c r="E1" i="2"/>
  <c r="O127" i="4"/>
  <c r="O125" i="4"/>
  <c r="O124" i="4"/>
  <c r="O123" i="4"/>
  <c r="O116" i="4"/>
  <c r="O115" i="4"/>
  <c r="O114" i="4"/>
  <c r="O113" i="4"/>
  <c r="O112" i="4"/>
  <c r="O111" i="4"/>
  <c r="O144" i="4"/>
  <c r="O143" i="4"/>
  <c r="O142" i="4"/>
  <c r="O141" i="4"/>
  <c r="O109" i="4"/>
  <c r="O108" i="4"/>
  <c r="O107" i="4"/>
  <c r="O106" i="4"/>
  <c r="O105" i="4"/>
  <c r="O104" i="4"/>
  <c r="O103" i="4"/>
  <c r="O102" i="4"/>
  <c r="O101" i="4"/>
  <c r="O100" i="4"/>
  <c r="O99" i="4"/>
  <c r="O98" i="4"/>
  <c r="O97" i="4"/>
  <c r="O96" i="4"/>
  <c r="O95" i="4"/>
  <c r="O94" i="4"/>
  <c r="O93" i="4"/>
  <c r="O92" i="4"/>
  <c r="O91" i="4"/>
  <c r="O71" i="4"/>
  <c r="O70" i="4"/>
  <c r="O69" i="4"/>
  <c r="O60" i="4"/>
  <c r="O59" i="4"/>
  <c r="K5" i="2"/>
  <c r="N5" i="2" s="1"/>
  <c r="N9" i="2"/>
  <c r="K10" i="2"/>
  <c r="N10" i="2" s="1"/>
  <c r="O10" i="2" s="1"/>
  <c r="P10" i="2" s="1"/>
  <c r="Q10" i="2" s="1"/>
  <c r="Q6" i="2"/>
  <c r="R6" i="2" s="1"/>
  <c r="S6" i="2" s="1"/>
  <c r="N31" i="2"/>
  <c r="K32" i="2"/>
  <c r="N32" i="2" s="1"/>
  <c r="O32" i="2" s="1"/>
  <c r="P32" i="2" s="1"/>
  <c r="Q32" i="2" s="1"/>
  <c r="R32" i="2" s="1"/>
  <c r="S32" i="2" s="1"/>
  <c r="K6" i="2"/>
  <c r="N6" i="2" s="1"/>
  <c r="O6" i="2" s="1"/>
  <c r="P6" i="2" s="1"/>
  <c r="Q7" i="2"/>
  <c r="R7" i="2" s="1"/>
  <c r="S7" i="2" s="1"/>
  <c r="Q16" i="2"/>
  <c r="R16" i="2" s="1"/>
  <c r="S16" i="2" s="1"/>
  <c r="Q17" i="2"/>
  <c r="R17" i="2" s="1"/>
  <c r="S17" i="2" s="1"/>
  <c r="Q18" i="2"/>
  <c r="R18" i="2" s="1"/>
  <c r="S18" i="2" s="1"/>
  <c r="Q33" i="2"/>
  <c r="R33" i="2" s="1"/>
  <c r="S33" i="2" s="1"/>
  <c r="Q36" i="2"/>
  <c r="R36" i="2" s="1"/>
  <c r="Q35" i="2"/>
  <c r="R35" i="2" s="1"/>
  <c r="K36" i="2"/>
  <c r="K35" i="2"/>
  <c r="K33" i="2"/>
  <c r="N33" i="2" s="1"/>
  <c r="K16" i="2"/>
  <c r="N16" i="2" s="1"/>
  <c r="O16" i="2" s="1"/>
  <c r="P16" i="2" s="1"/>
  <c r="K17" i="2"/>
  <c r="N17" i="2" s="1"/>
  <c r="O17" i="2" s="1"/>
  <c r="K18" i="2"/>
  <c r="N18" i="2" s="1"/>
  <c r="O18" i="2" s="1"/>
  <c r="P18" i="2" s="1"/>
  <c r="N7" i="2"/>
  <c r="H1" i="7"/>
  <c r="G30" i="7"/>
  <c r="D1" i="3"/>
  <c r="W1" i="4"/>
  <c r="T59" i="4"/>
  <c r="U59" i="4"/>
  <c r="V59" i="4"/>
  <c r="T60" i="4"/>
  <c r="U60" i="4"/>
  <c r="V60" i="4"/>
  <c r="T69" i="4"/>
  <c r="U69" i="4"/>
  <c r="V69" i="4"/>
  <c r="T70" i="4"/>
  <c r="U70" i="4"/>
  <c r="V70" i="4"/>
  <c r="T71" i="4"/>
  <c r="U71" i="4"/>
  <c r="V71" i="4"/>
  <c r="T91" i="4"/>
  <c r="U91" i="4"/>
  <c r="V91" i="4"/>
  <c r="T92" i="4"/>
  <c r="U92" i="4"/>
  <c r="V92" i="4"/>
  <c r="T93" i="4"/>
  <c r="U93" i="4"/>
  <c r="V93" i="4"/>
  <c r="T94" i="4"/>
  <c r="U94" i="4"/>
  <c r="V94" i="4"/>
  <c r="T95" i="4"/>
  <c r="U95" i="4"/>
  <c r="V95" i="4"/>
  <c r="T96" i="4"/>
  <c r="U96" i="4"/>
  <c r="V96" i="4"/>
  <c r="T97" i="4"/>
  <c r="U97" i="4"/>
  <c r="V97" i="4"/>
  <c r="T98" i="4"/>
  <c r="U98" i="4"/>
  <c r="V98" i="4"/>
  <c r="T99" i="4"/>
  <c r="U99" i="4"/>
  <c r="V99" i="4"/>
  <c r="T100" i="4"/>
  <c r="U100" i="4"/>
  <c r="V100" i="4"/>
  <c r="T101" i="4"/>
  <c r="U101" i="4"/>
  <c r="V101" i="4"/>
  <c r="T102" i="4"/>
  <c r="U102" i="4"/>
  <c r="V102" i="4"/>
  <c r="T103" i="4"/>
  <c r="U103" i="4"/>
  <c r="V103" i="4"/>
  <c r="T104" i="4"/>
  <c r="U104" i="4"/>
  <c r="V104" i="4"/>
  <c r="T105" i="4"/>
  <c r="U105" i="4"/>
  <c r="V105" i="4"/>
  <c r="T106" i="4"/>
  <c r="U106" i="4"/>
  <c r="V106" i="4"/>
  <c r="T107" i="4"/>
  <c r="U107" i="4"/>
  <c r="V107" i="4"/>
  <c r="T108" i="4"/>
  <c r="U108" i="4"/>
  <c r="V108" i="4"/>
  <c r="T109" i="4"/>
  <c r="U109" i="4"/>
  <c r="V109" i="4"/>
  <c r="T141" i="4"/>
  <c r="U141" i="4"/>
  <c r="V141" i="4"/>
  <c r="T142" i="4"/>
  <c r="U142" i="4"/>
  <c r="V142" i="4"/>
  <c r="T143" i="4"/>
  <c r="U143" i="4"/>
  <c r="V143" i="4"/>
  <c r="T144" i="4"/>
  <c r="U144" i="4"/>
  <c r="V144" i="4"/>
  <c r="T111" i="4"/>
  <c r="U111" i="4"/>
  <c r="V111" i="4"/>
  <c r="T112" i="4"/>
  <c r="U112" i="4"/>
  <c r="V112" i="4"/>
  <c r="T113" i="4"/>
  <c r="U113" i="4"/>
  <c r="V113" i="4"/>
  <c r="T114" i="4"/>
  <c r="U114" i="4"/>
  <c r="V114" i="4"/>
  <c r="T115" i="4"/>
  <c r="U115" i="4"/>
  <c r="V115" i="4"/>
  <c r="T116" i="4"/>
  <c r="U116" i="4"/>
  <c r="V116" i="4"/>
  <c r="T123" i="4"/>
  <c r="U123" i="4"/>
  <c r="V123" i="4"/>
  <c r="T124" i="4"/>
  <c r="U124" i="4"/>
  <c r="V124" i="4"/>
  <c r="T125" i="4"/>
  <c r="U125" i="4"/>
  <c r="V125" i="4"/>
  <c r="T127" i="4"/>
  <c r="U127" i="4"/>
  <c r="V127" i="4"/>
  <c r="Q1" i="2"/>
  <c r="L7" i="2"/>
  <c r="L9" i="2"/>
  <c r="L32" i="2"/>
  <c r="N43" i="2"/>
  <c r="O43" i="2" s="1"/>
  <c r="N46" i="2"/>
  <c r="O46" i="2" s="1"/>
  <c r="L17" i="2" l="1"/>
  <c r="N35" i="2"/>
  <c r="N37" i="2" s="1"/>
  <c r="O36" i="2"/>
  <c r="P36" i="2" s="1"/>
  <c r="N36" i="2"/>
  <c r="L6" i="2"/>
  <c r="R27" i="2"/>
  <c r="S27" i="2" s="1"/>
  <c r="R23" i="2"/>
  <c r="S23" i="2" s="1"/>
  <c r="R28" i="2"/>
  <c r="S28" i="2" s="1"/>
  <c r="R24" i="2"/>
  <c r="S24" i="2" s="1"/>
  <c r="R29" i="2"/>
  <c r="S29" i="2" s="1"/>
  <c r="R25" i="2"/>
  <c r="S25" i="2" s="1"/>
  <c r="R30" i="2"/>
  <c r="S30" i="2" s="1"/>
  <c r="R26" i="2"/>
  <c r="S26" i="2" s="1"/>
  <c r="R22" i="2"/>
  <c r="S22" i="2" s="1"/>
  <c r="E12" i="7"/>
  <c r="C24" i="19" s="1"/>
  <c r="E14" i="7"/>
  <c r="C22" i="19" s="1"/>
  <c r="E28" i="7"/>
  <c r="E11" i="7"/>
  <c r="C20" i="19" s="1"/>
  <c r="E10" i="7"/>
  <c r="C19" i="19" s="1"/>
  <c r="E9" i="7"/>
  <c r="C18" i="19" s="1"/>
  <c r="L18" i="2"/>
  <c r="L10" i="2"/>
  <c r="L5" i="2"/>
  <c r="L8" i="2" s="1"/>
  <c r="L16" i="2"/>
  <c r="L35" i="2"/>
  <c r="R15" i="2"/>
  <c r="S15" i="2" s="1"/>
  <c r="R11" i="2"/>
  <c r="S11" i="2" s="1"/>
  <c r="R13" i="2"/>
  <c r="S13" i="2" s="1"/>
  <c r="R14" i="2"/>
  <c r="S14" i="2" s="1"/>
  <c r="R12" i="2"/>
  <c r="S12" i="2" s="1"/>
  <c r="K19" i="2"/>
  <c r="N8" i="2"/>
  <c r="R21" i="2"/>
  <c r="S21" i="2" s="1"/>
  <c r="R20" i="2"/>
  <c r="S20" i="2" s="1"/>
  <c r="Q37" i="2"/>
  <c r="O5" i="2"/>
  <c r="P5" i="2" s="1"/>
  <c r="Q5" i="2" s="1"/>
  <c r="R5" i="2" s="1"/>
  <c r="S5" i="2" s="1"/>
  <c r="S8" i="2" s="1"/>
  <c r="K8" i="2"/>
  <c r="N34" i="2"/>
  <c r="N19" i="2"/>
  <c r="R10" i="2"/>
  <c r="S10" i="2" s="1"/>
  <c r="R37" i="2"/>
  <c r="O9" i="2"/>
  <c r="P9" i="2" s="1"/>
  <c r="Q9" i="2" s="1"/>
  <c r="R9" i="2" s="1"/>
  <c r="S9" i="2" s="1"/>
  <c r="O7" i="2"/>
  <c r="P7" i="2" s="1"/>
  <c r="O33" i="2"/>
  <c r="P33" i="2" s="1"/>
  <c r="L36" i="2"/>
  <c r="K34" i="2"/>
  <c r="L33" i="2"/>
  <c r="P17" i="2"/>
  <c r="O31" i="2"/>
  <c r="P31" i="2" s="1"/>
  <c r="Q31" i="2" s="1"/>
  <c r="R31" i="2" s="1"/>
  <c r="S31" i="2" s="1"/>
  <c r="F2" i="7"/>
  <c r="L19" i="2" l="1"/>
  <c r="O35" i="2"/>
  <c r="P35" i="2" s="1"/>
  <c r="P37" i="2" s="1"/>
  <c r="F34" i="7"/>
  <c r="F5" i="7"/>
  <c r="E21" i="7"/>
  <c r="F21" i="7" s="1"/>
  <c r="E15" i="7"/>
  <c r="C21" i="19"/>
  <c r="F35" i="7"/>
  <c r="L37" i="2"/>
  <c r="N38" i="2"/>
  <c r="P8" i="2"/>
  <c r="Q8" i="2"/>
  <c r="K38" i="2"/>
  <c r="L34" i="2"/>
  <c r="F3" i="7"/>
  <c r="F32" i="7"/>
  <c r="R8" i="2"/>
  <c r="O8" i="2"/>
  <c r="F33" i="7"/>
  <c r="F31" i="7"/>
  <c r="O19" i="2"/>
  <c r="O42" i="2" s="1"/>
  <c r="O44" i="2" s="1"/>
  <c r="O45" i="2" s="1"/>
  <c r="O47" i="2" s="1"/>
  <c r="O34" i="2"/>
  <c r="E29" i="7"/>
  <c r="C23" i="19" s="1"/>
  <c r="F25" i="7"/>
  <c r="F28" i="7"/>
  <c r="F7" i="7"/>
  <c r="F12" i="7"/>
  <c r="F14" i="7"/>
  <c r="F8" i="7"/>
  <c r="F24" i="7"/>
  <c r="F27" i="7"/>
  <c r="F13" i="7"/>
  <c r="F9" i="7"/>
  <c r="F11" i="7"/>
  <c r="H37" i="2" l="1"/>
  <c r="R45" i="2"/>
  <c r="O37" i="2"/>
  <c r="O38" i="2" s="1"/>
  <c r="L42" i="2" s="1"/>
  <c r="L44" i="2" s="1"/>
  <c r="L45" i="2" s="1"/>
  <c r="L47" i="2" s="1"/>
  <c r="E30" i="7" s="1"/>
  <c r="E36" i="7" s="1"/>
  <c r="L38" i="2"/>
  <c r="L39" i="2" s="1"/>
  <c r="E18" i="7"/>
  <c r="F18" i="7" s="1"/>
  <c r="R42" i="2"/>
  <c r="F4" i="7"/>
  <c r="F6" i="7" s="1"/>
  <c r="F26" i="7"/>
  <c r="F29" i="7" s="1"/>
  <c r="P34" i="2"/>
  <c r="N42" i="2"/>
  <c r="N44" i="2" s="1"/>
  <c r="N45" i="2" s="1"/>
  <c r="N47" i="2" s="1"/>
  <c r="P19" i="2"/>
  <c r="AN29" i="5" l="1"/>
  <c r="D129" i="4" s="1"/>
  <c r="I129" i="4" s="1"/>
  <c r="J129" i="4" s="1"/>
  <c r="J134" i="4" s="1"/>
  <c r="E22" i="7" s="1"/>
  <c r="AE10" i="5"/>
  <c r="AI10" i="5"/>
  <c r="AM10" i="5"/>
  <c r="AH11" i="5"/>
  <c r="AL11" i="5"/>
  <c r="AG12" i="5"/>
  <c r="AK12" i="5"/>
  <c r="AF13" i="5"/>
  <c r="AJ13" i="5"/>
  <c r="AE14" i="5"/>
  <c r="AI14" i="5"/>
  <c r="AM14" i="5"/>
  <c r="AH15" i="5"/>
  <c r="AL15" i="5"/>
  <c r="AG16" i="5"/>
  <c r="AK16" i="5"/>
  <c r="AF17" i="5"/>
  <c r="AJ17" i="5"/>
  <c r="AE18" i="5"/>
  <c r="AI18" i="5"/>
  <c r="AM18" i="5"/>
  <c r="AH19" i="5"/>
  <c r="AL19" i="5"/>
  <c r="AG20" i="5"/>
  <c r="AK20" i="5"/>
  <c r="AF21" i="5"/>
  <c r="AJ21" i="5"/>
  <c r="AE22" i="5"/>
  <c r="AI22" i="5"/>
  <c r="AM22" i="5"/>
  <c r="AH23" i="5"/>
  <c r="AL23" i="5"/>
  <c r="AG24" i="5"/>
  <c r="AK24" i="5"/>
  <c r="AF25" i="5"/>
  <c r="AJ25" i="5"/>
  <c r="AE26" i="5"/>
  <c r="AI26" i="5"/>
  <c r="AM26" i="5"/>
  <c r="AH27" i="5"/>
  <c r="AL27" i="5"/>
  <c r="AG28" i="5"/>
  <c r="AK28" i="5"/>
  <c r="AG10" i="5"/>
  <c r="AK10" i="5"/>
  <c r="AF11" i="5"/>
  <c r="AJ11" i="5"/>
  <c r="AE12" i="5"/>
  <c r="AI12" i="5"/>
  <c r="AM12" i="5"/>
  <c r="AH13" i="5"/>
  <c r="AL13" i="5"/>
  <c r="AG14" i="5"/>
  <c r="AK14" i="5"/>
  <c r="AF15" i="5"/>
  <c r="AJ15" i="5"/>
  <c r="AE16" i="5"/>
  <c r="AI16" i="5"/>
  <c r="AM16" i="5"/>
  <c r="AH17" i="5"/>
  <c r="AL17" i="5"/>
  <c r="AG18" i="5"/>
  <c r="AK18" i="5"/>
  <c r="AF19" i="5"/>
  <c r="AJ19" i="5"/>
  <c r="AE20" i="5"/>
  <c r="AI20" i="5"/>
  <c r="AM20" i="5"/>
  <c r="AH21" i="5"/>
  <c r="AL21" i="5"/>
  <c r="AG22" i="5"/>
  <c r="AK22" i="5"/>
  <c r="AF23" i="5"/>
  <c r="AJ23" i="5"/>
  <c r="AE24" i="5"/>
  <c r="AI24" i="5"/>
  <c r="AM24" i="5"/>
  <c r="AH25" i="5"/>
  <c r="AL25" i="5"/>
  <c r="AG26" i="5"/>
  <c r="AK26" i="5"/>
  <c r="AF27" i="5"/>
  <c r="AJ27" i="5"/>
  <c r="AE28" i="5"/>
  <c r="AI28" i="5"/>
  <c r="AM28" i="5"/>
  <c r="AL9" i="5"/>
  <c r="AH9" i="5"/>
  <c r="S10" i="5"/>
  <c r="W10" i="5"/>
  <c r="AA10" i="5"/>
  <c r="S11" i="5"/>
  <c r="W11" i="5"/>
  <c r="AA11" i="5"/>
  <c r="S12" i="5"/>
  <c r="W12" i="5"/>
  <c r="AA12" i="5"/>
  <c r="S13" i="5"/>
  <c r="W13" i="5"/>
  <c r="AA13" i="5"/>
  <c r="S14" i="5"/>
  <c r="W14" i="5"/>
  <c r="AA14" i="5"/>
  <c r="S15" i="5"/>
  <c r="W15" i="5"/>
  <c r="AA15" i="5"/>
  <c r="S16" i="5"/>
  <c r="W16" i="5"/>
  <c r="AA16" i="5"/>
  <c r="S17" i="5"/>
  <c r="W17" i="5"/>
  <c r="AA17" i="5"/>
  <c r="S18" i="5"/>
  <c r="W18" i="5"/>
  <c r="AA18" i="5"/>
  <c r="S19" i="5"/>
  <c r="W19" i="5"/>
  <c r="AA19" i="5"/>
  <c r="S20" i="5"/>
  <c r="W20" i="5"/>
  <c r="AA20" i="5"/>
  <c r="S21" i="5"/>
  <c r="W21" i="5"/>
  <c r="AA21" i="5"/>
  <c r="S22" i="5"/>
  <c r="W22" i="5"/>
  <c r="AA22" i="5"/>
  <c r="S23" i="5"/>
  <c r="W23" i="5"/>
  <c r="AA23" i="5"/>
  <c r="S24" i="5"/>
  <c r="W24" i="5"/>
  <c r="AA24" i="5"/>
  <c r="S25" i="5"/>
  <c r="W25" i="5"/>
  <c r="AA25" i="5"/>
  <c r="S26" i="5"/>
  <c r="D9" i="5"/>
  <c r="AH10" i="5"/>
  <c r="AL10" i="5"/>
  <c r="AG11" i="5"/>
  <c r="AK11" i="5"/>
  <c r="AF12" i="5"/>
  <c r="AJ12" i="5"/>
  <c r="AE13" i="5"/>
  <c r="AI13" i="5"/>
  <c r="AM13" i="5"/>
  <c r="AH14" i="5"/>
  <c r="AL14" i="5"/>
  <c r="AG15" i="5"/>
  <c r="AK15" i="5"/>
  <c r="AF16" i="5"/>
  <c r="AJ16" i="5"/>
  <c r="AE17" i="5"/>
  <c r="AI17" i="5"/>
  <c r="AM17" i="5"/>
  <c r="AH18" i="5"/>
  <c r="AL18" i="5"/>
  <c r="AG19" i="5"/>
  <c r="AK19" i="5"/>
  <c r="AF20" i="5"/>
  <c r="AJ20" i="5"/>
  <c r="AE21" i="5"/>
  <c r="AI21" i="5"/>
  <c r="AM21" i="5"/>
  <c r="AH22" i="5"/>
  <c r="AL22" i="5"/>
  <c r="AG23" i="5"/>
  <c r="AK23" i="5"/>
  <c r="AF24" i="5"/>
  <c r="AJ24" i="5"/>
  <c r="AE25" i="5"/>
  <c r="AI25" i="5"/>
  <c r="AM25" i="5"/>
  <c r="AH26" i="5"/>
  <c r="AL26" i="5"/>
  <c r="AG27" i="5"/>
  <c r="AK27" i="5"/>
  <c r="AF28" i="5"/>
  <c r="AJ28" i="5"/>
  <c r="AJ9" i="5"/>
  <c r="AF9" i="5"/>
  <c r="U10" i="5"/>
  <c r="Y10" i="5"/>
  <c r="AC10" i="5"/>
  <c r="U11" i="5"/>
  <c r="Y11" i="5"/>
  <c r="AC11" i="5"/>
  <c r="U12" i="5"/>
  <c r="Y12" i="5"/>
  <c r="AC12" i="5"/>
  <c r="U13" i="5"/>
  <c r="Y13" i="5"/>
  <c r="AC13" i="5"/>
  <c r="U14" i="5"/>
  <c r="Y14" i="5"/>
  <c r="AC14" i="5"/>
  <c r="U15" i="5"/>
  <c r="Y15" i="5"/>
  <c r="AC15" i="5"/>
  <c r="U16" i="5"/>
  <c r="Y16" i="5"/>
  <c r="AC16" i="5"/>
  <c r="U17" i="5"/>
  <c r="Y17" i="5"/>
  <c r="AC17" i="5"/>
  <c r="U18" i="5"/>
  <c r="Y18" i="5"/>
  <c r="AC18" i="5"/>
  <c r="U19" i="5"/>
  <c r="Y19" i="5"/>
  <c r="AC19" i="5"/>
  <c r="U20" i="5"/>
  <c r="Y20" i="5"/>
  <c r="AC20" i="5"/>
  <c r="U21" i="5"/>
  <c r="Y21" i="5"/>
  <c r="AC21" i="5"/>
  <c r="U22" i="5"/>
  <c r="Y22" i="5"/>
  <c r="AC22" i="5"/>
  <c r="U23" i="5"/>
  <c r="Y23" i="5"/>
  <c r="AC23" i="5"/>
  <c r="U24" i="5"/>
  <c r="Y24" i="5"/>
  <c r="AC24" i="5"/>
  <c r="U25" i="5"/>
  <c r="Y25" i="5"/>
  <c r="AC25" i="5"/>
  <c r="U26" i="5"/>
  <c r="AF10" i="5"/>
  <c r="AJ10" i="5"/>
  <c r="AE11" i="5"/>
  <c r="AI11" i="5"/>
  <c r="AM11" i="5"/>
  <c r="AH12" i="5"/>
  <c r="AL12" i="5"/>
  <c r="AG13" i="5"/>
  <c r="AK13" i="5"/>
  <c r="AF14" i="5"/>
  <c r="AJ14" i="5"/>
  <c r="AE15" i="5"/>
  <c r="AI15" i="5"/>
  <c r="AM15" i="5"/>
  <c r="AH16" i="5"/>
  <c r="AL16" i="5"/>
  <c r="AG17" i="5"/>
  <c r="AK17" i="5"/>
  <c r="AF18" i="5"/>
  <c r="AJ18" i="5"/>
  <c r="AE19" i="5"/>
  <c r="AI19" i="5"/>
  <c r="AM19" i="5"/>
  <c r="AH20" i="5"/>
  <c r="AL20" i="5"/>
  <c r="AG21" i="5"/>
  <c r="AK21" i="5"/>
  <c r="AF22" i="5"/>
  <c r="AJ22" i="5"/>
  <c r="AE23" i="5"/>
  <c r="AI23" i="5"/>
  <c r="AM23" i="5"/>
  <c r="AH24" i="5"/>
  <c r="AL24" i="5"/>
  <c r="AG25" i="5"/>
  <c r="AK25" i="5"/>
  <c r="AF26" i="5"/>
  <c r="AJ26" i="5"/>
  <c r="AE27" i="5"/>
  <c r="AI27" i="5"/>
  <c r="AM27" i="5"/>
  <c r="AH28" i="5"/>
  <c r="AL28" i="5"/>
  <c r="AK9" i="5"/>
  <c r="AG9" i="5"/>
  <c r="T10" i="5"/>
  <c r="X10" i="5"/>
  <c r="AB10" i="5"/>
  <c r="T11" i="5"/>
  <c r="X11" i="5"/>
  <c r="AB11" i="5"/>
  <c r="T12" i="5"/>
  <c r="X12" i="5"/>
  <c r="AB12" i="5"/>
  <c r="T13" i="5"/>
  <c r="X13" i="5"/>
  <c r="AB13" i="5"/>
  <c r="T14" i="5"/>
  <c r="X14" i="5"/>
  <c r="AB14" i="5"/>
  <c r="T15" i="5"/>
  <c r="X15" i="5"/>
  <c r="AB15" i="5"/>
  <c r="T16" i="5"/>
  <c r="X16" i="5"/>
  <c r="AB16" i="5"/>
  <c r="T17" i="5"/>
  <c r="X17" i="5"/>
  <c r="AB17" i="5"/>
  <c r="T18" i="5"/>
  <c r="X18" i="5"/>
  <c r="AB18" i="5"/>
  <c r="T19" i="5"/>
  <c r="X19" i="5"/>
  <c r="AB19" i="5"/>
  <c r="T20" i="5"/>
  <c r="X20" i="5"/>
  <c r="AB20" i="5"/>
  <c r="T21" i="5"/>
  <c r="X21" i="5"/>
  <c r="AB21" i="5"/>
  <c r="T22" i="5"/>
  <c r="X22" i="5"/>
  <c r="AB22" i="5"/>
  <c r="T23" i="5"/>
  <c r="X23" i="5"/>
  <c r="AB23" i="5"/>
  <c r="T24" i="5"/>
  <c r="X24" i="5"/>
  <c r="AB24" i="5"/>
  <c r="T25" i="5"/>
  <c r="X25" i="5"/>
  <c r="AB25" i="5"/>
  <c r="W26" i="5"/>
  <c r="AA26" i="5"/>
  <c r="S27" i="5"/>
  <c r="W27" i="5"/>
  <c r="AA27" i="5"/>
  <c r="S28" i="5"/>
  <c r="W28" i="5"/>
  <c r="AA28" i="5"/>
  <c r="AM9" i="5"/>
  <c r="AI9" i="5"/>
  <c r="AE9" i="5"/>
  <c r="V10" i="5"/>
  <c r="Z10" i="5"/>
  <c r="AD10" i="5"/>
  <c r="V11" i="5"/>
  <c r="Z11" i="5"/>
  <c r="AD11" i="5"/>
  <c r="V12" i="5"/>
  <c r="Z12" i="5"/>
  <c r="AD12" i="5"/>
  <c r="V13" i="5"/>
  <c r="Z13" i="5"/>
  <c r="AD13" i="5"/>
  <c r="V14" i="5"/>
  <c r="Z14" i="5"/>
  <c r="AD14" i="5"/>
  <c r="V15" i="5"/>
  <c r="Z15" i="5"/>
  <c r="AD15" i="5"/>
  <c r="V16" i="5"/>
  <c r="Z16" i="5"/>
  <c r="AD16" i="5"/>
  <c r="V17" i="5"/>
  <c r="Z17" i="5"/>
  <c r="AD17" i="5"/>
  <c r="V18" i="5"/>
  <c r="Z18" i="5"/>
  <c r="AD18" i="5"/>
  <c r="V19" i="5"/>
  <c r="Z19" i="5"/>
  <c r="AD19" i="5"/>
  <c r="V20" i="5"/>
  <c r="Z20" i="5"/>
  <c r="AD20" i="5"/>
  <c r="V21" i="5"/>
  <c r="Z21" i="5"/>
  <c r="AD21" i="5"/>
  <c r="V22" i="5"/>
  <c r="Z22" i="5"/>
  <c r="AD22" i="5"/>
  <c r="V23" i="5"/>
  <c r="Z23" i="5"/>
  <c r="AD23" i="5"/>
  <c r="V24" i="5"/>
  <c r="Z24" i="5"/>
  <c r="AD24" i="5"/>
  <c r="V25" i="5"/>
  <c r="Z25" i="5"/>
  <c r="T26" i="5"/>
  <c r="Y26" i="5"/>
  <c r="AC26" i="5"/>
  <c r="U27" i="5"/>
  <c r="Y27" i="5"/>
  <c r="AC27" i="5"/>
  <c r="U28" i="5"/>
  <c r="Y28" i="5"/>
  <c r="AC28" i="5"/>
  <c r="AB9" i="5"/>
  <c r="X9" i="5"/>
  <c r="T9" i="5"/>
  <c r="N10" i="5"/>
  <c r="R10" i="5"/>
  <c r="P11" i="5"/>
  <c r="N12" i="5"/>
  <c r="R12" i="5"/>
  <c r="P13" i="5"/>
  <c r="N14" i="5"/>
  <c r="R14" i="5"/>
  <c r="P15" i="5"/>
  <c r="N16" i="5"/>
  <c r="R16" i="5"/>
  <c r="P17" i="5"/>
  <c r="N18" i="5"/>
  <c r="R18" i="5"/>
  <c r="P19" i="5"/>
  <c r="N20" i="5"/>
  <c r="R20" i="5"/>
  <c r="P21" i="5"/>
  <c r="N22" i="5"/>
  <c r="R22" i="5"/>
  <c r="P23" i="5"/>
  <c r="N24" i="5"/>
  <c r="R24" i="5"/>
  <c r="P25" i="5"/>
  <c r="N26" i="5"/>
  <c r="R26" i="5"/>
  <c r="P27" i="5"/>
  <c r="N28" i="5"/>
  <c r="R28" i="5"/>
  <c r="O9" i="5"/>
  <c r="G10" i="5"/>
  <c r="K10" i="5"/>
  <c r="G11" i="5"/>
  <c r="K11" i="5"/>
  <c r="G12" i="5"/>
  <c r="K12" i="5"/>
  <c r="G13" i="5"/>
  <c r="K13" i="5"/>
  <c r="G14" i="5"/>
  <c r="K14" i="5"/>
  <c r="G15" i="5"/>
  <c r="K15" i="5"/>
  <c r="G16" i="5"/>
  <c r="K16" i="5"/>
  <c r="G17" i="5"/>
  <c r="K17" i="5"/>
  <c r="G18" i="5"/>
  <c r="K18" i="5"/>
  <c r="G19" i="5"/>
  <c r="K19" i="5"/>
  <c r="G20" i="5"/>
  <c r="K20" i="5"/>
  <c r="G21" i="5"/>
  <c r="K21" i="5"/>
  <c r="G22" i="5"/>
  <c r="K22" i="5"/>
  <c r="G23" i="5"/>
  <c r="K23" i="5"/>
  <c r="G24" i="5"/>
  <c r="K24" i="5"/>
  <c r="G25" i="5"/>
  <c r="K25" i="5"/>
  <c r="G26" i="5"/>
  <c r="K26" i="5"/>
  <c r="G27" i="5"/>
  <c r="K27" i="5"/>
  <c r="G28" i="5"/>
  <c r="K28" i="5"/>
  <c r="AD25" i="5"/>
  <c r="X26" i="5"/>
  <c r="AB26" i="5"/>
  <c r="T27" i="5"/>
  <c r="X27" i="5"/>
  <c r="AB27" i="5"/>
  <c r="T28" i="5"/>
  <c r="X28" i="5"/>
  <c r="AB28" i="5"/>
  <c r="AC9" i="5"/>
  <c r="Y9" i="5"/>
  <c r="U9" i="5"/>
  <c r="M10" i="5"/>
  <c r="Q10" i="5"/>
  <c r="O11" i="5"/>
  <c r="M12" i="5"/>
  <c r="Q12" i="5"/>
  <c r="O13" i="5"/>
  <c r="M14" i="5"/>
  <c r="Q14" i="5"/>
  <c r="O15" i="5"/>
  <c r="M16" i="5"/>
  <c r="Q16" i="5"/>
  <c r="O17" i="5"/>
  <c r="M18" i="5"/>
  <c r="Q18" i="5"/>
  <c r="O19" i="5"/>
  <c r="M20" i="5"/>
  <c r="Q20" i="5"/>
  <c r="O21" i="5"/>
  <c r="M22" i="5"/>
  <c r="Q22" i="5"/>
  <c r="O23" i="5"/>
  <c r="M24" i="5"/>
  <c r="Q24" i="5"/>
  <c r="O25" i="5"/>
  <c r="M26" i="5"/>
  <c r="Q26" i="5"/>
  <c r="O27" i="5"/>
  <c r="M28" i="5"/>
  <c r="Q28" i="5"/>
  <c r="AD9" i="5"/>
  <c r="Z9" i="5"/>
  <c r="V9" i="5"/>
  <c r="M9" i="5"/>
  <c r="P10" i="5"/>
  <c r="N11" i="5"/>
  <c r="R11" i="5"/>
  <c r="P12" i="5"/>
  <c r="N13" i="5"/>
  <c r="R13" i="5"/>
  <c r="P14" i="5"/>
  <c r="N15" i="5"/>
  <c r="R15" i="5"/>
  <c r="P16" i="5"/>
  <c r="N17" i="5"/>
  <c r="R17" i="5"/>
  <c r="P18" i="5"/>
  <c r="N19" i="5"/>
  <c r="R19" i="5"/>
  <c r="P20" i="5"/>
  <c r="N21" i="5"/>
  <c r="R21" i="5"/>
  <c r="P22" i="5"/>
  <c r="N23" i="5"/>
  <c r="R23" i="5"/>
  <c r="P24" i="5"/>
  <c r="N25" i="5"/>
  <c r="R25" i="5"/>
  <c r="P26" i="5"/>
  <c r="N27" i="5"/>
  <c r="R27" i="5"/>
  <c r="P28" i="5"/>
  <c r="Q9" i="5"/>
  <c r="E10" i="5"/>
  <c r="I10" i="5"/>
  <c r="E11" i="5"/>
  <c r="I11" i="5"/>
  <c r="E12" i="5"/>
  <c r="I12" i="5"/>
  <c r="E13" i="5"/>
  <c r="I13" i="5"/>
  <c r="E14" i="5"/>
  <c r="I14" i="5"/>
  <c r="E15" i="5"/>
  <c r="I15" i="5"/>
  <c r="E16" i="5"/>
  <c r="I16" i="5"/>
  <c r="E17" i="5"/>
  <c r="I17" i="5"/>
  <c r="E18" i="5"/>
  <c r="I18" i="5"/>
  <c r="E19" i="5"/>
  <c r="I19" i="5"/>
  <c r="E20" i="5"/>
  <c r="I20" i="5"/>
  <c r="E21" i="5"/>
  <c r="I21" i="5"/>
  <c r="E22" i="5"/>
  <c r="I22" i="5"/>
  <c r="E23" i="5"/>
  <c r="I23" i="5"/>
  <c r="E24" i="5"/>
  <c r="I24" i="5"/>
  <c r="E25" i="5"/>
  <c r="I25" i="5"/>
  <c r="E26" i="5"/>
  <c r="I26" i="5"/>
  <c r="E27" i="5"/>
  <c r="I27" i="5"/>
  <c r="E28" i="5"/>
  <c r="I28" i="5"/>
  <c r="V26" i="5"/>
  <c r="Z26" i="5"/>
  <c r="AD26" i="5"/>
  <c r="V27" i="5"/>
  <c r="Z27" i="5"/>
  <c r="AD27" i="5"/>
  <c r="V28" i="5"/>
  <c r="Z28" i="5"/>
  <c r="AD28" i="5"/>
  <c r="AA9" i="5"/>
  <c r="W9" i="5"/>
  <c r="S9" i="5"/>
  <c r="O10" i="5"/>
  <c r="M11" i="5"/>
  <c r="Q11" i="5"/>
  <c r="O12" i="5"/>
  <c r="M13" i="5"/>
  <c r="Q13" i="5"/>
  <c r="O14" i="5"/>
  <c r="M15" i="5"/>
  <c r="Q15" i="5"/>
  <c r="O16" i="5"/>
  <c r="M17" i="5"/>
  <c r="Q17" i="5"/>
  <c r="O18" i="5"/>
  <c r="M19" i="5"/>
  <c r="Q19" i="5"/>
  <c r="O20" i="5"/>
  <c r="M21" i="5"/>
  <c r="Q21" i="5"/>
  <c r="O22" i="5"/>
  <c r="M23" i="5"/>
  <c r="Q23" i="5"/>
  <c r="O24" i="5"/>
  <c r="M25" i="5"/>
  <c r="Q25" i="5"/>
  <c r="O26" i="5"/>
  <c r="M27" i="5"/>
  <c r="Q27" i="5"/>
  <c r="O28" i="5"/>
  <c r="R9" i="5"/>
  <c r="N9" i="5"/>
  <c r="H10" i="5"/>
  <c r="L10" i="5"/>
  <c r="H11" i="5"/>
  <c r="L11" i="5"/>
  <c r="H12" i="5"/>
  <c r="L12" i="5"/>
  <c r="H13" i="5"/>
  <c r="L13" i="5"/>
  <c r="H14" i="5"/>
  <c r="L14" i="5"/>
  <c r="H15" i="5"/>
  <c r="L15" i="5"/>
  <c r="H16" i="5"/>
  <c r="L16" i="5"/>
  <c r="H17" i="5"/>
  <c r="L17" i="5"/>
  <c r="H18" i="5"/>
  <c r="L18" i="5"/>
  <c r="H19" i="5"/>
  <c r="L19" i="5"/>
  <c r="H20" i="5"/>
  <c r="L20" i="5"/>
  <c r="H21" i="5"/>
  <c r="L21" i="5"/>
  <c r="H22" i="5"/>
  <c r="L22" i="5"/>
  <c r="H23" i="5"/>
  <c r="L23" i="5"/>
  <c r="H24" i="5"/>
  <c r="L24" i="5"/>
  <c r="H25" i="5"/>
  <c r="L25" i="5"/>
  <c r="H26" i="5"/>
  <c r="L26" i="5"/>
  <c r="H27" i="5"/>
  <c r="L27" i="5"/>
  <c r="H28" i="5"/>
  <c r="L28" i="5"/>
  <c r="J9" i="5"/>
  <c r="F9" i="5"/>
  <c r="D24" i="5"/>
  <c r="D28" i="5"/>
  <c r="D10" i="5"/>
  <c r="D14" i="5"/>
  <c r="D18" i="5"/>
  <c r="D22" i="5"/>
  <c r="I9" i="5"/>
  <c r="E9" i="5"/>
  <c r="D25" i="5"/>
  <c r="D11" i="5"/>
  <c r="D15" i="5"/>
  <c r="D21" i="5"/>
  <c r="D13" i="5"/>
  <c r="P9" i="5"/>
  <c r="F10" i="5"/>
  <c r="J10" i="5"/>
  <c r="F11" i="5"/>
  <c r="J11" i="5"/>
  <c r="F12" i="5"/>
  <c r="J12" i="5"/>
  <c r="F13" i="5"/>
  <c r="J13" i="5"/>
  <c r="F14" i="5"/>
  <c r="J14" i="5"/>
  <c r="F15" i="5"/>
  <c r="J15" i="5"/>
  <c r="F16" i="5"/>
  <c r="J16" i="5"/>
  <c r="F17" i="5"/>
  <c r="J17" i="5"/>
  <c r="F18" i="5"/>
  <c r="J18" i="5"/>
  <c r="F19" i="5"/>
  <c r="J19" i="5"/>
  <c r="F20" i="5"/>
  <c r="J20" i="5"/>
  <c r="F21" i="5"/>
  <c r="J21" i="5"/>
  <c r="F22" i="5"/>
  <c r="J22" i="5"/>
  <c r="F23" i="5"/>
  <c r="J23" i="5"/>
  <c r="F24" i="5"/>
  <c r="J24" i="5"/>
  <c r="F25" i="5"/>
  <c r="J25" i="5"/>
  <c r="F26" i="5"/>
  <c r="J26" i="5"/>
  <c r="F27" i="5"/>
  <c r="J27" i="5"/>
  <c r="F28" i="5"/>
  <c r="J28" i="5"/>
  <c r="L9" i="5"/>
  <c r="H9" i="5"/>
  <c r="D26" i="5"/>
  <c r="D12" i="5"/>
  <c r="D16" i="5"/>
  <c r="D20" i="5"/>
  <c r="D19" i="5"/>
  <c r="K9" i="5"/>
  <c r="G9" i="5"/>
  <c r="D23" i="5"/>
  <c r="D27" i="5"/>
  <c r="D17" i="5"/>
  <c r="P39" i="2"/>
  <c r="P38" i="2"/>
  <c r="Q19" i="2"/>
  <c r="R43" i="2" s="1"/>
  <c r="Q34" i="2"/>
  <c r="S31" i="5" l="1"/>
  <c r="S34" i="5" s="1"/>
  <c r="S37" i="5" s="1"/>
  <c r="L31" i="5"/>
  <c r="L34" i="5" s="1"/>
  <c r="L37" i="5" s="1"/>
  <c r="I31" i="5"/>
  <c r="I34" i="5" s="1"/>
  <c r="I37" i="5" s="1"/>
  <c r="G31" i="5"/>
  <c r="G34" i="5" s="1"/>
  <c r="G37" i="5" s="1"/>
  <c r="K31" i="5"/>
  <c r="K34" i="5" s="1"/>
  <c r="K37" i="5" s="1"/>
  <c r="P31" i="5"/>
  <c r="P34" i="5" s="1"/>
  <c r="P37" i="5" s="1"/>
  <c r="H31" i="5"/>
  <c r="H34" i="5" s="1"/>
  <c r="H37" i="5" s="1"/>
  <c r="E31" i="5"/>
  <c r="E34" i="5" s="1"/>
  <c r="E37" i="5" s="1"/>
  <c r="AN17" i="5"/>
  <c r="AN23" i="5"/>
  <c r="AN19" i="5"/>
  <c r="AN16" i="5"/>
  <c r="N31" i="5"/>
  <c r="N34" i="5" s="1"/>
  <c r="N37" i="5" s="1"/>
  <c r="AA31" i="5"/>
  <c r="AA34" i="5" s="1"/>
  <c r="AA37" i="5" s="1"/>
  <c r="Y31" i="5"/>
  <c r="Y34" i="5" s="1"/>
  <c r="Y37" i="5" s="1"/>
  <c r="AN12" i="5"/>
  <c r="R31" i="5"/>
  <c r="R34" i="5" s="1"/>
  <c r="R37" i="5" s="1"/>
  <c r="W31" i="5"/>
  <c r="W34" i="5" s="1"/>
  <c r="W37" i="5" s="1"/>
  <c r="U31" i="5"/>
  <c r="U34" i="5" s="1"/>
  <c r="U37" i="5" s="1"/>
  <c r="AC31" i="5"/>
  <c r="AC34" i="5" s="1"/>
  <c r="AC37" i="5" s="1"/>
  <c r="AI31" i="5"/>
  <c r="AI34" i="5" s="1"/>
  <c r="AI37" i="5" s="1"/>
  <c r="AN27" i="5"/>
  <c r="AN26" i="5"/>
  <c r="F30" i="7"/>
  <c r="F36" i="7" s="1"/>
  <c r="AN20" i="5"/>
  <c r="AN15" i="5"/>
  <c r="AN22" i="5"/>
  <c r="AN14" i="5"/>
  <c r="AN28" i="5"/>
  <c r="F31" i="5"/>
  <c r="F34" i="5" s="1"/>
  <c r="F37" i="5" s="1"/>
  <c r="M31" i="5"/>
  <c r="M34" i="5" s="1"/>
  <c r="M37" i="5" s="1"/>
  <c r="Z31" i="5"/>
  <c r="Z34" i="5" s="1"/>
  <c r="Z37" i="5" s="1"/>
  <c r="X31" i="5"/>
  <c r="X34" i="5" s="1"/>
  <c r="X37" i="5" s="1"/>
  <c r="AG31" i="5"/>
  <c r="AG34" i="5" s="1"/>
  <c r="AG37" i="5" s="1"/>
  <c r="AJ31" i="5"/>
  <c r="AJ34" i="5" s="1"/>
  <c r="AJ37" i="5" s="1"/>
  <c r="AL31" i="5"/>
  <c r="AL34" i="5" s="1"/>
  <c r="AL37" i="5" s="1"/>
  <c r="F10" i="7"/>
  <c r="AN13" i="5"/>
  <c r="AN21" i="5"/>
  <c r="AN11" i="5"/>
  <c r="AN25" i="5"/>
  <c r="AN18" i="5"/>
  <c r="AN10" i="5"/>
  <c r="AN24" i="5"/>
  <c r="J31" i="5"/>
  <c r="J34" i="5" s="1"/>
  <c r="J37" i="5" s="1"/>
  <c r="Q31" i="5"/>
  <c r="Q34" i="5" s="1"/>
  <c r="Q37" i="5" s="1"/>
  <c r="V31" i="5"/>
  <c r="V34" i="5" s="1"/>
  <c r="V37" i="5" s="1"/>
  <c r="AD31" i="5"/>
  <c r="AD34" i="5" s="1"/>
  <c r="AD37" i="5" s="1"/>
  <c r="O31" i="5"/>
  <c r="O34" i="5" s="1"/>
  <c r="O37" i="5" s="1"/>
  <c r="T31" i="5"/>
  <c r="T34" i="5" s="1"/>
  <c r="T37" i="5" s="1"/>
  <c r="AB31" i="5"/>
  <c r="AB34" i="5" s="1"/>
  <c r="AB37" i="5" s="1"/>
  <c r="AE31" i="5"/>
  <c r="AE34" i="5" s="1"/>
  <c r="AE37" i="5" s="1"/>
  <c r="AM31" i="5"/>
  <c r="AM34" i="5" s="1"/>
  <c r="AM37" i="5" s="1"/>
  <c r="AK31" i="5"/>
  <c r="AK34" i="5" s="1"/>
  <c r="AK37" i="5" s="1"/>
  <c r="AF31" i="5"/>
  <c r="AF34" i="5" s="1"/>
  <c r="AF37" i="5" s="1"/>
  <c r="D31" i="5"/>
  <c r="D34" i="5" s="1"/>
  <c r="AN9" i="5"/>
  <c r="AH31" i="5"/>
  <c r="AH34" i="5" s="1"/>
  <c r="AH37" i="5" s="1"/>
  <c r="Q39" i="2"/>
  <c r="Q38" i="2"/>
  <c r="H34" i="2"/>
  <c r="R44" i="2"/>
  <c r="S34" i="2"/>
  <c r="E17" i="7" s="1"/>
  <c r="R34" i="2"/>
  <c r="E20" i="7" s="1"/>
  <c r="F20" i="7" s="1"/>
  <c r="S19" i="2"/>
  <c r="E16" i="7" s="1"/>
  <c r="R19" i="2"/>
  <c r="AN34" i="5" l="1"/>
  <c r="F22" i="7" s="1"/>
  <c r="D37" i="5"/>
  <c r="AN37" i="5" s="1"/>
  <c r="E19" i="7"/>
  <c r="F19" i="7" s="1"/>
  <c r="F16" i="7"/>
  <c r="I21" i="19"/>
  <c r="I28" i="19"/>
  <c r="I11" i="19"/>
  <c r="F17" i="19"/>
  <c r="I23" i="19"/>
  <c r="F11" i="19"/>
  <c r="I26" i="19"/>
  <c r="I20" i="19"/>
  <c r="F27" i="19"/>
  <c r="I19" i="19"/>
  <c r="F24" i="19"/>
  <c r="I27" i="19"/>
  <c r="I22" i="19"/>
  <c r="I15" i="19"/>
  <c r="F13" i="19"/>
  <c r="I24" i="19"/>
  <c r="F28" i="19"/>
  <c r="F25" i="19"/>
  <c r="I16" i="19"/>
  <c r="F15" i="19"/>
  <c r="F18" i="19"/>
  <c r="F16" i="19"/>
  <c r="F26" i="19"/>
  <c r="I17" i="19"/>
  <c r="F22" i="19"/>
  <c r="I25" i="19"/>
  <c r="I13" i="19"/>
  <c r="F20" i="19"/>
  <c r="I18" i="19"/>
  <c r="I12" i="19"/>
  <c r="I14" i="19"/>
  <c r="F21" i="19"/>
  <c r="F12" i="19"/>
  <c r="F23" i="19"/>
  <c r="F14" i="19"/>
  <c r="F19" i="19"/>
  <c r="AN31" i="5"/>
  <c r="R38" i="2"/>
  <c r="F17" i="7"/>
  <c r="S38" i="2"/>
  <c r="E23" i="7" l="1"/>
  <c r="E37" i="7"/>
  <c r="F15" i="7"/>
  <c r="E38" i="7" l="1"/>
  <c r="G38" i="7" s="1"/>
  <c r="C25" i="19"/>
  <c r="C27" i="19" s="1"/>
  <c r="F23" i="7"/>
  <c r="F37" i="7" s="1"/>
  <c r="F38" i="7" s="1"/>
  <c r="F39" i="7" s="1"/>
  <c r="E39" i="7" l="1"/>
</calcChain>
</file>

<file path=xl/comments1.xml><?xml version="1.0" encoding="utf-8"?>
<comments xmlns="http://schemas.openxmlformats.org/spreadsheetml/2006/main">
  <authors>
    <author>山口県</author>
  </authors>
  <commentList>
    <comment ref="A1" authorId="0">
      <text>
        <r>
          <rPr>
            <b/>
            <sz val="11"/>
            <color indexed="81"/>
            <rFont val="ＭＳ Ｐゴシック"/>
            <family val="3"/>
            <charset val="128"/>
          </rPr>
          <t>本シートはシート「科目集計用」より自動的に作成されます。</t>
        </r>
      </text>
    </comment>
  </commentList>
</comments>
</file>

<file path=xl/comments2.xml><?xml version="1.0" encoding="utf-8"?>
<comments xmlns="http://schemas.openxmlformats.org/spreadsheetml/2006/main">
  <authors>
    <author>山口県</author>
    <author>kazuoki3</author>
  </authors>
  <commentList>
    <comment ref="B1" authorId="0">
      <text>
        <r>
          <rPr>
            <b/>
            <sz val="9"/>
            <color indexed="81"/>
            <rFont val="ＭＳ Ｐゴシック"/>
            <family val="3"/>
            <charset val="128"/>
          </rPr>
          <t>緑のセルはプルダウンリストから選択してください。その他のセルは自動作成されます。</t>
        </r>
      </text>
    </comment>
    <comment ref="B9" authorId="1">
      <text>
        <r>
          <rPr>
            <b/>
            <sz val="9"/>
            <color indexed="81"/>
            <rFont val="ＭＳ Ｐゴシック"/>
            <family val="3"/>
            <charset val="128"/>
          </rPr>
          <t>=作業名</t>
        </r>
      </text>
    </comment>
    <comment ref="D9" authorId="1">
      <text>
        <r>
          <rPr>
            <b/>
            <sz val="9"/>
            <color indexed="81"/>
            <rFont val="ＭＳ Ｐゴシック"/>
            <family val="3"/>
            <charset val="128"/>
          </rPr>
          <t>=SUMPRODUCT((作業体系!$A$4:$A$346=労働時間!$B9)*(作業体系!$B$4:$B$346="1月上旬")*(作業体系!$P$4:$P$346))</t>
        </r>
      </text>
    </comment>
  </commentList>
</comments>
</file>

<file path=xl/comments3.xml><?xml version="1.0" encoding="utf-8"?>
<comments xmlns="http://schemas.openxmlformats.org/spreadsheetml/2006/main">
  <authors>
    <author>ooisi</author>
  </authors>
  <commentList>
    <comment ref="C5" authorId="0">
      <text>
        <r>
          <rPr>
            <sz val="11"/>
            <color indexed="81"/>
            <rFont val="ＭＳ Ｐゴシック"/>
            <family val="3"/>
            <charset val="128"/>
          </rPr>
          <t>必ず記入してください。</t>
        </r>
        <r>
          <rPr>
            <b/>
            <sz val="9"/>
            <color indexed="81"/>
            <rFont val="ＭＳ Ｐゴシック"/>
            <family val="3"/>
            <charset val="128"/>
          </rPr>
          <t xml:space="preserve">
</t>
        </r>
        <r>
          <rPr>
            <sz val="11"/>
            <color indexed="81"/>
            <rFont val="ＭＳ Ｐゴシック"/>
            <family val="3"/>
            <charset val="128"/>
          </rPr>
          <t>これが、プロセス名になります。</t>
        </r>
      </text>
    </comment>
    <comment ref="K11" authorId="0">
      <text>
        <r>
          <rPr>
            <b/>
            <sz val="11"/>
            <color indexed="81"/>
            <rFont val="ＭＳ Ｐゴシック"/>
            <family val="3"/>
            <charset val="128"/>
          </rPr>
          <t>必ず入力します。入力しないと計画案を計算しません。</t>
        </r>
        <r>
          <rPr>
            <sz val="11"/>
            <color indexed="81"/>
            <rFont val="ＭＳ Ｐゴシック"/>
            <family val="3"/>
            <charset val="128"/>
          </rPr>
          <t xml:space="preserve">
</t>
        </r>
      </text>
    </comment>
    <comment ref="L11" authorId="0">
      <text>
        <r>
          <rPr>
            <sz val="11"/>
            <color indexed="81"/>
            <rFont val="ＭＳ Ｐゴシック"/>
            <family val="3"/>
            <charset val="128"/>
          </rPr>
          <t>ダブルクリックすると、地目のリストが表示されます。リストから選択します。</t>
        </r>
      </text>
    </comment>
    <comment ref="K12" authorId="0">
      <text>
        <r>
          <rPr>
            <b/>
            <sz val="11"/>
            <color indexed="81"/>
            <rFont val="ＭＳ Ｐゴシック"/>
            <family val="3"/>
            <charset val="128"/>
          </rPr>
          <t>必ず入力します。入力しないと計画案を計算しません。</t>
        </r>
      </text>
    </comment>
    <comment ref="L12" authorId="0">
      <text>
        <r>
          <rPr>
            <b/>
            <sz val="11"/>
            <color indexed="81"/>
            <rFont val="ＭＳ Ｐゴシック"/>
            <family val="3"/>
            <charset val="128"/>
          </rPr>
          <t>作付地目が「田」の場合に入力します。
 ①生産物が主食用米の場合は「該当する」を入力します
 ②その他の場合は「該当しない」を入力します。</t>
        </r>
      </text>
    </comment>
    <comment ref="L13" authorId="0">
      <text>
        <r>
          <rPr>
            <sz val="11"/>
            <color indexed="81"/>
            <rFont val="ＭＳ Ｐゴシック"/>
            <family val="3"/>
            <charset val="128"/>
          </rPr>
          <t>「１月」から「12月」のいずれかを入力します。数字のみ入力してください。
入力がないと、「１月」とみなされます。</t>
        </r>
      </text>
    </comment>
    <comment ref="M13" authorId="0">
      <text>
        <r>
          <rPr>
            <sz val="11"/>
            <color indexed="81"/>
            <rFont val="ＭＳ Ｐゴシック"/>
            <family val="3"/>
            <charset val="128"/>
          </rPr>
          <t>ダブルクリックすると、旬のリストが表示されます。リストから選択します。選択しないと「上旬」と見なされます。</t>
        </r>
      </text>
    </comment>
    <comment ref="C14" authorId="0">
      <text>
        <r>
          <rPr>
            <sz val="11"/>
            <color indexed="81"/>
            <rFont val="ＭＳ Ｐゴシック"/>
            <family val="3"/>
            <charset val="128"/>
          </rPr>
          <t>この数値は入力できません。
(単位収量×単価＋その他収益)で計算します。</t>
        </r>
      </text>
    </comment>
    <comment ref="L14" authorId="0">
      <text>
        <r>
          <rPr>
            <sz val="11"/>
            <color indexed="81"/>
            <rFont val="ＭＳ Ｐゴシック"/>
            <family val="3"/>
            <charset val="128"/>
          </rPr>
          <t>「１月」から「12月」のいずれかを入力します。数字のみ入力してください。
入力がないと、「12月」とみなされます。</t>
        </r>
      </text>
    </comment>
    <comment ref="M14" authorId="0">
      <text>
        <r>
          <rPr>
            <sz val="11"/>
            <color indexed="81"/>
            <rFont val="ＭＳ Ｐゴシック"/>
            <family val="3"/>
            <charset val="128"/>
          </rPr>
          <t>ダブルクリックすると、旬のリストが表示されます。リストから選択します。選択しないと「下旬」と見なされます。</t>
        </r>
      </text>
    </comment>
    <comment ref="L15" authorId="0">
      <text>
        <r>
          <rPr>
            <sz val="11"/>
            <color indexed="81"/>
            <rFont val="ＭＳ Ｐゴシック"/>
            <family val="3"/>
            <charset val="128"/>
          </rPr>
          <t>作付したい最小の面積を、</t>
        </r>
        <r>
          <rPr>
            <b/>
            <sz val="11"/>
            <color indexed="10"/>
            <rFont val="ＭＳ Ｐゴシック"/>
            <family val="3"/>
            <charset val="128"/>
          </rPr>
          <t>ha</t>
        </r>
        <r>
          <rPr>
            <sz val="11"/>
            <color indexed="81"/>
            <rFont val="ＭＳ Ｐゴシック"/>
            <family val="3"/>
            <charset val="128"/>
          </rPr>
          <t xml:space="preserve">単位で入力します。固定した面積を作付けしたいときは、同じ数値を作付上限にも入力します。
</t>
        </r>
      </text>
    </comment>
    <comment ref="L16" authorId="0">
      <text>
        <r>
          <rPr>
            <sz val="11"/>
            <color indexed="81"/>
            <rFont val="ＭＳ Ｐゴシック"/>
            <family val="3"/>
            <charset val="128"/>
          </rPr>
          <t>作付したい最大の面積を、</t>
        </r>
        <r>
          <rPr>
            <b/>
            <sz val="11"/>
            <color indexed="10"/>
            <rFont val="ＭＳ Ｐゴシック"/>
            <family val="3"/>
            <charset val="128"/>
          </rPr>
          <t>ha</t>
        </r>
        <r>
          <rPr>
            <sz val="11"/>
            <color indexed="81"/>
            <rFont val="ＭＳ Ｐゴシック"/>
            <family val="3"/>
            <charset val="128"/>
          </rPr>
          <t xml:space="preserve">単位で入力します。固定した面積を作付けしたいときは、同じ数値を作付下限にも入力します。
</t>
        </r>
      </text>
    </comment>
    <comment ref="C25" authorId="0">
      <text>
        <r>
          <rPr>
            <sz val="11"/>
            <color indexed="81"/>
            <rFont val="ＭＳ Ｐゴシック"/>
            <family val="3"/>
            <charset val="128"/>
          </rPr>
          <t>この数値は入力できません。
種苗費からその他費用までを合計します。</t>
        </r>
      </text>
    </comment>
    <comment ref="C27" authorId="0">
      <text>
        <r>
          <rPr>
            <sz val="11"/>
            <color indexed="81"/>
            <rFont val="ＭＳ Ｐゴシック"/>
            <family val="3"/>
            <charset val="128"/>
          </rPr>
          <t>この数値は入力できません。
(粗収益－変動費)で計算します。</t>
        </r>
      </text>
    </comment>
  </commentList>
</comments>
</file>

<file path=xl/comments4.xml><?xml version="1.0" encoding="utf-8"?>
<comments xmlns="http://schemas.openxmlformats.org/spreadsheetml/2006/main">
  <authors>
    <author>山口県</author>
    <author>kazuoki3</author>
    <author>masa</author>
  </authors>
  <commentList>
    <comment ref="A1" authorId="0">
      <text>
        <r>
          <rPr>
            <b/>
            <sz val="11"/>
            <color indexed="81"/>
            <rFont val="ＭＳ Ｐゴシック"/>
            <family val="3"/>
            <charset val="128"/>
          </rPr>
          <t>黄色のセルに直接記入してください。その他のセルは自動的に参照または計算されます。</t>
        </r>
      </text>
    </comment>
    <comment ref="E1" authorId="1">
      <text>
        <r>
          <rPr>
            <b/>
            <sz val="9"/>
            <color indexed="81"/>
            <rFont val="ＭＳ Ｐゴシック"/>
            <family val="3"/>
            <charset val="128"/>
          </rPr>
          <t>=技術体系入力!F2*100</t>
        </r>
      </text>
    </comment>
    <comment ref="I2" authorId="2">
      <text>
        <r>
          <rPr>
            <b/>
            <sz val="11"/>
            <color indexed="8"/>
            <rFont val="ＭＳ Ｐゴシック"/>
            <family val="3"/>
            <charset val="128"/>
          </rPr>
          <t xml:space="preserve">農家負担率
</t>
        </r>
        <r>
          <rPr>
            <sz val="11"/>
            <color indexed="8"/>
            <rFont val="ＭＳ Ｐゴシック"/>
            <family val="3"/>
            <charset val="128"/>
          </rPr>
          <t>補助事業を活用する場合に、農家が最終的に負担する割合（補助残率）を記入します。</t>
        </r>
      </text>
    </comment>
    <comment ref="J2" authorId="2">
      <text>
        <r>
          <rPr>
            <b/>
            <sz val="9"/>
            <color indexed="8"/>
            <rFont val="ＭＳ Ｐゴシック"/>
            <family val="3"/>
            <charset val="128"/>
          </rPr>
          <t xml:space="preserve">単価
</t>
        </r>
        <r>
          <rPr>
            <sz val="9"/>
            <color indexed="8"/>
            <rFont val="ＭＳ Ｐゴシック"/>
            <family val="3"/>
            <charset val="128"/>
          </rPr>
          <t xml:space="preserve">補助等を控除しない通常取得する場合の購入価格を入力します
</t>
        </r>
      </text>
    </comment>
    <comment ref="K2" authorId="2">
      <text>
        <r>
          <rPr>
            <b/>
            <sz val="9"/>
            <color indexed="8"/>
            <rFont val="ＭＳ Ｐゴシック"/>
            <family val="3"/>
            <charset val="128"/>
          </rPr>
          <t xml:space="preserve">取得価格
</t>
        </r>
        <r>
          <rPr>
            <sz val="9"/>
            <color indexed="8"/>
            <rFont val="ＭＳ Ｐゴシック"/>
            <family val="3"/>
            <charset val="128"/>
          </rPr>
          <t xml:space="preserve">取得価格＝単価×数量
</t>
        </r>
      </text>
    </comment>
    <comment ref="L2" authorId="2">
      <text>
        <r>
          <rPr>
            <b/>
            <sz val="9"/>
            <color indexed="8"/>
            <rFont val="ＭＳ Ｐゴシック"/>
            <family val="3"/>
            <charset val="128"/>
          </rPr>
          <t xml:space="preserve">農家取得価格
</t>
        </r>
        <r>
          <rPr>
            <sz val="9"/>
            <color indexed="8"/>
            <rFont val="ＭＳ Ｐゴシック"/>
            <family val="3"/>
            <charset val="128"/>
          </rPr>
          <t xml:space="preserve">農家取得価格＝取得価格×農家負担率
</t>
        </r>
      </text>
    </comment>
    <comment ref="M3" authorId="2">
      <text>
        <r>
          <rPr>
            <sz val="11"/>
            <color indexed="8"/>
            <rFont val="ＭＳ Ｐゴシック"/>
            <family val="3"/>
            <charset val="128"/>
          </rPr>
          <t>●当該施設・機械を他の作物でも利用することが想定される場合は、利用面積で按分した割合を入力してください。
●わからない場合は「100」を入力してください。</t>
        </r>
      </text>
    </comment>
    <comment ref="R41" authorId="2">
      <text>
        <r>
          <rPr>
            <sz val="9"/>
            <color indexed="8"/>
            <rFont val="ＭＳ Ｐゴシック"/>
            <family val="3"/>
            <charset val="128"/>
          </rPr>
          <t xml:space="preserve">総償却額÷年償却額
</t>
        </r>
      </text>
    </comment>
    <comment ref="J42" authorId="2">
      <text>
        <r>
          <rPr>
            <sz val="9"/>
            <color indexed="8"/>
            <rFont val="ＭＳ Ｐゴシック"/>
            <family val="3"/>
            <charset val="128"/>
          </rPr>
          <t xml:space="preserve">平均負担価格
＝（負担価格－残存価格）÷２＋残存価格
耐用年数の中間年の評価額
</t>
        </r>
      </text>
    </comment>
    <comment ref="Q45" authorId="2">
      <text>
        <r>
          <rPr>
            <sz val="9"/>
            <color indexed="8"/>
            <rFont val="ＭＳ Ｐゴシック"/>
            <family val="3"/>
            <charset val="128"/>
          </rPr>
          <t xml:space="preserve">大植物を除く
</t>
        </r>
      </text>
    </comment>
  </commentList>
</comments>
</file>

<file path=xl/comments5.xml><?xml version="1.0" encoding="utf-8"?>
<comments xmlns="http://schemas.openxmlformats.org/spreadsheetml/2006/main">
  <authors>
    <author>kazuoki3</author>
    <author>山口県</author>
    <author>015209</author>
  </authors>
  <commentList>
    <comment ref="A1" authorId="0">
      <text>
        <r>
          <rPr>
            <b/>
            <sz val="9"/>
            <color indexed="81"/>
            <rFont val="ＭＳ Ｐゴシック"/>
            <family val="3"/>
            <charset val="128"/>
          </rPr>
          <t>=IF(技術体系入力!B2=0,"",技術体系入力!B2)</t>
        </r>
      </text>
    </comment>
    <comment ref="D1" authorId="0">
      <text>
        <r>
          <rPr>
            <b/>
            <sz val="9"/>
            <color indexed="81"/>
            <rFont val="ＭＳ Ｐゴシック"/>
            <family val="3"/>
            <charset val="128"/>
          </rPr>
          <t>=IF(技術体系入力!D2=0,"",技術体系入力!D2)</t>
        </r>
      </text>
    </comment>
    <comment ref="A2" authorId="0">
      <text>
        <r>
          <rPr>
            <sz val="9"/>
            <color indexed="81"/>
            <rFont val="ＭＳ Ｐゴシック"/>
            <family val="3"/>
            <charset val="128"/>
          </rPr>
          <t>=作業名</t>
        </r>
      </text>
    </comment>
    <comment ref="B2" authorId="0">
      <text>
        <r>
          <rPr>
            <sz val="9"/>
            <color indexed="81"/>
            <rFont val="ＭＳ Ｐゴシック"/>
            <family val="3"/>
            <charset val="128"/>
          </rPr>
          <t>=月旬</t>
        </r>
      </text>
    </comment>
    <comment ref="C2" authorId="1">
      <text>
        <r>
          <rPr>
            <b/>
            <sz val="11"/>
            <color indexed="81"/>
            <rFont val="ＭＳ Ｐゴシック"/>
            <family val="3"/>
            <charset val="128"/>
          </rPr>
          <t>=「償却資産」シート
　「機械」</t>
        </r>
      </text>
    </comment>
    <comment ref="E2" authorId="2">
      <text>
        <r>
          <rPr>
            <b/>
            <sz val="9"/>
            <color indexed="81"/>
            <rFont val="ＭＳ Ｐゴシック"/>
            <family val="3"/>
            <charset val="128"/>
          </rPr>
          <t>黄色のセルは直接入力、緑のセルはプルダウンリストから選択してください。</t>
        </r>
        <r>
          <rPr>
            <sz val="9"/>
            <color indexed="81"/>
            <rFont val="ＭＳ Ｐゴシック"/>
            <family val="3"/>
            <charset val="128"/>
          </rPr>
          <t xml:space="preserve">
</t>
        </r>
      </text>
    </comment>
    <comment ref="F2" authorId="2">
      <text>
        <r>
          <rPr>
            <b/>
            <sz val="9"/>
            <color indexed="81"/>
            <rFont val="ＭＳ Ｐゴシック"/>
            <family val="3"/>
            <charset val="128"/>
          </rPr>
          <t>1作業あたりの
時間・人数を入力</t>
        </r>
      </text>
    </comment>
    <comment ref="L3" authorId="2">
      <text>
        <r>
          <rPr>
            <b/>
            <sz val="9"/>
            <color indexed="81"/>
            <rFont val="ＭＳ Ｐゴシック"/>
            <family val="3"/>
            <charset val="128"/>
          </rPr>
          <t>1作業あたりの
時間を入力</t>
        </r>
      </text>
    </comment>
  </commentList>
</comments>
</file>

<file path=xl/comments6.xml><?xml version="1.0" encoding="utf-8"?>
<comments xmlns="http://schemas.openxmlformats.org/spreadsheetml/2006/main">
  <authors>
    <author>山口県</author>
    <author>kazuoki3</author>
    <author>masa</author>
  </authors>
  <commentList>
    <comment ref="B1" authorId="0">
      <text>
        <r>
          <rPr>
            <b/>
            <sz val="9"/>
            <color indexed="81"/>
            <rFont val="ＭＳ Ｐゴシック"/>
            <family val="3"/>
            <charset val="128"/>
          </rPr>
          <t>黄色のセルは直接入力、緑のセルはプルダウンリストから選ぶか、または、自動計算されます。</t>
        </r>
      </text>
    </comment>
    <comment ref="B2" authorId="1">
      <text>
        <r>
          <rPr>
            <sz val="9"/>
            <color indexed="81"/>
            <rFont val="ＭＳ Ｐゴシック"/>
            <family val="3"/>
            <charset val="128"/>
          </rPr>
          <t>科目設定シート参照（=科目）</t>
        </r>
      </text>
    </comment>
    <comment ref="D2" authorId="2">
      <text>
        <r>
          <rPr>
            <sz val="11"/>
            <color indexed="8"/>
            <rFont val="ＭＳ Ｐゴシック"/>
            <family val="3"/>
            <charset val="128"/>
          </rPr>
          <t>経営全体あるいは該当作目全体で利用する数量を入力する。
ここでは案分を考慮した数値を入れない。
10a当りのあん分等は負担率で調整する</t>
        </r>
      </text>
    </comment>
    <comment ref="E2" authorId="1">
      <text>
        <r>
          <rPr>
            <sz val="9"/>
            <color indexed="81"/>
            <rFont val="ＭＳ Ｐゴシック"/>
            <family val="3"/>
            <charset val="128"/>
          </rPr>
          <t>=単位</t>
        </r>
      </text>
    </comment>
    <comment ref="F2" authorId="2">
      <text>
        <r>
          <rPr>
            <sz val="11"/>
            <color indexed="8"/>
            <rFont val="ＭＳ Ｐゴシック"/>
            <family val="3"/>
            <charset val="128"/>
          </rPr>
          <t>単価欄には物材そのものの金額（単価）を入力し、10a当りに案分する場合は負担率を使う。
例）１個１万円の資材を20aで使用する場合は、
　数量１、単価１万円、負担率50%と入力する。
　悪い例１：数量１、単価５千円、負担率100%
　悪い例２：数量0.5、単価１万円、負担率100%</t>
        </r>
      </text>
    </comment>
    <comment ref="G2" authorId="2">
      <text>
        <r>
          <rPr>
            <sz val="11"/>
            <color indexed="8"/>
            <rFont val="ＭＳ Ｐゴシック"/>
            <family val="3"/>
            <charset val="128"/>
          </rPr>
          <t>使用可能年数を入力
１０万円未満で複数年利用できる機械や資材等は、一般に単年度の経費とするが、ここでは使用年数で除した金額を単年度経費とする。</t>
        </r>
      </text>
    </comment>
    <comment ref="H2" authorId="2">
      <text>
        <r>
          <rPr>
            <sz val="11"/>
            <color indexed="8"/>
            <rFont val="ＭＳ Ｐゴシック"/>
            <family val="3"/>
            <charset val="128"/>
          </rPr>
          <t>①年間に該当作目が経営全体の中で負担する率を必ず入力
　例：抑制と促成の年２回利用する場合には、各作型で50%とする
②10a当りに換算するための調整数値として入力する。
　例：１個１万円の資材を20aで使用する場合は、
　　　数量１、単価１万円、負担率50%と入力する。
①と②両方が必要な場合は①×②の数値を入力する。
負担率の詳細を備考へメモしておく。</t>
        </r>
      </text>
    </comment>
    <comment ref="W2" authorId="2">
      <text>
        <r>
          <rPr>
            <sz val="9"/>
            <color indexed="8"/>
            <rFont val="ＭＳ Ｐゴシック"/>
            <family val="3"/>
            <charset val="128"/>
          </rPr>
          <t xml:space="preserve">負担率の根拠等を入力してください
</t>
        </r>
      </text>
    </comment>
  </commentList>
</comments>
</file>

<file path=xl/sharedStrings.xml><?xml version="1.0" encoding="utf-8"?>
<sst xmlns="http://schemas.openxmlformats.org/spreadsheetml/2006/main" count="1264" uniqueCount="672">
  <si>
    <t>品目</t>
  </si>
  <si>
    <t>品種</t>
  </si>
  <si>
    <t>該当する地域</t>
  </si>
  <si>
    <t>技術体系</t>
  </si>
  <si>
    <t>作業名</t>
  </si>
  <si>
    <t>作業内容</t>
  </si>
  <si>
    <t>時期</t>
  </si>
  <si>
    <t>投下資材及び使用設備</t>
  </si>
  <si>
    <t>備考（データ出典等）</t>
  </si>
  <si>
    <t>償却資産</t>
  </si>
  <si>
    <t>想定面積：</t>
  </si>
  <si>
    <t>a</t>
  </si>
  <si>
    <t>種  類</t>
  </si>
  <si>
    <t>構造能力</t>
  </si>
  <si>
    <t>数　量</t>
  </si>
  <si>
    <t>単　位</t>
  </si>
  <si>
    <t>残存率</t>
  </si>
  <si>
    <t>耐用年数</t>
  </si>
  <si>
    <t>農家負担率</t>
  </si>
  <si>
    <t>単価</t>
  </si>
  <si>
    <t>取得価格</t>
  </si>
  <si>
    <t>農 家</t>
  </si>
  <si>
    <t>該当作目</t>
  </si>
  <si>
    <t>(事業費)</t>
  </si>
  <si>
    <t>負担率</t>
  </si>
  <si>
    <t>負担価格</t>
  </si>
  <si>
    <t>残存価格</t>
  </si>
  <si>
    <t xml:space="preserve">総償却額  </t>
  </si>
  <si>
    <t xml:space="preserve">年償却額    </t>
  </si>
  <si>
    <t>年修理費</t>
  </si>
  <si>
    <t>備　考</t>
  </si>
  <si>
    <t>(10a当り)</t>
  </si>
  <si>
    <t>建</t>
  </si>
  <si>
    <t>物</t>
  </si>
  <si>
    <t>施</t>
  </si>
  <si>
    <t>設</t>
  </si>
  <si>
    <t>小 計(2)</t>
  </si>
  <si>
    <t>大植物</t>
  </si>
  <si>
    <t>小 計(3)</t>
  </si>
  <si>
    <t>計 (1)+(2)+(3)+(4)</t>
  </si>
  <si>
    <t>修理費係数の設定</t>
  </si>
  <si>
    <t>係数値</t>
  </si>
  <si>
    <t>負債利子計算</t>
  </si>
  <si>
    <t>全体</t>
  </si>
  <si>
    <t>建物・機械</t>
  </si>
  <si>
    <t>施設</t>
  </si>
  <si>
    <t>平均耐用年数</t>
  </si>
  <si>
    <t>①</t>
  </si>
  <si>
    <t>建物・施設</t>
  </si>
  <si>
    <t>平均負担価格</t>
  </si>
  <si>
    <t>建物</t>
  </si>
  <si>
    <t>②</t>
  </si>
  <si>
    <t>大農具</t>
  </si>
  <si>
    <t>投下固定資本中の借入資本比率</t>
  </si>
  <si>
    <t>借入資本額</t>
  </si>
  <si>
    <t>機械</t>
  </si>
  <si>
    <t>10a当たり借入資本額</t>
  </si>
  <si>
    <t>負債利子率</t>
  </si>
  <si>
    <t>10a当たり負債利子額</t>
  </si>
  <si>
    <t>作業期間</t>
  </si>
  <si>
    <t>原動機</t>
  </si>
  <si>
    <t>作業機械名
規格</t>
  </si>
  <si>
    <t>燃料</t>
  </si>
  <si>
    <t>備考</t>
  </si>
  <si>
    <t>基幹労働時間</t>
  </si>
  <si>
    <t>補助労働時間</t>
  </si>
  <si>
    <t>労働時間合計</t>
  </si>
  <si>
    <t>種類</t>
  </si>
  <si>
    <t>8月上旬</t>
  </si>
  <si>
    <t>軽油</t>
  </si>
  <si>
    <t>8月下旬</t>
  </si>
  <si>
    <t>ガソリン</t>
  </si>
  <si>
    <t>10月中旬</t>
  </si>
  <si>
    <t>9月下旬</t>
  </si>
  <si>
    <t>12月上旬</t>
  </si>
  <si>
    <t>11月上旬</t>
  </si>
  <si>
    <t>(10a当たり）</t>
  </si>
  <si>
    <t>科目</t>
  </si>
  <si>
    <t>名　称</t>
  </si>
  <si>
    <t>数量</t>
  </si>
  <si>
    <t>単位</t>
  </si>
  <si>
    <t>使用年数</t>
  </si>
  <si>
    <t>負担数量</t>
  </si>
  <si>
    <t>金　額</t>
  </si>
  <si>
    <t>使用濃度</t>
  </si>
  <si>
    <t>散布量</t>
  </si>
  <si>
    <t>散布回数</t>
  </si>
  <si>
    <t>参考使用量</t>
  </si>
  <si>
    <t>N成分率</t>
  </si>
  <si>
    <t>P成分率</t>
  </si>
  <si>
    <t>K成分率</t>
  </si>
  <si>
    <t>N成分量</t>
  </si>
  <si>
    <t>P成分量</t>
  </si>
  <si>
    <t>K成分量</t>
  </si>
  <si>
    <t>備    考</t>
  </si>
  <si>
    <t>肥料費</t>
  </si>
  <si>
    <t>土づくり肥料</t>
  </si>
  <si>
    <t>配合肥料</t>
  </si>
  <si>
    <t>種苗費</t>
  </si>
  <si>
    <t>種子</t>
  </si>
  <si>
    <t>袋</t>
  </si>
  <si>
    <t>農業薬剤費</t>
  </si>
  <si>
    <t>除草剤</t>
  </si>
  <si>
    <t>ml</t>
  </si>
  <si>
    <t>殺菌剤</t>
  </si>
  <si>
    <t>g</t>
  </si>
  <si>
    <t>殺虫剤</t>
  </si>
  <si>
    <t>通年</t>
  </si>
  <si>
    <t>管理費用</t>
  </si>
  <si>
    <t>保険料・共済掛金</t>
  </si>
  <si>
    <t>年間</t>
  </si>
  <si>
    <t>農業用租税公課</t>
  </si>
  <si>
    <t>粗収益</t>
  </si>
  <si>
    <t>主産物</t>
  </si>
  <si>
    <t>Kg</t>
  </si>
  <si>
    <t>諸材料費</t>
  </si>
  <si>
    <t>その他資材</t>
  </si>
  <si>
    <t>個</t>
  </si>
  <si>
    <t>賃借料・利用料</t>
  </si>
  <si>
    <t>施設・機械等リース料</t>
  </si>
  <si>
    <t>回</t>
  </si>
  <si>
    <t>土地改良・水利費</t>
  </si>
  <si>
    <t>水利費</t>
  </si>
  <si>
    <t>支払地代</t>
  </si>
  <si>
    <t>事務費</t>
  </si>
  <si>
    <t>販売費用</t>
  </si>
  <si>
    <t>運賃</t>
  </si>
  <si>
    <t>雇用労働費</t>
  </si>
  <si>
    <t>時間</t>
  </si>
  <si>
    <t>２．作業体系及び労働時間（10a当たり）</t>
  </si>
  <si>
    <t>単位：時間</t>
  </si>
  <si>
    <t>月　別</t>
  </si>
  <si>
    <t>合計</t>
  </si>
  <si>
    <t>上</t>
  </si>
  <si>
    <t>中</t>
  </si>
  <si>
    <t>下</t>
  </si>
  <si>
    <t>―――</t>
  </si>
  <si>
    <t>基幹労働</t>
  </si>
  <si>
    <t>補助労働</t>
  </si>
  <si>
    <t>基幹＋補助</t>
  </si>
  <si>
    <t>区分</t>
  </si>
  <si>
    <t>10a当り</t>
  </si>
  <si>
    <t>算  出  基  礎(10a当り)</t>
  </si>
  <si>
    <t>主  産  物</t>
  </si>
  <si>
    <t>副 産 物 等</t>
  </si>
  <si>
    <t xml:space="preserve">  合  計  (A)</t>
  </si>
  <si>
    <t>生産費用</t>
  </si>
  <si>
    <t>農薬費</t>
  </si>
  <si>
    <t>動力・光熱費</t>
  </si>
  <si>
    <t>農具費</t>
  </si>
  <si>
    <t>農機具修繕費</t>
  </si>
  <si>
    <t>小計</t>
  </si>
  <si>
    <t>手数料</t>
  </si>
  <si>
    <t>包装資材</t>
  </si>
  <si>
    <t>選果料</t>
  </si>
  <si>
    <t>その他</t>
  </si>
  <si>
    <t>支払利子</t>
  </si>
  <si>
    <t>合計　(B)</t>
  </si>
  <si>
    <t>台</t>
  </si>
  <si>
    <t>固定区分</t>
  </si>
  <si>
    <t>副産物</t>
  </si>
  <si>
    <t>奨励金</t>
  </si>
  <si>
    <t>苗</t>
  </si>
  <si>
    <t>その他種苗</t>
  </si>
  <si>
    <t>変動</t>
  </si>
  <si>
    <t>堆肥,有機質肥料</t>
  </si>
  <si>
    <t>微量要素</t>
  </si>
  <si>
    <t>液肥</t>
  </si>
  <si>
    <t>その他肥料</t>
  </si>
  <si>
    <t>殺虫殺菌剤</t>
  </si>
  <si>
    <t>成長調整剤</t>
  </si>
  <si>
    <t>その他農薬</t>
  </si>
  <si>
    <t>Ａ重油</t>
  </si>
  <si>
    <t>電気料</t>
  </si>
  <si>
    <t>畑潅水使用料</t>
  </si>
  <si>
    <t>混合油</t>
  </si>
  <si>
    <t>灯油</t>
  </si>
  <si>
    <t>水道</t>
  </si>
  <si>
    <t>育苗資材</t>
  </si>
  <si>
    <t>被覆資材</t>
  </si>
  <si>
    <t>誘引用資材</t>
  </si>
  <si>
    <t>ハウス被覆資材</t>
  </si>
  <si>
    <t>小農具</t>
  </si>
  <si>
    <t>その他農具</t>
  </si>
  <si>
    <t>修理費</t>
  </si>
  <si>
    <t>土地改良費</t>
  </si>
  <si>
    <t>賃借料</t>
  </si>
  <si>
    <t>利用料</t>
  </si>
  <si>
    <t>その他料金</t>
  </si>
  <si>
    <t>固定</t>
  </si>
  <si>
    <t>その他販売</t>
  </si>
  <si>
    <t>研修費</t>
  </si>
  <si>
    <t>通信費</t>
  </si>
  <si>
    <t>作業用衣料費</t>
  </si>
  <si>
    <t>その他管理</t>
  </si>
  <si>
    <t>月旬</t>
  </si>
  <si>
    <t>燃料種類</t>
  </si>
  <si>
    <t>1月上旬</t>
  </si>
  <si>
    <t>1月中旬</t>
  </si>
  <si>
    <t>t</t>
  </si>
  <si>
    <t>1月下旬</t>
  </si>
  <si>
    <t>不明</t>
  </si>
  <si>
    <t>2月上旬</t>
  </si>
  <si>
    <t>2月中旬</t>
  </si>
  <si>
    <t>ﾘｯﾄﾙ</t>
  </si>
  <si>
    <t>動力光熱費</t>
  </si>
  <si>
    <t>2月下旬</t>
  </si>
  <si>
    <t>錠</t>
  </si>
  <si>
    <t>3月上旬</t>
  </si>
  <si>
    <t>m</t>
  </si>
  <si>
    <t>3月中旬</t>
  </si>
  <si>
    <t>cc</t>
  </si>
  <si>
    <t>3月下旬</t>
  </si>
  <si>
    <t>mg</t>
  </si>
  <si>
    <t>4月上旬</t>
  </si>
  <si>
    <t>本</t>
  </si>
  <si>
    <t>販売経費</t>
  </si>
  <si>
    <t>4月中旬</t>
  </si>
  <si>
    <t>4月下旬</t>
  </si>
  <si>
    <t>kw</t>
  </si>
  <si>
    <t>その他（変動）</t>
  </si>
  <si>
    <t>5月上旬</t>
  </si>
  <si>
    <t>その他（固定）</t>
  </si>
  <si>
    <t>5月中旬</t>
  </si>
  <si>
    <t>箱</t>
  </si>
  <si>
    <t>5月下旬</t>
  </si>
  <si>
    <t>円</t>
  </si>
  <si>
    <t>6月上旬</t>
  </si>
  <si>
    <t>枚</t>
  </si>
  <si>
    <t>6月中旬</t>
  </si>
  <si>
    <t>組</t>
  </si>
  <si>
    <t>6月下旬</t>
  </si>
  <si>
    <t>7月上旬</t>
  </si>
  <si>
    <t>巻</t>
  </si>
  <si>
    <t>7月中旬</t>
  </si>
  <si>
    <t>7月下旬</t>
  </si>
  <si>
    <t>8月中旬</t>
  </si>
  <si>
    <t>Kg（本鉢・個）／10a</t>
  </si>
  <si>
    <t>箱／10a</t>
  </si>
  <si>
    <t>9月上旬</t>
  </si>
  <si>
    <t>円／10a</t>
  </si>
  <si>
    <t>9月中旬</t>
  </si>
  <si>
    <t>円／Kg（本鉢・個）</t>
  </si>
  <si>
    <t>10月上旬</t>
  </si>
  <si>
    <t>円／箱</t>
  </si>
  <si>
    <t>10月下旬</t>
  </si>
  <si>
    <t>11月中旬</t>
  </si>
  <si>
    <t>11月下旬</t>
  </si>
  <si>
    <t>12月中旬</t>
  </si>
  <si>
    <t>12月下旬</t>
  </si>
  <si>
    <t>基幹労働</t>
    <rPh sb="0" eb="2">
      <t>キカン</t>
    </rPh>
    <rPh sb="2" eb="4">
      <t>ロウドウ</t>
    </rPh>
    <phoneticPr fontId="14"/>
  </si>
  <si>
    <t>補助労働</t>
    <rPh sb="0" eb="2">
      <t>ホジョ</t>
    </rPh>
    <rPh sb="2" eb="4">
      <t>ロウドウ</t>
    </rPh>
    <phoneticPr fontId="14"/>
  </si>
  <si>
    <t>労働費（①）</t>
    <phoneticPr fontId="14"/>
  </si>
  <si>
    <t>支払地代（②）</t>
    <phoneticPr fontId="14"/>
  </si>
  <si>
    <t>利　　潤 (A-B=③)</t>
    <rPh sb="0" eb="1">
      <t>リ</t>
    </rPh>
    <rPh sb="3" eb="4">
      <t>ジュン</t>
    </rPh>
    <phoneticPr fontId="14"/>
  </si>
  <si>
    <t>構成員還元額（①＋②＋③）</t>
    <rPh sb="0" eb="3">
      <t>コウセイイン</t>
    </rPh>
    <rPh sb="3" eb="5">
      <t>カンゲン</t>
    </rPh>
    <rPh sb="5" eb="6">
      <t>ガク</t>
    </rPh>
    <phoneticPr fontId="14"/>
  </si>
  <si>
    <t>経営収支</t>
    <phoneticPr fontId="14"/>
  </si>
  <si>
    <t>経　営　費</t>
    <phoneticPr fontId="14"/>
  </si>
  <si>
    <t>アメダスポイント名</t>
    <rPh sb="8" eb="9">
      <t>メイ</t>
    </rPh>
    <phoneticPr fontId="14"/>
  </si>
  <si>
    <t>01岩国</t>
  </si>
  <si>
    <t>02柳井</t>
  </si>
  <si>
    <t>03玖珂</t>
  </si>
  <si>
    <t>04下松</t>
  </si>
  <si>
    <t>05防府</t>
  </si>
  <si>
    <t>06山口</t>
  </si>
  <si>
    <t>07秋吉台</t>
  </si>
  <si>
    <t>14須佐</t>
  </si>
  <si>
    <t>08宇部</t>
  </si>
  <si>
    <t>13徳佐</t>
  </si>
  <si>
    <t>12萩</t>
  </si>
  <si>
    <t>11油谷</t>
  </si>
  <si>
    <t>10豊田</t>
  </si>
  <si>
    <t>09下関</t>
  </si>
  <si>
    <t>支払利子</t>
    <rPh sb="0" eb="2">
      <t>シハライ</t>
    </rPh>
    <phoneticPr fontId="14"/>
  </si>
  <si>
    <t>技術・作型</t>
    <rPh sb="0" eb="2">
      <t>ギジュツ</t>
    </rPh>
    <phoneticPr fontId="14"/>
  </si>
  <si>
    <t>作業名</t>
    <rPh sb="0" eb="2">
      <t>サギョウ</t>
    </rPh>
    <rPh sb="2" eb="3">
      <t>メイ</t>
    </rPh>
    <phoneticPr fontId="14"/>
  </si>
  <si>
    <t>作業体系</t>
    <rPh sb="0" eb="2">
      <t>サギョウ</t>
    </rPh>
    <rPh sb="2" eb="4">
      <t>タイケイ</t>
    </rPh>
    <phoneticPr fontId="14"/>
  </si>
  <si>
    <t>収支データ入力</t>
    <phoneticPr fontId="14"/>
  </si>
  <si>
    <t>飼料費</t>
    <rPh sb="0" eb="2">
      <t>シリョウ</t>
    </rPh>
    <rPh sb="2" eb="3">
      <t>ヒ</t>
    </rPh>
    <phoneticPr fontId="14"/>
  </si>
  <si>
    <t>素畜費</t>
    <rPh sb="0" eb="1">
      <t>モト</t>
    </rPh>
    <rPh sb="1" eb="2">
      <t>チク</t>
    </rPh>
    <rPh sb="2" eb="3">
      <t>ヒ</t>
    </rPh>
    <phoneticPr fontId="14"/>
  </si>
  <si>
    <t>敷料費</t>
    <rPh sb="0" eb="1">
      <t>シ</t>
    </rPh>
    <rPh sb="1" eb="2">
      <t>リョウ</t>
    </rPh>
    <rPh sb="2" eb="3">
      <t>ヒ</t>
    </rPh>
    <phoneticPr fontId="14"/>
  </si>
  <si>
    <t>種付料</t>
    <rPh sb="0" eb="2">
      <t>タネツケ</t>
    </rPh>
    <rPh sb="2" eb="3">
      <t>リョウ</t>
    </rPh>
    <phoneticPr fontId="14"/>
  </si>
  <si>
    <t>診療・医薬品費</t>
    <rPh sb="0" eb="2">
      <t>シンリョウ</t>
    </rPh>
    <rPh sb="3" eb="6">
      <t>イヤクヒン</t>
    </rPh>
    <rPh sb="6" eb="7">
      <t>ヒ</t>
    </rPh>
    <phoneticPr fontId="14"/>
  </si>
  <si>
    <t>出荷運賃</t>
  </si>
  <si>
    <t>ＪＡ手数料</t>
  </si>
  <si>
    <t>全農手数料</t>
  </si>
  <si>
    <t>市場手数料</t>
  </si>
  <si>
    <t>機　械</t>
    <rPh sb="0" eb="1">
      <t>キ</t>
    </rPh>
    <rPh sb="2" eb="3">
      <t>カイ</t>
    </rPh>
    <phoneticPr fontId="14"/>
  </si>
  <si>
    <t/>
  </si>
  <si>
    <t>計</t>
    <rPh sb="0" eb="1">
      <t>ケイ</t>
    </rPh>
    <phoneticPr fontId="14"/>
  </si>
  <si>
    <t>基幹労働
人数</t>
    <rPh sb="0" eb="2">
      <t>キカン</t>
    </rPh>
    <rPh sb="2" eb="4">
      <t>ロウドウ</t>
    </rPh>
    <rPh sb="5" eb="7">
      <t>ニンズウ</t>
    </rPh>
    <phoneticPr fontId="14"/>
  </si>
  <si>
    <t>補助労働
人数</t>
    <rPh sb="0" eb="2">
      <t>ホジョ</t>
    </rPh>
    <rPh sb="2" eb="4">
      <t>ロウドウ</t>
    </rPh>
    <rPh sb="5" eb="7">
      <t>ニンズウ</t>
    </rPh>
    <phoneticPr fontId="14"/>
  </si>
  <si>
    <t>労働時間</t>
    <rPh sb="0" eb="2">
      <t>ロウドウ</t>
    </rPh>
    <rPh sb="2" eb="4">
      <t>ジカン</t>
    </rPh>
    <phoneticPr fontId="14"/>
  </si>
  <si>
    <t>基幹労働</t>
    <phoneticPr fontId="14"/>
  </si>
  <si>
    <t>補助労働</t>
    <phoneticPr fontId="14"/>
  </si>
  <si>
    <t>その他燃料</t>
    <phoneticPr fontId="14"/>
  </si>
  <si>
    <t>灯油</t>
    <rPh sb="0" eb="2">
      <t>トウユ</t>
    </rPh>
    <phoneticPr fontId="14"/>
  </si>
  <si>
    <t>[EI]</t>
    <phoneticPr fontId="14"/>
  </si>
  <si>
    <t>SpaceFor</t>
    <phoneticPr fontId="14"/>
  </si>
  <si>
    <t>Comment</t>
    <phoneticPr fontId="14"/>
  </si>
  <si>
    <t>Ver3.25</t>
    <phoneticPr fontId="14"/>
  </si>
  <si>
    <t>経営指標の概要</t>
    <rPh sb="0" eb="2">
      <t>ケイエイ</t>
    </rPh>
    <rPh sb="2" eb="4">
      <t>シヒョウ</t>
    </rPh>
    <rPh sb="5" eb="7">
      <t>ガイヨウ</t>
    </rPh>
    <phoneticPr fontId="14"/>
  </si>
  <si>
    <t>No.</t>
    <phoneticPr fontId="14"/>
  </si>
  <si>
    <t>地域</t>
    <phoneticPr fontId="14"/>
  </si>
  <si>
    <t>作目</t>
    <phoneticPr fontId="14"/>
  </si>
  <si>
    <t>作型・品種など</t>
    <phoneticPr fontId="14"/>
  </si>
  <si>
    <t>10ａ当たり粗収益 (円、kg)</t>
    <rPh sb="6" eb="7">
      <t>ソ</t>
    </rPh>
    <rPh sb="7" eb="9">
      <t>シュウエキ</t>
    </rPh>
    <phoneticPr fontId="14"/>
  </si>
  <si>
    <t>10ａ当たり作業労働時間 (時間)</t>
    <phoneticPr fontId="14"/>
  </si>
  <si>
    <t>土地利用</t>
    <rPh sb="0" eb="4">
      <t>トチリヨウ</t>
    </rPh>
    <phoneticPr fontId="14"/>
  </si>
  <si>
    <t>単位収量</t>
    <phoneticPr fontId="14"/>
  </si>
  <si>
    <t>１月上</t>
    <phoneticPr fontId="14"/>
  </si>
  <si>
    <t>７月上</t>
    <phoneticPr fontId="14"/>
  </si>
  <si>
    <t>作付地目</t>
    <phoneticPr fontId="14"/>
  </si>
  <si>
    <t>単価</t>
    <phoneticPr fontId="14"/>
  </si>
  <si>
    <t>１月中</t>
    <phoneticPr fontId="14"/>
  </si>
  <si>
    <t>７月中</t>
    <phoneticPr fontId="14"/>
  </si>
  <si>
    <t>主食用米</t>
    <rPh sb="0" eb="3">
      <t>シュショクヨウ</t>
    </rPh>
    <rPh sb="3" eb="4">
      <t>コメ</t>
    </rPh>
    <phoneticPr fontId="14"/>
  </si>
  <si>
    <t>その他の収益</t>
    <phoneticPr fontId="14"/>
  </si>
  <si>
    <t>１月下</t>
    <phoneticPr fontId="14"/>
  </si>
  <si>
    <t>７月下</t>
    <phoneticPr fontId="14"/>
  </si>
  <si>
    <t>圃場利用/始</t>
    <phoneticPr fontId="14"/>
  </si>
  <si>
    <t>合計</t>
    <phoneticPr fontId="14"/>
  </si>
  <si>
    <t>２月上</t>
    <phoneticPr fontId="14"/>
  </si>
  <si>
    <t>８月上</t>
    <phoneticPr fontId="14"/>
  </si>
  <si>
    <t>圃場利用/終</t>
    <phoneticPr fontId="14"/>
  </si>
  <si>
    <t>10ａ当たり変動費 (円)</t>
    <rPh sb="6" eb="9">
      <t>ヘンドウヒ</t>
    </rPh>
    <phoneticPr fontId="14"/>
  </si>
  <si>
    <t>２月中</t>
    <phoneticPr fontId="14"/>
  </si>
  <si>
    <t>８月中</t>
    <phoneticPr fontId="14"/>
  </si>
  <si>
    <t>作付下限</t>
    <phoneticPr fontId="14"/>
  </si>
  <si>
    <t>種苗費</t>
    <phoneticPr fontId="14"/>
  </si>
  <si>
    <t>２月下</t>
    <phoneticPr fontId="14"/>
  </si>
  <si>
    <t>８月下</t>
    <phoneticPr fontId="14"/>
  </si>
  <si>
    <t>作付上限</t>
    <phoneticPr fontId="14"/>
  </si>
  <si>
    <t>肥料費</t>
    <phoneticPr fontId="14"/>
  </si>
  <si>
    <t>３月上</t>
    <phoneticPr fontId="14"/>
  </si>
  <si>
    <t>９月上</t>
    <phoneticPr fontId="14"/>
  </si>
  <si>
    <t>農薬衛生費</t>
    <phoneticPr fontId="14"/>
  </si>
  <si>
    <t>３月中</t>
    <phoneticPr fontId="14"/>
  </si>
  <si>
    <t>９月中</t>
    <phoneticPr fontId="14"/>
  </si>
  <si>
    <t>光熱動力費</t>
    <phoneticPr fontId="14"/>
  </si>
  <si>
    <t>３月下</t>
    <phoneticPr fontId="14"/>
  </si>
  <si>
    <t>９月下</t>
    <phoneticPr fontId="14"/>
  </si>
  <si>
    <t>その他の諸材料費</t>
    <phoneticPr fontId="14"/>
  </si>
  <si>
    <t>４月上</t>
    <phoneticPr fontId="14"/>
  </si>
  <si>
    <t>10月上</t>
    <phoneticPr fontId="14"/>
  </si>
  <si>
    <t>土地改良・水利費</t>
    <phoneticPr fontId="14"/>
  </si>
  <si>
    <t>４月中</t>
    <phoneticPr fontId="14"/>
  </si>
  <si>
    <t>10月中</t>
    <phoneticPr fontId="14"/>
  </si>
  <si>
    <t>賃借料・料金</t>
    <phoneticPr fontId="14"/>
  </si>
  <si>
    <t>４月下</t>
    <phoneticPr fontId="14"/>
  </si>
  <si>
    <t>10月下</t>
    <phoneticPr fontId="14"/>
  </si>
  <si>
    <t>荷造運賃手数料</t>
    <phoneticPr fontId="14"/>
  </si>
  <si>
    <t>５月上</t>
    <phoneticPr fontId="14"/>
  </si>
  <si>
    <t>11月上</t>
    <phoneticPr fontId="14"/>
  </si>
  <si>
    <t>その他の費用</t>
    <phoneticPr fontId="14"/>
  </si>
  <si>
    <t>５月中</t>
    <phoneticPr fontId="14"/>
  </si>
  <si>
    <t>11月中</t>
    <phoneticPr fontId="14"/>
  </si>
  <si>
    <t>５月下</t>
    <phoneticPr fontId="14"/>
  </si>
  <si>
    <t>11月下</t>
    <phoneticPr fontId="14"/>
  </si>
  <si>
    <t>６月上</t>
    <phoneticPr fontId="14"/>
  </si>
  <si>
    <t>12月上</t>
    <phoneticPr fontId="14"/>
  </si>
  <si>
    <t>比例利益 (利益係数)</t>
    <rPh sb="0" eb="2">
      <t>ヒレイ</t>
    </rPh>
    <rPh sb="6" eb="8">
      <t>リエキ</t>
    </rPh>
    <rPh sb="8" eb="10">
      <t>ケイスウ</t>
    </rPh>
    <phoneticPr fontId="14"/>
  </si>
  <si>
    <t>６月中</t>
    <phoneticPr fontId="14"/>
  </si>
  <si>
    <t>12月中</t>
    <phoneticPr fontId="14"/>
  </si>
  <si>
    <t>する</t>
  </si>
  <si>
    <t>６月下</t>
    <phoneticPr fontId="14"/>
  </si>
  <si>
    <t>12月下</t>
    <phoneticPr fontId="14"/>
  </si>
  <si>
    <t>入力方法</t>
    <rPh sb="0" eb="2">
      <t>ニュウリョク</t>
    </rPh>
    <rPh sb="2" eb="4">
      <t>ホウホウ</t>
    </rPh>
    <phoneticPr fontId="14"/>
  </si>
  <si>
    <t>セルの色</t>
    <rPh sb="3" eb="4">
      <t>イロ</t>
    </rPh>
    <phoneticPr fontId="14"/>
  </si>
  <si>
    <t>手入力</t>
    <rPh sb="0" eb="1">
      <t>テ</t>
    </rPh>
    <rPh sb="1" eb="3">
      <t>ニュウリョク</t>
    </rPh>
    <phoneticPr fontId="14"/>
  </si>
  <si>
    <t>リストから選択</t>
    <rPh sb="5" eb="7">
      <t>センタク</t>
    </rPh>
    <phoneticPr fontId="14"/>
  </si>
  <si>
    <t>自動計算(手入力しないでください)</t>
    <rPh sb="0" eb="2">
      <t>ジドウ</t>
    </rPh>
    <rPh sb="2" eb="4">
      <t>ケイサン</t>
    </rPh>
    <rPh sb="5" eb="6">
      <t>テ</t>
    </rPh>
    <rPh sb="6" eb="8">
      <t>ニュウリョク</t>
    </rPh>
    <phoneticPr fontId="14"/>
  </si>
  <si>
    <t>シートの色</t>
    <rPh sb="4" eb="5">
      <t>イロ</t>
    </rPh>
    <phoneticPr fontId="14"/>
  </si>
  <si>
    <t>必要事項を入力してください</t>
    <rPh sb="0" eb="2">
      <t>ヒツヨウ</t>
    </rPh>
    <rPh sb="2" eb="4">
      <t>ジコウ</t>
    </rPh>
    <rPh sb="5" eb="7">
      <t>ニュウリョク</t>
    </rPh>
    <phoneticPr fontId="14"/>
  </si>
  <si>
    <t>結果が反映されます</t>
    <rPh sb="0" eb="2">
      <t>ケッカ</t>
    </rPh>
    <rPh sb="3" eb="5">
      <t>ハンエイ</t>
    </rPh>
    <phoneticPr fontId="14"/>
  </si>
  <si>
    <t>参考</t>
    <rPh sb="0" eb="2">
      <t>サンコウ</t>
    </rPh>
    <phoneticPr fontId="14"/>
  </si>
  <si>
    <t>当たり労働時間（単位：時間）</t>
    <rPh sb="0" eb="1">
      <t>ア</t>
    </rPh>
    <rPh sb="3" eb="5">
      <t>ロウドウ</t>
    </rPh>
    <rPh sb="5" eb="7">
      <t>ジカン</t>
    </rPh>
    <rPh sb="8" eb="10">
      <t>タンイ</t>
    </rPh>
    <rPh sb="11" eb="13">
      <t>ジカン</t>
    </rPh>
    <phoneticPr fontId="14"/>
  </si>
  <si>
    <t>必要となる労働時間の合計</t>
    <rPh sb="0" eb="2">
      <t>ヒツヨウ</t>
    </rPh>
    <rPh sb="5" eb="7">
      <t>ロウドウ</t>
    </rPh>
    <rPh sb="7" eb="9">
      <t>ジカン</t>
    </rPh>
    <rPh sb="10" eb="12">
      <t>ゴウケイ</t>
    </rPh>
    <phoneticPr fontId="14"/>
  </si>
  <si>
    <t>余剰または不足労力</t>
    <rPh sb="0" eb="2">
      <t>ヨジョウ</t>
    </rPh>
    <rPh sb="5" eb="7">
      <t>フソク</t>
    </rPh>
    <rPh sb="7" eb="9">
      <t>ロウリョク</t>
    </rPh>
    <phoneticPr fontId="14"/>
  </si>
  <si>
    <t>ａ</t>
    <phoneticPr fontId="14"/>
  </si>
  <si>
    <t>自家労力の上限</t>
    <rPh sb="0" eb="2">
      <t>ジカ</t>
    </rPh>
    <rPh sb="2" eb="4">
      <t>ロウリョク</t>
    </rPh>
    <rPh sb="5" eb="7">
      <t>ジョウゲン</t>
    </rPh>
    <phoneticPr fontId="14"/>
  </si>
  <si>
    <t>月</t>
    <rPh sb="0" eb="1">
      <t>ツキ</t>
    </rPh>
    <phoneticPr fontId="14"/>
  </si>
  <si>
    <t>粗収益(円/10a）</t>
    <rPh sb="4" eb="5">
      <t>エン</t>
    </rPh>
    <phoneticPr fontId="14"/>
  </si>
  <si>
    <t>合計</t>
    <rPh sb="0" eb="2">
      <t>ゴウケイ</t>
    </rPh>
    <phoneticPr fontId="14"/>
  </si>
  <si>
    <t>②償却資産　建物　年修理費（10a当り）</t>
    <rPh sb="1" eb="3">
      <t>ショウキャク</t>
    </rPh>
    <rPh sb="3" eb="5">
      <t>シサン</t>
    </rPh>
    <rPh sb="6" eb="8">
      <t>タテモノ</t>
    </rPh>
    <rPh sb="9" eb="10">
      <t>ネン</t>
    </rPh>
    <rPh sb="10" eb="13">
      <t>シュウリヒ</t>
    </rPh>
    <rPh sb="17" eb="18">
      <t>ア</t>
    </rPh>
    <phoneticPr fontId="14"/>
  </si>
  <si>
    <t>施設修繕費</t>
    <rPh sb="0" eb="2">
      <t>シセツ</t>
    </rPh>
    <phoneticPr fontId="14"/>
  </si>
  <si>
    <t>②償却資産　施設　年修理費（10a当り）</t>
    <rPh sb="1" eb="3">
      <t>ショウキャク</t>
    </rPh>
    <rPh sb="3" eb="5">
      <t>シサン</t>
    </rPh>
    <rPh sb="6" eb="8">
      <t>シセツ</t>
    </rPh>
    <rPh sb="9" eb="10">
      <t>ネン</t>
    </rPh>
    <rPh sb="10" eb="13">
      <t>シュウリヒ</t>
    </rPh>
    <rPh sb="17" eb="18">
      <t>ア</t>
    </rPh>
    <phoneticPr fontId="14"/>
  </si>
  <si>
    <t>②償却資産　機械　年修理費（10a当り）</t>
    <rPh sb="1" eb="3">
      <t>ショウキャク</t>
    </rPh>
    <rPh sb="3" eb="5">
      <t>シサン</t>
    </rPh>
    <rPh sb="6" eb="8">
      <t>キカイ</t>
    </rPh>
    <rPh sb="9" eb="10">
      <t>ネン</t>
    </rPh>
    <rPh sb="10" eb="13">
      <t>シュウリヒ</t>
    </rPh>
    <rPh sb="17" eb="18">
      <t>ア</t>
    </rPh>
    <phoneticPr fontId="14"/>
  </si>
  <si>
    <t>修繕費</t>
    <rPh sb="0" eb="3">
      <t>シュウゼンヒ</t>
    </rPh>
    <phoneticPr fontId="14"/>
  </si>
  <si>
    <t>減価償却費</t>
    <rPh sb="0" eb="2">
      <t>ゲンカ</t>
    </rPh>
    <rPh sb="2" eb="4">
      <t>ショウキャク</t>
    </rPh>
    <rPh sb="4" eb="5">
      <t>ヒ</t>
    </rPh>
    <phoneticPr fontId="14"/>
  </si>
  <si>
    <t>施設</t>
    <rPh sb="0" eb="2">
      <t>シセツ</t>
    </rPh>
    <phoneticPr fontId="14"/>
  </si>
  <si>
    <t>農機具</t>
    <phoneticPr fontId="14"/>
  </si>
  <si>
    <t>大植物</t>
    <rPh sb="0" eb="1">
      <t>ダイ</t>
    </rPh>
    <rPh sb="1" eb="3">
      <t>ショクブツ</t>
    </rPh>
    <phoneticPr fontId="14"/>
  </si>
  <si>
    <t>②償却資産　建物　年償却費（10a当り）</t>
    <rPh sb="1" eb="3">
      <t>ショウキャク</t>
    </rPh>
    <rPh sb="3" eb="5">
      <t>シサン</t>
    </rPh>
    <rPh sb="6" eb="8">
      <t>タテモノ</t>
    </rPh>
    <rPh sb="9" eb="10">
      <t>ネン</t>
    </rPh>
    <rPh sb="10" eb="12">
      <t>ショウキャク</t>
    </rPh>
    <rPh sb="12" eb="13">
      <t>ヒ</t>
    </rPh>
    <rPh sb="17" eb="18">
      <t>ア</t>
    </rPh>
    <phoneticPr fontId="14"/>
  </si>
  <si>
    <t>想定規模(ha)</t>
    <phoneticPr fontId="14"/>
  </si>
  <si>
    <t>作業
回数</t>
    <phoneticPr fontId="14"/>
  </si>
  <si>
    <t>時間当り消費量</t>
    <phoneticPr fontId="14"/>
  </si>
  <si>
    <t>10a当り
消費量</t>
    <phoneticPr fontId="14"/>
  </si>
  <si>
    <t>農具費</t>
    <rPh sb="0" eb="2">
      <t>ノウグ</t>
    </rPh>
    <rPh sb="2" eb="3">
      <t>ヒ</t>
    </rPh>
    <phoneticPr fontId="14"/>
  </si>
  <si>
    <t>賃借料・利用料</t>
    <phoneticPr fontId="14"/>
  </si>
  <si>
    <t>労働配分</t>
    <rPh sb="0" eb="2">
      <t>ロウドウ</t>
    </rPh>
    <rPh sb="2" eb="4">
      <t>ハイブン</t>
    </rPh>
    <phoneticPr fontId="14"/>
  </si>
  <si>
    <t>建物修繕費</t>
    <phoneticPr fontId="14"/>
  </si>
  <si>
    <t>建物</t>
    <phoneticPr fontId="14"/>
  </si>
  <si>
    <t>時給(イ)</t>
    <rPh sb="0" eb="2">
      <t>ジキュウ</t>
    </rPh>
    <phoneticPr fontId="14"/>
  </si>
  <si>
    <t>労働費(ア)×(イ)</t>
    <rPh sb="0" eb="3">
      <t>ロウドウヒ</t>
    </rPh>
    <phoneticPr fontId="14"/>
  </si>
  <si>
    <t>粗収益</t>
    <rPh sb="0" eb="1">
      <t>ソ</t>
    </rPh>
    <rPh sb="1" eb="3">
      <t>シュウエキ</t>
    </rPh>
    <phoneticPr fontId="14"/>
  </si>
  <si>
    <t>通年</t>
    <rPh sb="0" eb="2">
      <t>ツウネン</t>
    </rPh>
    <phoneticPr fontId="14"/>
  </si>
  <si>
    <t>副産物
(円/10a)</t>
    <rPh sb="0" eb="3">
      <t>フクサンブツ</t>
    </rPh>
    <rPh sb="5" eb="6">
      <t>エン</t>
    </rPh>
    <phoneticPr fontId="14"/>
  </si>
  <si>
    <t>その他奨励金
(円/10a)</t>
    <rPh sb="2" eb="3">
      <t>タ</t>
    </rPh>
    <rPh sb="3" eb="6">
      <t>ショウレイキン</t>
    </rPh>
    <rPh sb="8" eb="9">
      <t>エン</t>
    </rPh>
    <phoneticPr fontId="14"/>
  </si>
  <si>
    <t>その他奨励金</t>
    <rPh sb="2" eb="3">
      <t>タ</t>
    </rPh>
    <rPh sb="3" eb="6">
      <t>ショウレイキン</t>
    </rPh>
    <phoneticPr fontId="14"/>
  </si>
  <si>
    <t>④収入　粗収益</t>
    <rPh sb="1" eb="3">
      <t>シュウニュウ</t>
    </rPh>
    <rPh sb="4" eb="5">
      <t>ソ</t>
    </rPh>
    <rPh sb="5" eb="7">
      <t>シュウエキ</t>
    </rPh>
    <phoneticPr fontId="14"/>
  </si>
  <si>
    <t>④収入　副産物</t>
    <rPh sb="1" eb="3">
      <t>シュウニュウ</t>
    </rPh>
    <rPh sb="4" eb="7">
      <t>フクサンブツ</t>
    </rPh>
    <phoneticPr fontId="14"/>
  </si>
  <si>
    <t>④収入　その他奨励金</t>
    <rPh sb="1" eb="3">
      <t>シュウニュウ</t>
    </rPh>
    <rPh sb="6" eb="7">
      <t>タ</t>
    </rPh>
    <rPh sb="7" eb="10">
      <t>ショウレイキン</t>
    </rPh>
    <phoneticPr fontId="14"/>
  </si>
  <si>
    <t>⑤支出　種苗費</t>
    <rPh sb="1" eb="3">
      <t>シシュツ</t>
    </rPh>
    <rPh sb="4" eb="6">
      <t>シュビョウ</t>
    </rPh>
    <rPh sb="6" eb="7">
      <t>ヒ</t>
    </rPh>
    <phoneticPr fontId="14"/>
  </si>
  <si>
    <t>⑤支出　肥料費</t>
    <rPh sb="1" eb="3">
      <t>シシュツ</t>
    </rPh>
    <rPh sb="4" eb="6">
      <t>ヒリョウ</t>
    </rPh>
    <rPh sb="6" eb="7">
      <t>ヒ</t>
    </rPh>
    <phoneticPr fontId="14"/>
  </si>
  <si>
    <t>⑤支出　農業薬剤費</t>
    <rPh sb="1" eb="3">
      <t>シシュツ</t>
    </rPh>
    <rPh sb="4" eb="6">
      <t>ノウギョウ</t>
    </rPh>
    <rPh sb="6" eb="9">
      <t>ヤクザイヒ</t>
    </rPh>
    <phoneticPr fontId="14"/>
  </si>
  <si>
    <t>⑤支出　動力光熱費</t>
    <rPh sb="1" eb="3">
      <t>シシュツ</t>
    </rPh>
    <rPh sb="4" eb="6">
      <t>ドウリョク</t>
    </rPh>
    <rPh sb="6" eb="9">
      <t>コウネツヒ</t>
    </rPh>
    <phoneticPr fontId="14"/>
  </si>
  <si>
    <t>⑤支出　諸材料費</t>
    <rPh sb="1" eb="3">
      <t>シシュツ</t>
    </rPh>
    <rPh sb="4" eb="5">
      <t>ショ</t>
    </rPh>
    <rPh sb="5" eb="8">
      <t>ザイリョウヒ</t>
    </rPh>
    <phoneticPr fontId="14"/>
  </si>
  <si>
    <t>⑤支出　農具費</t>
    <rPh sb="1" eb="3">
      <t>シシュツ</t>
    </rPh>
    <rPh sb="4" eb="6">
      <t>ノウグ</t>
    </rPh>
    <rPh sb="6" eb="7">
      <t>ヒ</t>
    </rPh>
    <phoneticPr fontId="14"/>
  </si>
  <si>
    <t>⑤支出　賃借料・利用料</t>
    <rPh sb="1" eb="3">
      <t>シシュツ</t>
    </rPh>
    <rPh sb="4" eb="7">
      <t>チンシャクリョウ</t>
    </rPh>
    <rPh sb="8" eb="11">
      <t>リヨウリョウ</t>
    </rPh>
    <phoneticPr fontId="14"/>
  </si>
  <si>
    <t>土地改良・水利費</t>
    <phoneticPr fontId="14"/>
  </si>
  <si>
    <t>⑤支出　土地改良・水利費</t>
    <rPh sb="1" eb="3">
      <t>シシュツ</t>
    </rPh>
    <phoneticPr fontId="14"/>
  </si>
  <si>
    <t>土地改良
・水利費</t>
    <phoneticPr fontId="14"/>
  </si>
  <si>
    <t>支払地代</t>
    <phoneticPr fontId="14"/>
  </si>
  <si>
    <t>賃借料・
利用料</t>
    <phoneticPr fontId="14"/>
  </si>
  <si>
    <t>保険料・共済掛金</t>
    <phoneticPr fontId="14"/>
  </si>
  <si>
    <t>保険料・
共済掛金</t>
    <phoneticPr fontId="14"/>
  </si>
  <si>
    <t>一般管理費</t>
    <phoneticPr fontId="14"/>
  </si>
  <si>
    <t>一般管理費</t>
    <phoneticPr fontId="14"/>
  </si>
  <si>
    <t>農業用租税公課</t>
    <phoneticPr fontId="14"/>
  </si>
  <si>
    <t>農業用
租税公課</t>
    <phoneticPr fontId="14"/>
  </si>
  <si>
    <t>その他</t>
    <rPh sb="2" eb="3">
      <t>タ</t>
    </rPh>
    <phoneticPr fontId="14"/>
  </si>
  <si>
    <t>⑤支出　支払地代</t>
    <rPh sb="1" eb="3">
      <t>シシュツ</t>
    </rPh>
    <rPh sb="4" eb="6">
      <t>シハライ</t>
    </rPh>
    <rPh sb="6" eb="8">
      <t>チダイ</t>
    </rPh>
    <phoneticPr fontId="14"/>
  </si>
  <si>
    <t>⑤支出　保険料・共済掛金</t>
    <rPh sb="1" eb="3">
      <t>シシュツ</t>
    </rPh>
    <rPh sb="4" eb="7">
      <t>ホケンリョウ</t>
    </rPh>
    <rPh sb="8" eb="10">
      <t>キョウサイ</t>
    </rPh>
    <rPh sb="10" eb="12">
      <t>カケキン</t>
    </rPh>
    <phoneticPr fontId="14"/>
  </si>
  <si>
    <t>⑤支出　一般管理費</t>
    <rPh sb="1" eb="3">
      <t>シシュツ</t>
    </rPh>
    <rPh sb="4" eb="6">
      <t>イッパン</t>
    </rPh>
    <rPh sb="6" eb="9">
      <t>カンリヒ</t>
    </rPh>
    <phoneticPr fontId="14"/>
  </si>
  <si>
    <t>⑤支出　農業用租税公課</t>
    <rPh sb="1" eb="3">
      <t>シシュツ</t>
    </rPh>
    <rPh sb="4" eb="7">
      <t>ノウギョウヨウ</t>
    </rPh>
    <rPh sb="7" eb="9">
      <t>ソゼイ</t>
    </rPh>
    <rPh sb="9" eb="11">
      <t>コウカ</t>
    </rPh>
    <phoneticPr fontId="14"/>
  </si>
  <si>
    <t>その他</t>
    <phoneticPr fontId="14"/>
  </si>
  <si>
    <t>⑤支出　その他</t>
    <rPh sb="1" eb="3">
      <t>シシュツ</t>
    </rPh>
    <rPh sb="6" eb="7">
      <t>タ</t>
    </rPh>
    <phoneticPr fontId="14"/>
  </si>
  <si>
    <t>出荷袋</t>
  </si>
  <si>
    <t>放牧牛肉</t>
    <rPh sb="0" eb="2">
      <t>ホウボク</t>
    </rPh>
    <rPh sb="2" eb="4">
      <t>ギュウニク</t>
    </rPh>
    <phoneticPr fontId="15"/>
  </si>
  <si>
    <t>春から秋の耕作放棄地経産牛放牧</t>
    <rPh sb="0" eb="1">
      <t>ハル</t>
    </rPh>
    <rPh sb="3" eb="4">
      <t>アキ</t>
    </rPh>
    <rPh sb="5" eb="7">
      <t>コウサク</t>
    </rPh>
    <rPh sb="7" eb="9">
      <t>ホウキ</t>
    </rPh>
    <rPh sb="9" eb="10">
      <t>チ</t>
    </rPh>
    <rPh sb="10" eb="12">
      <t>ケイサン</t>
    </rPh>
    <rPh sb="12" eb="13">
      <t>ウシ</t>
    </rPh>
    <rPh sb="13" eb="15">
      <t>ホウボク</t>
    </rPh>
    <phoneticPr fontId="15"/>
  </si>
  <si>
    <t>黒毛和種</t>
    <rPh sb="0" eb="2">
      <t>クロゲ</t>
    </rPh>
    <rPh sb="2" eb="3">
      <t>ワ</t>
    </rPh>
    <rPh sb="3" eb="4">
      <t>シュ</t>
    </rPh>
    <phoneticPr fontId="15"/>
  </si>
  <si>
    <t>県全域</t>
  </si>
  <si>
    <t>経産牛導入</t>
  </si>
  <si>
    <t>成牛市場で2頭購入</t>
  </si>
  <si>
    <t>４月中旬</t>
  </si>
  <si>
    <t>経産牛２頭、家畜運搬車</t>
  </si>
  <si>
    <t>放牧馴致</t>
  </si>
  <si>
    <t>農林総合技術Ｃ畜産技術部で放牧馴致開始</t>
  </si>
  <si>
    <t>４月中旬～５月上旬</t>
  </si>
  <si>
    <t>家畜運搬車</t>
  </si>
  <si>
    <t>導入日同日運搬</t>
  </si>
  <si>
    <t>下草刈り</t>
  </si>
  <si>
    <t>電気牧柵設置場所の草刈り</t>
  </si>
  <si>
    <t>５月中旬</t>
  </si>
  <si>
    <t>刈払機</t>
  </si>
  <si>
    <t>放牧施設設置</t>
  </si>
  <si>
    <t>電気牧柵設置・水飲み場設置・寒冷紗設置</t>
  </si>
  <si>
    <t>電牧器、電牧線、電牧柱、検電器</t>
  </si>
  <si>
    <t>入牧(牧区１)</t>
  </si>
  <si>
    <t>農林総合技術Ｃ畜産技術部から牛の運搬・殺ダニ剤塗布</t>
  </si>
  <si>
    <t>５月下旬</t>
  </si>
  <si>
    <t>家畜運搬車、殺ダニ剤</t>
  </si>
  <si>
    <t>放牧馴致終了日同日</t>
  </si>
  <si>
    <t>放牧管理(牧区1)</t>
  </si>
  <si>
    <t>放牧牛の健康観察・電牧管理</t>
  </si>
  <si>
    <t>5月下旬～６月中旬</t>
  </si>
  <si>
    <t>検電器</t>
  </si>
  <si>
    <t>ｼｰﾄのｲﾒｰｼﾞ参照</t>
  </si>
  <si>
    <t>転牧(牧区２)</t>
  </si>
  <si>
    <t>放牧牛の捕獲・牧区移動・殺ダニ剤塗布</t>
  </si>
  <si>
    <t>６月下旬</t>
  </si>
  <si>
    <t>殺ダニ剤</t>
  </si>
  <si>
    <t>放牧管理(牧区2)</t>
  </si>
  <si>
    <t>６月下旬～７月中旬</t>
  </si>
  <si>
    <t>化粧刈(牧区１)</t>
  </si>
  <si>
    <t>不食草等の化粧刈り</t>
  </si>
  <si>
    <t>転牧(牧区３)</t>
  </si>
  <si>
    <t>７月下旬</t>
  </si>
  <si>
    <t>放牧管理(牧区3)</t>
  </si>
  <si>
    <t>７月下旬～８月中旬</t>
  </si>
  <si>
    <t>化粧刈(牧区２)</t>
  </si>
  <si>
    <t>転牧(牧区１)</t>
  </si>
  <si>
    <t>８月下旬</t>
  </si>
  <si>
    <t>放牧管理(牧区1')</t>
  </si>
  <si>
    <t>８月下旬～９月中旬</t>
  </si>
  <si>
    <t>化粧刈(牧区３)</t>
  </si>
  <si>
    <t>転牧(牧区２')</t>
  </si>
  <si>
    <t>９月下旬</t>
  </si>
  <si>
    <t>放牧管理(牧区2')</t>
  </si>
  <si>
    <t>９月下旬～10月中旬</t>
  </si>
  <si>
    <t>転牧(牧区３')</t>
  </si>
  <si>
    <t>放牧管理(牧区3')</t>
  </si>
  <si>
    <t>10月下旬～11月中旬</t>
  </si>
  <si>
    <t>退牧・放牧牛販売</t>
  </si>
  <si>
    <t>成牛市場で2頭販売</t>
  </si>
  <si>
    <t>式</t>
    <rPh sb="0" eb="1">
      <t>シキ</t>
    </rPh>
    <phoneticPr fontId="14"/>
  </si>
  <si>
    <t>台</t>
    <rPh sb="0" eb="1">
      <t>ダイ</t>
    </rPh>
    <phoneticPr fontId="15"/>
  </si>
  <si>
    <t>電牧器(ｿｰﾗ・ﾊﾞｯﾃﾘｰ一体型）</t>
    <phoneticPr fontId="14"/>
  </si>
  <si>
    <t>刈払機</t>
    <rPh sb="0" eb="1">
      <t>カ</t>
    </rPh>
    <rPh sb="1" eb="2">
      <t>ハラ</t>
    </rPh>
    <rPh sb="2" eb="3">
      <t>キ</t>
    </rPh>
    <phoneticPr fontId="15"/>
  </si>
  <si>
    <t>経産牛</t>
    <rPh sb="0" eb="2">
      <t>ケイサン</t>
    </rPh>
    <rPh sb="2" eb="3">
      <t>ウシ</t>
    </rPh>
    <phoneticPr fontId="15"/>
  </si>
  <si>
    <t>頭</t>
    <rPh sb="0" eb="1">
      <t>トウ</t>
    </rPh>
    <phoneticPr fontId="15"/>
  </si>
  <si>
    <t>市場購買手数料</t>
    <rPh sb="0" eb="2">
      <t>シジョウ</t>
    </rPh>
    <rPh sb="2" eb="4">
      <t>コウバイ</t>
    </rPh>
    <rPh sb="4" eb="7">
      <t>テスウリョウ</t>
    </rPh>
    <phoneticPr fontId="15"/>
  </si>
  <si>
    <t>別シート牛購入・販売参照</t>
    <rPh sb="0" eb="1">
      <t>ベツ</t>
    </rPh>
    <rPh sb="4" eb="5">
      <t>ウシ</t>
    </rPh>
    <rPh sb="5" eb="7">
      <t>コウニュウ</t>
    </rPh>
    <rPh sb="8" eb="10">
      <t>ハンバイ</t>
    </rPh>
    <rPh sb="10" eb="12">
      <t>サンショウ</t>
    </rPh>
    <phoneticPr fontId="32"/>
  </si>
  <si>
    <t>3,240円/頭×2頭分の購買手数料</t>
    <rPh sb="5" eb="6">
      <t>エン</t>
    </rPh>
    <rPh sb="7" eb="8">
      <t>トウ</t>
    </rPh>
    <rPh sb="10" eb="11">
      <t>トウ</t>
    </rPh>
    <rPh sb="11" eb="12">
      <t>ブン</t>
    </rPh>
    <rPh sb="13" eb="15">
      <t>コウバイ</t>
    </rPh>
    <rPh sb="15" eb="18">
      <t>テスウリョウ</t>
    </rPh>
    <phoneticPr fontId="15"/>
  </si>
  <si>
    <t>家畜運搬車による輸送料</t>
    <rPh sb="0" eb="2">
      <t>カチク</t>
    </rPh>
    <rPh sb="2" eb="5">
      <t>ウンパンシャ</t>
    </rPh>
    <rPh sb="8" eb="10">
      <t>ユソウ</t>
    </rPh>
    <rPh sb="10" eb="11">
      <t>リョウ</t>
    </rPh>
    <phoneticPr fontId="15"/>
  </si>
  <si>
    <t>JA山口中央(H26),5,000円/頭×2頭</t>
    <rPh sb="2" eb="4">
      <t>ヤマグチ</t>
    </rPh>
    <rPh sb="4" eb="6">
      <t>チュウオウ</t>
    </rPh>
    <rPh sb="17" eb="18">
      <t>エン</t>
    </rPh>
    <rPh sb="19" eb="20">
      <t>トウ</t>
    </rPh>
    <rPh sb="22" eb="23">
      <t>トウ</t>
    </rPh>
    <phoneticPr fontId="32"/>
  </si>
  <si>
    <t>家畜共済掛金</t>
    <rPh sb="0" eb="2">
      <t>カチク</t>
    </rPh>
    <rPh sb="2" eb="4">
      <t>キョウサイ</t>
    </rPh>
    <rPh sb="4" eb="6">
      <t>カケキン</t>
    </rPh>
    <phoneticPr fontId="15"/>
  </si>
  <si>
    <t>別シート共済掛金算出参照</t>
    <rPh sb="0" eb="1">
      <t>ベツ</t>
    </rPh>
    <rPh sb="4" eb="6">
      <t>キョウサイ</t>
    </rPh>
    <rPh sb="6" eb="8">
      <t>カケキン</t>
    </rPh>
    <rPh sb="8" eb="10">
      <t>サンシュツ</t>
    </rPh>
    <rPh sb="10" eb="12">
      <t>サンショウ</t>
    </rPh>
    <phoneticPr fontId="15"/>
  </si>
  <si>
    <t>電牧器</t>
    <rPh sb="0" eb="1">
      <t>デン</t>
    </rPh>
    <rPh sb="1" eb="2">
      <t>ボク</t>
    </rPh>
    <rPh sb="2" eb="3">
      <t>キ</t>
    </rPh>
    <phoneticPr fontId="15"/>
  </si>
  <si>
    <t>ｸﾞﾗｽﾎﾟｰﾙ（14Φ×1,600）</t>
  </si>
  <si>
    <t>ｸﾞﾗｽﾎﾟｰﾙ（20Φ×1,600）</t>
  </si>
  <si>
    <t>ｹﾞｰﾄﾊﾝﾄﾞﾙ（強ﾊﾞﾈ）</t>
    <rPh sb="10" eb="11">
      <t>ツヨ</t>
    </rPh>
    <phoneticPr fontId="15"/>
  </si>
  <si>
    <t>ｱｰｽ棒(2連)</t>
    <rPh sb="3" eb="4">
      <t>ボウ</t>
    </rPh>
    <rPh sb="6" eb="7">
      <t>レン</t>
    </rPh>
    <phoneticPr fontId="32"/>
  </si>
  <si>
    <t>電牧線(2.5Φ×400m）</t>
    <rPh sb="0" eb="1">
      <t>デン</t>
    </rPh>
    <rPh sb="1" eb="2">
      <t>ボク</t>
    </rPh>
    <rPh sb="2" eb="3">
      <t>セン</t>
    </rPh>
    <phoneticPr fontId="15"/>
  </si>
  <si>
    <t>検電器（漏電ﾃｽﾀｰ）</t>
    <rPh sb="0" eb="3">
      <t>ケンデンキ</t>
    </rPh>
    <rPh sb="4" eb="6">
      <t>ロウデン</t>
    </rPh>
    <phoneticPr fontId="15"/>
  </si>
  <si>
    <t>寒冷紗部材(鋼管4m）</t>
    <rPh sb="0" eb="3">
      <t>カンレイシャ</t>
    </rPh>
    <rPh sb="3" eb="5">
      <t>ブザイ</t>
    </rPh>
    <rPh sb="6" eb="8">
      <t>コウカン</t>
    </rPh>
    <phoneticPr fontId="32"/>
  </si>
  <si>
    <t>寒冷紗部材(鋼管2m）</t>
    <rPh sb="0" eb="3">
      <t>カンレイシャ</t>
    </rPh>
    <rPh sb="3" eb="5">
      <t>ブザイ</t>
    </rPh>
    <rPh sb="6" eb="8">
      <t>コウカン</t>
    </rPh>
    <phoneticPr fontId="32"/>
  </si>
  <si>
    <t>寒冷紗部材(鋼管1.5m）</t>
    <rPh sb="0" eb="3">
      <t>カンレイシャ</t>
    </rPh>
    <rPh sb="3" eb="5">
      <t>ブザイ</t>
    </rPh>
    <rPh sb="6" eb="8">
      <t>コウカン</t>
    </rPh>
    <phoneticPr fontId="32"/>
  </si>
  <si>
    <t>寒冷紗部材(ｸﾗﾝﾌﾟ）</t>
    <rPh sb="0" eb="3">
      <t>カンレイシャ</t>
    </rPh>
    <rPh sb="3" eb="5">
      <t>ブザイ</t>
    </rPh>
    <phoneticPr fontId="32"/>
  </si>
  <si>
    <t>寒冷紗部材(遮光ﾈｯﾄ2×4m）</t>
    <rPh sb="0" eb="3">
      <t>カンレイシャ</t>
    </rPh>
    <rPh sb="3" eb="5">
      <t>ブザイ</t>
    </rPh>
    <rPh sb="6" eb="8">
      <t>シャコウ</t>
    </rPh>
    <phoneticPr fontId="32"/>
  </si>
  <si>
    <t>畜試購入額（H25） 1台/ha</t>
    <rPh sb="0" eb="1">
      <t>チク</t>
    </rPh>
    <rPh sb="1" eb="2">
      <t>タメシ</t>
    </rPh>
    <rPh sb="2" eb="4">
      <t>コウニュウ</t>
    </rPh>
    <rPh sb="4" eb="5">
      <t>ガク</t>
    </rPh>
    <rPh sb="12" eb="13">
      <t>ダイ</t>
    </rPh>
    <phoneticPr fontId="15"/>
  </si>
  <si>
    <t>エスケー資材カタログより  120本/ha</t>
    <rPh sb="4" eb="6">
      <t>シザイ</t>
    </rPh>
    <rPh sb="17" eb="18">
      <t>ホン</t>
    </rPh>
    <phoneticPr fontId="32"/>
  </si>
  <si>
    <t>エスケー資材カタログより  20本/ha</t>
    <rPh sb="4" eb="6">
      <t>シザイ</t>
    </rPh>
    <rPh sb="16" eb="17">
      <t>ホン</t>
    </rPh>
    <phoneticPr fontId="32"/>
  </si>
  <si>
    <t>エスケー資材カタログより  6個/ha</t>
    <rPh sb="4" eb="6">
      <t>シザイ</t>
    </rPh>
    <rPh sb="15" eb="16">
      <t>コ</t>
    </rPh>
    <phoneticPr fontId="32"/>
  </si>
  <si>
    <t>エスケー資材カタログより  1個/ha</t>
    <rPh sb="4" eb="6">
      <t>シザイ</t>
    </rPh>
    <rPh sb="15" eb="16">
      <t>コ</t>
    </rPh>
    <phoneticPr fontId="32"/>
  </si>
  <si>
    <t>エスケー資材カタログより  3巻/ha</t>
    <rPh sb="4" eb="6">
      <t>シザイ</t>
    </rPh>
    <rPh sb="15" eb="16">
      <t>マ</t>
    </rPh>
    <phoneticPr fontId="32"/>
  </si>
  <si>
    <t>資材カタログより   4本/ha</t>
    <rPh sb="0" eb="2">
      <t>シザイ</t>
    </rPh>
    <rPh sb="12" eb="13">
      <t>ホン</t>
    </rPh>
    <phoneticPr fontId="15"/>
  </si>
  <si>
    <t>資材カタログより   8本/ha</t>
    <rPh sb="0" eb="2">
      <t>シザイ</t>
    </rPh>
    <rPh sb="12" eb="13">
      <t>ホン</t>
    </rPh>
    <phoneticPr fontId="15"/>
  </si>
  <si>
    <t>資材カタログより   30個/ha</t>
    <rPh sb="0" eb="2">
      <t>シザイ</t>
    </rPh>
    <rPh sb="13" eb="14">
      <t>コ</t>
    </rPh>
    <phoneticPr fontId="15"/>
  </si>
  <si>
    <t>資材カタログより   16㎡/ha</t>
    <rPh sb="0" eb="2">
      <t>シザイ</t>
    </rPh>
    <phoneticPr fontId="15"/>
  </si>
  <si>
    <t>殺ﾀﾞﾆ剤（ﾊﾞｲﾁｺｰﾙ）</t>
    <rPh sb="0" eb="1">
      <t>サツ</t>
    </rPh>
    <rPh sb="4" eb="5">
      <t>ザイ</t>
    </rPh>
    <phoneticPr fontId="32"/>
  </si>
  <si>
    <t>1本1000ml入　2頭分で1回100ml</t>
    <rPh sb="1" eb="2">
      <t>ホン</t>
    </rPh>
    <rPh sb="8" eb="9">
      <t>イ</t>
    </rPh>
    <rPh sb="11" eb="12">
      <t>トウ</t>
    </rPh>
    <rPh sb="12" eb="13">
      <t>ブン</t>
    </rPh>
    <rPh sb="15" eb="16">
      <t>カイ</t>
    </rPh>
    <phoneticPr fontId="15"/>
  </si>
  <si>
    <t>○…</t>
    <phoneticPr fontId="14"/>
  </si>
  <si>
    <t>……</t>
    <phoneticPr fontId="14"/>
  </si>
  <si>
    <t>◎</t>
    <phoneticPr fontId="14"/>
  </si>
  <si>
    <t>◇</t>
    <phoneticPr fontId="14"/>
  </si>
  <si>
    <t>◆</t>
    <phoneticPr fontId="14"/>
  </si>
  <si>
    <t>∩≠</t>
    <phoneticPr fontId="14"/>
  </si>
  <si>
    <t>△</t>
    <phoneticPr fontId="14"/>
  </si>
  <si>
    <t>☆――</t>
    <phoneticPr fontId="14"/>
  </si>
  <si>
    <t>―――</t>
    <phoneticPr fontId="14"/>
  </si>
  <si>
    <t>家畜市場で購入後運搬委託2時間</t>
    <rPh sb="0" eb="2">
      <t>カチク</t>
    </rPh>
    <rPh sb="2" eb="4">
      <t>シジョウ</t>
    </rPh>
    <rPh sb="5" eb="7">
      <t>コウニュウ</t>
    </rPh>
    <rPh sb="7" eb="8">
      <t>ゴ</t>
    </rPh>
    <rPh sb="8" eb="10">
      <t>ウンパン</t>
    </rPh>
    <rPh sb="10" eb="12">
      <t>イタク</t>
    </rPh>
    <rPh sb="13" eb="15">
      <t>ジカン</t>
    </rPh>
    <phoneticPr fontId="14"/>
  </si>
  <si>
    <t>0.8m幅、長さ600m、4時間で想定</t>
    <rPh sb="4" eb="5">
      <t>ハバ</t>
    </rPh>
    <rPh sb="6" eb="7">
      <t>ナガ</t>
    </rPh>
    <rPh sb="14" eb="16">
      <t>ジカン</t>
    </rPh>
    <rPh sb="17" eb="19">
      <t>ソウテイ</t>
    </rPh>
    <phoneticPr fontId="14"/>
  </si>
  <si>
    <t>電気牧柵、日陰施設、水飲み場設置10時間想定</t>
    <rPh sb="0" eb="2">
      <t>デンキ</t>
    </rPh>
    <rPh sb="2" eb="4">
      <t>ボクサク</t>
    </rPh>
    <rPh sb="5" eb="7">
      <t>ヒカゲ</t>
    </rPh>
    <rPh sb="7" eb="9">
      <t>シセツ</t>
    </rPh>
    <rPh sb="10" eb="12">
      <t>ミズノ</t>
    </rPh>
    <rPh sb="13" eb="14">
      <t>バ</t>
    </rPh>
    <rPh sb="14" eb="16">
      <t>セッチ</t>
    </rPh>
    <rPh sb="18" eb="20">
      <t>ジカン</t>
    </rPh>
    <rPh sb="20" eb="22">
      <t>ソウテイ</t>
    </rPh>
    <phoneticPr fontId="14"/>
  </si>
  <si>
    <t>試験場から入牧(運搬委託)1時間</t>
    <rPh sb="0" eb="3">
      <t>シケンジョウ</t>
    </rPh>
    <rPh sb="5" eb="6">
      <t>ニュウ</t>
    </rPh>
    <rPh sb="6" eb="7">
      <t>ボク</t>
    </rPh>
    <rPh sb="8" eb="10">
      <t>ウンパン</t>
    </rPh>
    <rPh sb="10" eb="12">
      <t>イタク</t>
    </rPh>
    <rPh sb="14" eb="16">
      <t>ジカン</t>
    </rPh>
    <phoneticPr fontId="14"/>
  </si>
  <si>
    <t>健康観察、電牧管理毎日30分×10日分</t>
    <rPh sb="0" eb="2">
      <t>ケンコウ</t>
    </rPh>
    <rPh sb="2" eb="4">
      <t>カンサツ</t>
    </rPh>
    <rPh sb="5" eb="6">
      <t>デン</t>
    </rPh>
    <rPh sb="6" eb="7">
      <t>ボク</t>
    </rPh>
    <rPh sb="7" eb="9">
      <t>カンリ</t>
    </rPh>
    <rPh sb="9" eb="11">
      <t>マイニチ</t>
    </rPh>
    <rPh sb="13" eb="14">
      <t>フン</t>
    </rPh>
    <rPh sb="17" eb="19">
      <t>ニチブン</t>
    </rPh>
    <phoneticPr fontId="14"/>
  </si>
  <si>
    <t>牧区１→２転牧1時間</t>
    <rPh sb="0" eb="1">
      <t>ボク</t>
    </rPh>
    <rPh sb="1" eb="2">
      <t>ク</t>
    </rPh>
    <rPh sb="5" eb="6">
      <t>テン</t>
    </rPh>
    <rPh sb="6" eb="7">
      <t>ボク</t>
    </rPh>
    <rPh sb="8" eb="10">
      <t>ジカン</t>
    </rPh>
    <phoneticPr fontId="14"/>
  </si>
  <si>
    <t>0.8m幅、長さ150m、1時間で想定</t>
    <rPh sb="4" eb="5">
      <t>ハバ</t>
    </rPh>
    <rPh sb="6" eb="7">
      <t>ナガ</t>
    </rPh>
    <rPh sb="14" eb="16">
      <t>ジカン</t>
    </rPh>
    <rPh sb="17" eb="19">
      <t>ソウテイ</t>
    </rPh>
    <phoneticPr fontId="14"/>
  </si>
  <si>
    <t>牧区２→３転牧1時間</t>
    <rPh sb="0" eb="1">
      <t>ボク</t>
    </rPh>
    <rPh sb="1" eb="2">
      <t>ク</t>
    </rPh>
    <rPh sb="5" eb="6">
      <t>テン</t>
    </rPh>
    <rPh sb="6" eb="7">
      <t>ボク</t>
    </rPh>
    <rPh sb="8" eb="10">
      <t>ジカン</t>
    </rPh>
    <phoneticPr fontId="14"/>
  </si>
  <si>
    <t>牧区３→１転牧1時間</t>
    <rPh sb="0" eb="1">
      <t>ボク</t>
    </rPh>
    <rPh sb="1" eb="2">
      <t>ク</t>
    </rPh>
    <rPh sb="5" eb="6">
      <t>テン</t>
    </rPh>
    <rPh sb="6" eb="7">
      <t>ボク</t>
    </rPh>
    <rPh sb="8" eb="10">
      <t>ジカン</t>
    </rPh>
    <phoneticPr fontId="14"/>
  </si>
  <si>
    <t>牧区２→３へ転牧</t>
    <rPh sb="0" eb="1">
      <t>ボク</t>
    </rPh>
    <rPh sb="1" eb="2">
      <t>ク</t>
    </rPh>
    <rPh sb="6" eb="7">
      <t>テン</t>
    </rPh>
    <rPh sb="7" eb="8">
      <t>ボク</t>
    </rPh>
    <phoneticPr fontId="14"/>
  </si>
  <si>
    <t>と畜場へ搬送委託</t>
    <rPh sb="1" eb="2">
      <t>チク</t>
    </rPh>
    <rPh sb="2" eb="3">
      <t>ジョウ</t>
    </rPh>
    <rPh sb="4" eb="6">
      <t>ハンソウ</t>
    </rPh>
    <rPh sb="6" eb="8">
      <t>イタク</t>
    </rPh>
    <phoneticPr fontId="14"/>
  </si>
  <si>
    <t>　約1haの耕作放棄地を下図のように3分割して電気牧柵の設置、及び水飲場等、必要があれば日陰施設の作成</t>
    <rPh sb="1" eb="2">
      <t>ヤク</t>
    </rPh>
    <rPh sb="6" eb="8">
      <t>コウサク</t>
    </rPh>
    <rPh sb="8" eb="10">
      <t>ホウキ</t>
    </rPh>
    <rPh sb="10" eb="11">
      <t>チ</t>
    </rPh>
    <rPh sb="12" eb="14">
      <t>カズ</t>
    </rPh>
    <rPh sb="19" eb="21">
      <t>ブンカツ</t>
    </rPh>
    <rPh sb="23" eb="25">
      <t>デンキ</t>
    </rPh>
    <rPh sb="25" eb="27">
      <t>ボクサク</t>
    </rPh>
    <rPh sb="28" eb="30">
      <t>セッチ</t>
    </rPh>
    <rPh sb="31" eb="32">
      <t>オヨ</t>
    </rPh>
    <rPh sb="33" eb="34">
      <t>ミズ</t>
    </rPh>
    <rPh sb="34" eb="35">
      <t>オン</t>
    </rPh>
    <rPh sb="35" eb="36">
      <t>ジョウ</t>
    </rPh>
    <rPh sb="36" eb="37">
      <t>トウ</t>
    </rPh>
    <rPh sb="38" eb="40">
      <t>ヒツヨウ</t>
    </rPh>
    <rPh sb="44" eb="46">
      <t>ヒカゲ</t>
    </rPh>
    <rPh sb="46" eb="48">
      <t>シセツ</t>
    </rPh>
    <rPh sb="49" eb="51">
      <t>サクセイ</t>
    </rPh>
    <phoneticPr fontId="14"/>
  </si>
  <si>
    <t>　牧区1に入牧、以後毎日の健康観察、牧柵管理等（5～6月）</t>
    <rPh sb="1" eb="2">
      <t>ボク</t>
    </rPh>
    <rPh sb="2" eb="3">
      <t>ク</t>
    </rPh>
    <rPh sb="5" eb="6">
      <t>ニュウ</t>
    </rPh>
    <rPh sb="6" eb="7">
      <t>ボク</t>
    </rPh>
    <rPh sb="8" eb="10">
      <t>イゴ</t>
    </rPh>
    <rPh sb="10" eb="12">
      <t>マイニチ</t>
    </rPh>
    <rPh sb="13" eb="15">
      <t>ケンコウ</t>
    </rPh>
    <rPh sb="15" eb="17">
      <t>カンサツ</t>
    </rPh>
    <rPh sb="18" eb="20">
      <t>ボクサク</t>
    </rPh>
    <rPh sb="20" eb="22">
      <t>カンリ</t>
    </rPh>
    <rPh sb="22" eb="23">
      <t>トウ</t>
    </rPh>
    <rPh sb="27" eb="28">
      <t>ガツ</t>
    </rPh>
    <phoneticPr fontId="14"/>
  </si>
  <si>
    <t>　牧区2に放牧牛移動、以後毎日の健康観察、牧柵管理等（6～7月）</t>
    <rPh sb="1" eb="2">
      <t>ボク</t>
    </rPh>
    <rPh sb="2" eb="3">
      <t>ク</t>
    </rPh>
    <rPh sb="5" eb="7">
      <t>ホウボク</t>
    </rPh>
    <rPh sb="7" eb="8">
      <t>ギュウ</t>
    </rPh>
    <rPh sb="8" eb="10">
      <t>イドウ</t>
    </rPh>
    <rPh sb="11" eb="13">
      <t>イゴ</t>
    </rPh>
    <rPh sb="13" eb="15">
      <t>マイニチ</t>
    </rPh>
    <rPh sb="16" eb="18">
      <t>ケンコウ</t>
    </rPh>
    <rPh sb="18" eb="20">
      <t>カンサツ</t>
    </rPh>
    <rPh sb="21" eb="23">
      <t>ボクサク</t>
    </rPh>
    <rPh sb="23" eb="25">
      <t>カンリ</t>
    </rPh>
    <rPh sb="25" eb="26">
      <t>トウ</t>
    </rPh>
    <rPh sb="30" eb="31">
      <t>ガツ</t>
    </rPh>
    <phoneticPr fontId="14"/>
  </si>
  <si>
    <t>　牧区1の化粧刈</t>
    <rPh sb="1" eb="2">
      <t>ボク</t>
    </rPh>
    <rPh sb="2" eb="3">
      <t>ク</t>
    </rPh>
    <rPh sb="5" eb="7">
      <t>ケショウ</t>
    </rPh>
    <rPh sb="7" eb="8">
      <t>カ</t>
    </rPh>
    <phoneticPr fontId="14"/>
  </si>
  <si>
    <t>　牧区3に放牧牛移動、以後毎日の健康観察、牧柵管理等（7～8月）</t>
    <rPh sb="1" eb="2">
      <t>ボク</t>
    </rPh>
    <rPh sb="2" eb="3">
      <t>ク</t>
    </rPh>
    <rPh sb="5" eb="7">
      <t>ホウボク</t>
    </rPh>
    <rPh sb="7" eb="8">
      <t>ギュウ</t>
    </rPh>
    <rPh sb="8" eb="10">
      <t>イドウ</t>
    </rPh>
    <rPh sb="11" eb="13">
      <t>イゴ</t>
    </rPh>
    <rPh sb="13" eb="15">
      <t>マイニチ</t>
    </rPh>
    <rPh sb="16" eb="18">
      <t>ケンコウ</t>
    </rPh>
    <rPh sb="18" eb="20">
      <t>カンサツ</t>
    </rPh>
    <rPh sb="21" eb="23">
      <t>ボクサク</t>
    </rPh>
    <rPh sb="23" eb="25">
      <t>カンリ</t>
    </rPh>
    <rPh sb="25" eb="26">
      <t>トウ</t>
    </rPh>
    <rPh sb="30" eb="31">
      <t>ガツ</t>
    </rPh>
    <phoneticPr fontId="14"/>
  </si>
  <si>
    <t>　牧区2の化粧刈</t>
    <rPh sb="1" eb="2">
      <t>ボク</t>
    </rPh>
    <rPh sb="2" eb="3">
      <t>ク</t>
    </rPh>
    <rPh sb="5" eb="7">
      <t>ケショウ</t>
    </rPh>
    <rPh sb="7" eb="8">
      <t>カ</t>
    </rPh>
    <phoneticPr fontId="14"/>
  </si>
  <si>
    <t>　牧区1に放牧牛移動、以後毎日の健康観察、牧柵管理等（8～9月）</t>
    <rPh sb="1" eb="2">
      <t>ボク</t>
    </rPh>
    <rPh sb="2" eb="3">
      <t>ク</t>
    </rPh>
    <rPh sb="5" eb="7">
      <t>ホウボク</t>
    </rPh>
    <rPh sb="7" eb="8">
      <t>ギュウ</t>
    </rPh>
    <rPh sb="8" eb="10">
      <t>イドウ</t>
    </rPh>
    <rPh sb="11" eb="13">
      <t>イゴ</t>
    </rPh>
    <rPh sb="13" eb="15">
      <t>マイニチ</t>
    </rPh>
    <rPh sb="16" eb="18">
      <t>ケンコウ</t>
    </rPh>
    <rPh sb="18" eb="20">
      <t>カンサツ</t>
    </rPh>
    <rPh sb="21" eb="23">
      <t>ボクサク</t>
    </rPh>
    <rPh sb="23" eb="25">
      <t>カンリ</t>
    </rPh>
    <rPh sb="25" eb="26">
      <t>トウ</t>
    </rPh>
    <rPh sb="30" eb="31">
      <t>ガツ</t>
    </rPh>
    <phoneticPr fontId="14"/>
  </si>
  <si>
    <t>　牧区3の化粧刈</t>
    <rPh sb="1" eb="2">
      <t>ボク</t>
    </rPh>
    <rPh sb="2" eb="3">
      <t>ク</t>
    </rPh>
    <rPh sb="5" eb="7">
      <t>ケショウ</t>
    </rPh>
    <rPh sb="7" eb="8">
      <t>カ</t>
    </rPh>
    <phoneticPr fontId="14"/>
  </si>
  <si>
    <t>　牧区2に放牧牛移動、以後毎日の健康観察、牧柵管理等（9～10月）</t>
    <rPh sb="1" eb="2">
      <t>ボク</t>
    </rPh>
    <rPh sb="2" eb="3">
      <t>ク</t>
    </rPh>
    <rPh sb="5" eb="7">
      <t>ホウボク</t>
    </rPh>
    <rPh sb="7" eb="8">
      <t>ギュウ</t>
    </rPh>
    <rPh sb="8" eb="10">
      <t>イドウ</t>
    </rPh>
    <rPh sb="11" eb="13">
      <t>イゴ</t>
    </rPh>
    <rPh sb="13" eb="15">
      <t>マイニチ</t>
    </rPh>
    <rPh sb="16" eb="18">
      <t>ケンコウ</t>
    </rPh>
    <rPh sb="18" eb="20">
      <t>カンサツ</t>
    </rPh>
    <rPh sb="21" eb="23">
      <t>ボクサク</t>
    </rPh>
    <rPh sb="23" eb="25">
      <t>カンリ</t>
    </rPh>
    <rPh sb="25" eb="26">
      <t>トウ</t>
    </rPh>
    <rPh sb="31" eb="32">
      <t>ガツ</t>
    </rPh>
    <phoneticPr fontId="14"/>
  </si>
  <si>
    <t>　牧区3に放牧牛移動、以後毎日の健康観察、牧柵管理等（10～11月）</t>
    <rPh sb="1" eb="2">
      <t>ボク</t>
    </rPh>
    <rPh sb="2" eb="3">
      <t>ク</t>
    </rPh>
    <rPh sb="5" eb="7">
      <t>ホウボク</t>
    </rPh>
    <rPh sb="7" eb="8">
      <t>ギュウ</t>
    </rPh>
    <rPh sb="8" eb="10">
      <t>イドウ</t>
    </rPh>
    <rPh sb="11" eb="13">
      <t>イゴ</t>
    </rPh>
    <rPh sb="13" eb="15">
      <t>マイニチ</t>
    </rPh>
    <rPh sb="16" eb="18">
      <t>ケンコウ</t>
    </rPh>
    <rPh sb="18" eb="20">
      <t>カンサツ</t>
    </rPh>
    <rPh sb="21" eb="23">
      <t>ボクサク</t>
    </rPh>
    <rPh sb="23" eb="25">
      <t>カンリ</t>
    </rPh>
    <rPh sb="25" eb="26">
      <t>トウ</t>
    </rPh>
    <rPh sb="32" eb="33">
      <t>ガツ</t>
    </rPh>
    <phoneticPr fontId="14"/>
  </si>
  <si>
    <t>　牧区3を退牧後、出荷</t>
    <rPh sb="1" eb="2">
      <t>ボク</t>
    </rPh>
    <rPh sb="2" eb="3">
      <t>ク</t>
    </rPh>
    <rPh sb="5" eb="6">
      <t>シリゾ</t>
    </rPh>
    <rPh sb="6" eb="7">
      <t>ボク</t>
    </rPh>
    <rPh sb="7" eb="8">
      <t>ゴ</t>
    </rPh>
    <rPh sb="9" eb="11">
      <t>シュッカ</t>
    </rPh>
    <phoneticPr fontId="14"/>
  </si>
  <si>
    <t>牧区１（約33a）</t>
    <rPh sb="0" eb="1">
      <t>ボク</t>
    </rPh>
    <rPh sb="1" eb="2">
      <t>ク</t>
    </rPh>
    <rPh sb="4" eb="5">
      <t>ヤク</t>
    </rPh>
    <phoneticPr fontId="14"/>
  </si>
  <si>
    <t>放牧期間</t>
    <rPh sb="0" eb="2">
      <t>ホウボク</t>
    </rPh>
    <rPh sb="2" eb="4">
      <t>キカン</t>
    </rPh>
    <phoneticPr fontId="14"/>
  </si>
  <si>
    <t>（5～6月）</t>
    <rPh sb="4" eb="5">
      <t>ガツ</t>
    </rPh>
    <phoneticPr fontId="14"/>
  </si>
  <si>
    <t>（8～9月）</t>
    <rPh sb="4" eb="5">
      <t>ガツ</t>
    </rPh>
    <phoneticPr fontId="14"/>
  </si>
  <si>
    <t>牧区２（約33a）</t>
    <rPh sb="0" eb="1">
      <t>ボク</t>
    </rPh>
    <rPh sb="1" eb="2">
      <t>ク</t>
    </rPh>
    <rPh sb="4" eb="5">
      <t>ヤク</t>
    </rPh>
    <phoneticPr fontId="14"/>
  </si>
  <si>
    <t>（6～7月）</t>
    <rPh sb="4" eb="5">
      <t>ガツ</t>
    </rPh>
    <phoneticPr fontId="14"/>
  </si>
  <si>
    <t>（9～10月）</t>
    <rPh sb="5" eb="6">
      <t>ガツ</t>
    </rPh>
    <phoneticPr fontId="14"/>
  </si>
  <si>
    <t>牧区３（約33a）</t>
    <rPh sb="0" eb="1">
      <t>ボク</t>
    </rPh>
    <rPh sb="1" eb="2">
      <t>ク</t>
    </rPh>
    <rPh sb="4" eb="5">
      <t>ヤク</t>
    </rPh>
    <phoneticPr fontId="14"/>
  </si>
  <si>
    <t>（7～8月）</t>
    <rPh sb="4" eb="5">
      <t>ガツ</t>
    </rPh>
    <phoneticPr fontId="14"/>
  </si>
  <si>
    <t>（10～11月）</t>
    <rPh sb="6" eb="7">
      <t>ガツ</t>
    </rPh>
    <phoneticPr fontId="14"/>
  </si>
  <si>
    <t>導入牛について</t>
    <rPh sb="0" eb="2">
      <t>ドウニュウ</t>
    </rPh>
    <rPh sb="2" eb="3">
      <t>ウシ</t>
    </rPh>
    <phoneticPr fontId="14"/>
  </si>
  <si>
    <t>市場開設日</t>
  </si>
  <si>
    <t>経産牛取引頭数</t>
  </si>
  <si>
    <t>平均価格</t>
  </si>
  <si>
    <t>高値</t>
  </si>
  <si>
    <t>安値</t>
  </si>
  <si>
    <t>平均体重</t>
  </si>
  <si>
    <t>ｋｇ単価</t>
  </si>
  <si>
    <t>平均価格×頭数</t>
  </si>
  <si>
    <t>平均体重×頭数</t>
  </si>
  <si>
    <t>計又は単純平均</t>
  </si>
  <si>
    <t>加重平均価格</t>
  </si>
  <si>
    <t>加重平均体重</t>
  </si>
  <si>
    <t>加重平均ｋｇ単価</t>
  </si>
  <si>
    <t>導入牛は５００ｋｇとし、購入価格は税込み272,500円（500kg×545円)とする。</t>
  </si>
  <si>
    <t>販売牛について</t>
    <rPh sb="0" eb="2">
      <t>ハンバイ</t>
    </rPh>
    <rPh sb="2" eb="3">
      <t>ギュウ</t>
    </rPh>
    <phoneticPr fontId="14"/>
  </si>
  <si>
    <t>農研機構（熟ビーフ連絡会資料より）</t>
    <rPh sb="0" eb="1">
      <t>ノウ</t>
    </rPh>
    <rPh sb="1" eb="2">
      <t>ケン</t>
    </rPh>
    <rPh sb="2" eb="4">
      <t>キコウ</t>
    </rPh>
    <rPh sb="5" eb="6">
      <t>ジュク</t>
    </rPh>
    <rPh sb="9" eb="12">
      <t>レンラクカイ</t>
    </rPh>
    <rPh sb="12" eb="14">
      <t>シリョウ</t>
    </rPh>
    <phoneticPr fontId="14"/>
  </si>
  <si>
    <t>畜産試験場放牧牛肉場試牛（ギンザ畜産出荷データ）</t>
    <rPh sb="0" eb="2">
      <t>チクサン</t>
    </rPh>
    <rPh sb="2" eb="4">
      <t>シケン</t>
    </rPh>
    <rPh sb="4" eb="5">
      <t>ジョウ</t>
    </rPh>
    <rPh sb="5" eb="7">
      <t>ホウボク</t>
    </rPh>
    <rPh sb="7" eb="9">
      <t>ギュウニク</t>
    </rPh>
    <rPh sb="9" eb="10">
      <t>ジョウ</t>
    </rPh>
    <rPh sb="10" eb="11">
      <t>タメシ</t>
    </rPh>
    <rPh sb="11" eb="12">
      <t>ウシ</t>
    </rPh>
    <rPh sb="16" eb="18">
      <t>チクサン</t>
    </rPh>
    <rPh sb="18" eb="20">
      <t>シュッカ</t>
    </rPh>
    <phoneticPr fontId="14"/>
  </si>
  <si>
    <t>出荷体重</t>
    <rPh sb="0" eb="2">
      <t>シュッカ</t>
    </rPh>
    <rPh sb="2" eb="4">
      <t>タイジュウ</t>
    </rPh>
    <phoneticPr fontId="14"/>
  </si>
  <si>
    <t>500kg</t>
    <phoneticPr fontId="14"/>
  </si>
  <si>
    <t>屠畜場使用料</t>
    <rPh sb="0" eb="2">
      <t>トチク</t>
    </rPh>
    <rPh sb="2" eb="3">
      <t>ジョウ</t>
    </rPh>
    <rPh sb="3" eb="6">
      <t>シヨウリョウ</t>
    </rPh>
    <phoneticPr fontId="14"/>
  </si>
  <si>
    <t>3,550円</t>
    <rPh sb="5" eb="6">
      <t>エン</t>
    </rPh>
    <phoneticPr fontId="14"/>
  </si>
  <si>
    <t>部分肉量</t>
    <rPh sb="0" eb="2">
      <t>ブブン</t>
    </rPh>
    <rPh sb="2" eb="3">
      <t>ニク</t>
    </rPh>
    <rPh sb="3" eb="4">
      <t>リョウ</t>
    </rPh>
    <phoneticPr fontId="14"/>
  </si>
  <si>
    <t>200kg</t>
    <phoneticPr fontId="14"/>
  </si>
  <si>
    <t>検査料</t>
    <rPh sb="0" eb="2">
      <t>ケンサ</t>
    </rPh>
    <rPh sb="2" eb="3">
      <t>リョウ</t>
    </rPh>
    <phoneticPr fontId="14"/>
  </si>
  <si>
    <t>800円</t>
    <rPh sb="3" eb="4">
      <t>エン</t>
    </rPh>
    <phoneticPr fontId="14"/>
  </si>
  <si>
    <t>精肉量</t>
    <rPh sb="0" eb="2">
      <t>セイニク</t>
    </rPh>
    <rPh sb="2" eb="3">
      <t>リョウ</t>
    </rPh>
    <phoneticPr fontId="14"/>
  </si>
  <si>
    <t>160kg</t>
    <phoneticPr fontId="14"/>
  </si>
  <si>
    <t>解体料</t>
    <rPh sb="0" eb="2">
      <t>カイタイ</t>
    </rPh>
    <rPh sb="2" eb="3">
      <t>リョウ</t>
    </rPh>
    <phoneticPr fontId="14"/>
  </si>
  <si>
    <t>18,000円</t>
    <rPh sb="6" eb="7">
      <t>エン</t>
    </rPh>
    <phoneticPr fontId="14"/>
  </si>
  <si>
    <t>販売単価（ｋｇ）</t>
    <rPh sb="0" eb="2">
      <t>ハンバイ</t>
    </rPh>
    <rPh sb="2" eb="4">
      <t>タンカ</t>
    </rPh>
    <phoneticPr fontId="14"/>
  </si>
  <si>
    <t>1,600円</t>
    <rPh sb="5" eb="6">
      <t>エン</t>
    </rPh>
    <phoneticPr fontId="14"/>
  </si>
  <si>
    <t>内臓処理量</t>
    <rPh sb="0" eb="2">
      <t>ナイゾウ</t>
    </rPh>
    <rPh sb="2" eb="4">
      <t>ショリ</t>
    </rPh>
    <rPh sb="4" eb="5">
      <t>リョウ</t>
    </rPh>
    <phoneticPr fontId="14"/>
  </si>
  <si>
    <t>5,000円</t>
    <rPh sb="5" eb="6">
      <t>エン</t>
    </rPh>
    <phoneticPr fontId="14"/>
  </si>
  <si>
    <t>販売額</t>
    <rPh sb="0" eb="2">
      <t>ハンバイ</t>
    </rPh>
    <rPh sb="2" eb="3">
      <t>ガク</t>
    </rPh>
    <phoneticPr fontId="14"/>
  </si>
  <si>
    <t>256,000円</t>
    <rPh sb="7" eb="8">
      <t>エン</t>
    </rPh>
    <phoneticPr fontId="14"/>
  </si>
  <si>
    <t>生肉処理量</t>
    <rPh sb="0" eb="2">
      <t>セイニク</t>
    </rPh>
    <rPh sb="2" eb="4">
      <t>ショリ</t>
    </rPh>
    <rPh sb="4" eb="5">
      <t>リョウ</t>
    </rPh>
    <phoneticPr fontId="14"/>
  </si>
  <si>
    <t>19,500円</t>
    <rPh sb="6" eb="7">
      <t>エン</t>
    </rPh>
    <phoneticPr fontId="14"/>
  </si>
  <si>
    <t>160kg換算(＠160円×160kg)</t>
    <rPh sb="5" eb="7">
      <t>カンザン</t>
    </rPh>
    <rPh sb="12" eb="13">
      <t>エン</t>
    </rPh>
    <phoneticPr fontId="14"/>
  </si>
  <si>
    <t>小計</t>
    <rPh sb="0" eb="2">
      <t>ショウケイ</t>
    </rPh>
    <phoneticPr fontId="14"/>
  </si>
  <si>
    <t>46,850円</t>
    <rPh sb="6" eb="7">
      <t>エン</t>
    </rPh>
    <phoneticPr fontId="14"/>
  </si>
  <si>
    <t>精肉処理費用</t>
    <rPh sb="0" eb="2">
      <t>セイニク</t>
    </rPh>
    <rPh sb="2" eb="4">
      <t>ショリ</t>
    </rPh>
    <rPh sb="4" eb="6">
      <t>ヒヨウ</t>
    </rPh>
    <phoneticPr fontId="14"/>
  </si>
  <si>
    <t>処理料</t>
    <rPh sb="0" eb="2">
      <t>ショリ</t>
    </rPh>
    <rPh sb="2" eb="3">
      <t>リョウ</t>
    </rPh>
    <phoneticPr fontId="14"/>
  </si>
  <si>
    <t>16,000円</t>
    <rPh sb="6" eb="7">
      <t>エン</t>
    </rPh>
    <phoneticPr fontId="14"/>
  </si>
  <si>
    <t>160kg換算(＠100円×160kg)</t>
    <rPh sb="5" eb="7">
      <t>カンザン</t>
    </rPh>
    <rPh sb="12" eb="13">
      <t>エン</t>
    </rPh>
    <phoneticPr fontId="14"/>
  </si>
  <si>
    <t>真空ﾌｨﾙﾑ代</t>
    <rPh sb="0" eb="2">
      <t>シンクウ</t>
    </rPh>
    <rPh sb="6" eb="7">
      <t>ダイ</t>
    </rPh>
    <phoneticPr fontId="14"/>
  </si>
  <si>
    <t>160kg換算(＠10円×160kg)</t>
    <rPh sb="5" eb="7">
      <t>カンザン</t>
    </rPh>
    <rPh sb="11" eb="12">
      <t>エン</t>
    </rPh>
    <phoneticPr fontId="14"/>
  </si>
  <si>
    <t>ケース箱代</t>
    <rPh sb="3" eb="4">
      <t>ハコ</t>
    </rPh>
    <rPh sb="4" eb="5">
      <t>ダイ</t>
    </rPh>
    <phoneticPr fontId="14"/>
  </si>
  <si>
    <t>4,500円</t>
    <rPh sb="5" eb="6">
      <t>エン</t>
    </rPh>
    <phoneticPr fontId="14"/>
  </si>
  <si>
    <t>30箱×150円</t>
    <rPh sb="2" eb="3">
      <t>ハコ</t>
    </rPh>
    <rPh sb="7" eb="8">
      <t>エン</t>
    </rPh>
    <phoneticPr fontId="14"/>
  </si>
  <si>
    <t>消費税</t>
    <rPh sb="0" eb="3">
      <t>ショウヒゼイ</t>
    </rPh>
    <phoneticPr fontId="14"/>
  </si>
  <si>
    <t>1,768円</t>
    <rPh sb="5" eb="6">
      <t>エン</t>
    </rPh>
    <phoneticPr fontId="14"/>
  </si>
  <si>
    <t>23.868円</t>
    <rPh sb="6" eb="7">
      <t>エン</t>
    </rPh>
    <phoneticPr fontId="14"/>
  </si>
  <si>
    <t>総計</t>
    <rPh sb="0" eb="2">
      <t>ソウケイ</t>
    </rPh>
    <phoneticPr fontId="14"/>
  </si>
  <si>
    <t>70,718円</t>
    <rPh sb="6" eb="7">
      <t>エン</t>
    </rPh>
    <phoneticPr fontId="14"/>
  </si>
  <si>
    <t>70,718円で屠畜、精肉加工を行い、256,000円/頭（160kg×1,600円）で買い取ってもらうこととする。</t>
    <rPh sb="6" eb="7">
      <t>エン</t>
    </rPh>
    <rPh sb="8" eb="10">
      <t>トチク</t>
    </rPh>
    <rPh sb="11" eb="13">
      <t>セイニク</t>
    </rPh>
    <rPh sb="13" eb="15">
      <t>カコウ</t>
    </rPh>
    <rPh sb="16" eb="17">
      <t>オコナ</t>
    </rPh>
    <rPh sb="26" eb="27">
      <t>エン</t>
    </rPh>
    <rPh sb="28" eb="29">
      <t>トウ</t>
    </rPh>
    <rPh sb="41" eb="42">
      <t>エン</t>
    </rPh>
    <rPh sb="44" eb="45">
      <t>カ</t>
    </rPh>
    <rPh sb="46" eb="47">
      <t>ト</t>
    </rPh>
    <phoneticPr fontId="14"/>
  </si>
  <si>
    <t>農家掛金＝家畜評価額×（40～80％(選択)）×（掛金率（3年毎改定））×（50％農家負担割合）×（1年間に占める加入月の割合(短期加入)）</t>
    <rPh sb="0" eb="2">
      <t>ノウカ</t>
    </rPh>
    <rPh sb="2" eb="4">
      <t>カケキン</t>
    </rPh>
    <rPh sb="5" eb="7">
      <t>カチク</t>
    </rPh>
    <rPh sb="7" eb="10">
      <t>ヒョウカガク</t>
    </rPh>
    <rPh sb="19" eb="21">
      <t>センタク</t>
    </rPh>
    <rPh sb="25" eb="27">
      <t>カケキン</t>
    </rPh>
    <rPh sb="27" eb="28">
      <t>リツ</t>
    </rPh>
    <rPh sb="30" eb="31">
      <t>ネン</t>
    </rPh>
    <rPh sb="31" eb="32">
      <t>ゴト</t>
    </rPh>
    <rPh sb="32" eb="34">
      <t>カイテイ</t>
    </rPh>
    <rPh sb="41" eb="43">
      <t>ノウカ</t>
    </rPh>
    <rPh sb="43" eb="45">
      <t>フタン</t>
    </rPh>
    <rPh sb="45" eb="47">
      <t>ワリアイ</t>
    </rPh>
    <rPh sb="51" eb="53">
      <t>ネンカン</t>
    </rPh>
    <rPh sb="54" eb="55">
      <t>シ</t>
    </rPh>
    <rPh sb="57" eb="59">
      <t>カニュウ</t>
    </rPh>
    <rPh sb="59" eb="60">
      <t>ツキ</t>
    </rPh>
    <rPh sb="61" eb="63">
      <t>ワリアイ</t>
    </rPh>
    <rPh sb="64" eb="66">
      <t>タンキ</t>
    </rPh>
    <rPh sb="66" eb="68">
      <t>カニュウ</t>
    </rPh>
    <phoneticPr fontId="14"/>
  </si>
  <si>
    <t>1頭272,500円の評価で補償50％を選択し、掛金率（死廃・病傷対応で農家付加金も含む）は山口中部・東部の7.28％、8カ月間加入とした場合の農家掛金は</t>
    <rPh sb="1" eb="2">
      <t>トウ</t>
    </rPh>
    <rPh sb="9" eb="10">
      <t>エン</t>
    </rPh>
    <rPh sb="11" eb="13">
      <t>ヒョウカ</t>
    </rPh>
    <rPh sb="14" eb="16">
      <t>ホショウ</t>
    </rPh>
    <rPh sb="20" eb="22">
      <t>センタク</t>
    </rPh>
    <rPh sb="24" eb="26">
      <t>カケキン</t>
    </rPh>
    <rPh sb="26" eb="27">
      <t>リツ</t>
    </rPh>
    <rPh sb="28" eb="29">
      <t>シ</t>
    </rPh>
    <rPh sb="29" eb="30">
      <t>ハイ</t>
    </rPh>
    <rPh sb="31" eb="32">
      <t>ビョウ</t>
    </rPh>
    <rPh sb="32" eb="33">
      <t>キズ</t>
    </rPh>
    <rPh sb="33" eb="35">
      <t>タイオウ</t>
    </rPh>
    <rPh sb="36" eb="38">
      <t>ノウカ</t>
    </rPh>
    <rPh sb="38" eb="40">
      <t>フカ</t>
    </rPh>
    <rPh sb="40" eb="41">
      <t>キン</t>
    </rPh>
    <rPh sb="42" eb="43">
      <t>フク</t>
    </rPh>
    <rPh sb="46" eb="48">
      <t>ヤマグチ</t>
    </rPh>
    <rPh sb="48" eb="50">
      <t>チュウブ</t>
    </rPh>
    <rPh sb="51" eb="53">
      <t>トウブ</t>
    </rPh>
    <rPh sb="62" eb="64">
      <t>ゲツカン</t>
    </rPh>
    <rPh sb="64" eb="66">
      <t>カニュウ</t>
    </rPh>
    <rPh sb="69" eb="71">
      <t>バアイ</t>
    </rPh>
    <rPh sb="72" eb="74">
      <t>ノウカ</t>
    </rPh>
    <rPh sb="74" eb="76">
      <t>カケキン</t>
    </rPh>
    <phoneticPr fontId="14"/>
  </si>
  <si>
    <t>円</t>
    <rPh sb="0" eb="1">
      <t>エン</t>
    </rPh>
    <phoneticPr fontId="14"/>
  </si>
  <si>
    <t>×</t>
    <phoneticPr fontId="14"/>
  </si>
  <si>
    <t>頭</t>
    <rPh sb="0" eb="1">
      <t>トウ</t>
    </rPh>
    <phoneticPr fontId="14"/>
  </si>
  <si>
    <t>/</t>
    <phoneticPr fontId="14"/>
  </si>
  <si>
    <t>=</t>
    <phoneticPr fontId="14"/>
  </si>
  <si>
    <t>（1頭あたり3,306.4円）</t>
    <rPh sb="2" eb="3">
      <t>トウ</t>
    </rPh>
    <rPh sb="13" eb="14">
      <t>エン</t>
    </rPh>
    <phoneticPr fontId="14"/>
  </si>
  <si>
    <t>式</t>
    <rPh sb="0" eb="1">
      <t>シキ</t>
    </rPh>
    <phoneticPr fontId="14"/>
  </si>
  <si>
    <t>合計
(円/10a)</t>
    <rPh sb="0" eb="2">
      <t>ゴウケイ</t>
    </rPh>
    <phoneticPr fontId="14"/>
  </si>
  <si>
    <t>単価(円)</t>
    <rPh sb="0" eb="2">
      <t>タンカ</t>
    </rPh>
    <rPh sb="3" eb="4">
      <t>エン</t>
    </rPh>
    <phoneticPr fontId="14"/>
  </si>
  <si>
    <t>②償却資産　施設　年償却費（10a当り）</t>
    <rPh sb="1" eb="3">
      <t>ショウキャク</t>
    </rPh>
    <rPh sb="3" eb="5">
      <t>シサン</t>
    </rPh>
    <rPh sb="6" eb="8">
      <t>シセツ</t>
    </rPh>
    <rPh sb="9" eb="10">
      <t>ネン</t>
    </rPh>
    <rPh sb="10" eb="12">
      <t>ショウキャク</t>
    </rPh>
    <rPh sb="12" eb="13">
      <t>ヒ</t>
    </rPh>
    <rPh sb="17" eb="18">
      <t>ア</t>
    </rPh>
    <phoneticPr fontId="14"/>
  </si>
  <si>
    <t>②償却資産　機械　年償却費（10a当り）</t>
    <rPh sb="1" eb="3">
      <t>ショウキャク</t>
    </rPh>
    <rPh sb="3" eb="5">
      <t>シサン</t>
    </rPh>
    <rPh sb="6" eb="8">
      <t>キカイ</t>
    </rPh>
    <rPh sb="9" eb="10">
      <t>ネン</t>
    </rPh>
    <rPh sb="10" eb="12">
      <t>ショウキャク</t>
    </rPh>
    <rPh sb="12" eb="13">
      <t>ヒ</t>
    </rPh>
    <rPh sb="17" eb="18">
      <t>ア</t>
    </rPh>
    <phoneticPr fontId="14"/>
  </si>
  <si>
    <t>②償却資産　大植物　年償却費（10a当り）</t>
    <rPh sb="1" eb="3">
      <t>ショウキャク</t>
    </rPh>
    <rPh sb="3" eb="5">
      <t>シサン</t>
    </rPh>
    <rPh sb="6" eb="7">
      <t>ダイ</t>
    </rPh>
    <rPh sb="7" eb="9">
      <t>ショクブツ</t>
    </rPh>
    <rPh sb="10" eb="11">
      <t>ネン</t>
    </rPh>
    <rPh sb="11" eb="13">
      <t>ショウキャク</t>
    </rPh>
    <rPh sb="13" eb="14">
      <t>ヒ</t>
    </rPh>
    <rPh sb="18" eb="19">
      <t>ア</t>
    </rPh>
    <phoneticPr fontId="14"/>
  </si>
  <si>
    <t>混合油</t>
    <rPh sb="0" eb="2">
      <t>コンゴウ</t>
    </rPh>
    <rPh sb="2" eb="3">
      <t>ユ</t>
    </rPh>
    <phoneticPr fontId="14"/>
  </si>
  <si>
    <t>販売量(頭)</t>
    <rPh sb="4" eb="5">
      <t>トウ</t>
    </rPh>
    <phoneticPr fontId="14"/>
  </si>
  <si>
    <t>基幹労働</t>
    <rPh sb="0" eb="2">
      <t>キカン</t>
    </rPh>
    <rPh sb="2" eb="4">
      <t>ロウドウ</t>
    </rPh>
    <phoneticPr fontId="14"/>
  </si>
  <si>
    <t>補助労働</t>
    <rPh sb="0" eb="2">
      <t>ホジョ</t>
    </rPh>
    <rPh sb="2" eb="4">
      <t>ロウドウ</t>
    </rPh>
    <phoneticPr fontId="14"/>
  </si>
  <si>
    <t>機械利用
時間</t>
    <phoneticPr fontId="14"/>
  </si>
  <si>
    <t>種類</t>
    <rPh sb="0" eb="2">
      <t>シュルイ</t>
    </rPh>
    <phoneticPr fontId="14"/>
  </si>
  <si>
    <t>単位</t>
    <rPh sb="0" eb="2">
      <t>タンイ</t>
    </rPh>
    <phoneticPr fontId="14"/>
  </si>
  <si>
    <t>植付本数</t>
    <rPh sb="0" eb="2">
      <t>ウエツケ</t>
    </rPh>
    <rPh sb="2" eb="4">
      <t>ホンスウ</t>
    </rPh>
    <phoneticPr fontId="14"/>
  </si>
  <si>
    <t>本</t>
    <rPh sb="0" eb="1">
      <t>ホン</t>
    </rPh>
    <phoneticPr fontId="14"/>
  </si>
  <si>
    <t>播種量</t>
    <rPh sb="0" eb="2">
      <t>ハシュ</t>
    </rPh>
    <rPh sb="2" eb="3">
      <t>リョウ</t>
    </rPh>
    <phoneticPr fontId="14"/>
  </si>
  <si>
    <t>kg</t>
    <phoneticPr fontId="14"/>
  </si>
  <si>
    <t>飼養頭数</t>
    <rPh sb="0" eb="2">
      <t>シヨウ</t>
    </rPh>
    <rPh sb="2" eb="4">
      <t>トウスウ</t>
    </rPh>
    <phoneticPr fontId="14"/>
  </si>
  <si>
    <t>労働費</t>
    <rPh sb="0" eb="3">
      <t>ロウドウヒ</t>
    </rPh>
    <phoneticPr fontId="14"/>
  </si>
  <si>
    <t>基幹労働</t>
    <rPh sb="0" eb="2">
      <t>キカン</t>
    </rPh>
    <rPh sb="2" eb="4">
      <t>ロウドウ</t>
    </rPh>
    <phoneticPr fontId="31"/>
  </si>
  <si>
    <t>自家労賃を含む</t>
    <rPh sb="0" eb="2">
      <t>ジカ</t>
    </rPh>
    <rPh sb="2" eb="4">
      <t>ロウチン</t>
    </rPh>
    <rPh sb="5" eb="6">
      <t>フク</t>
    </rPh>
    <phoneticPr fontId="14"/>
  </si>
  <si>
    <t>補助労働</t>
    <rPh sb="0" eb="2">
      <t>ホジョ</t>
    </rPh>
    <rPh sb="2" eb="4">
      <t>ロウドウ</t>
    </rPh>
    <phoneticPr fontId="31"/>
  </si>
  <si>
    <t>10a当たり</t>
    <rPh sb="3" eb="4">
      <t>ア</t>
    </rPh>
    <phoneticPr fontId="14"/>
  </si>
  <si>
    <t>商品化率</t>
    <rPh sb="0" eb="3">
      <t>ショウヒンカ</t>
    </rPh>
    <rPh sb="3" eb="4">
      <t>リツ</t>
    </rPh>
    <phoneticPr fontId="14"/>
  </si>
  <si>
    <t>補助労働(ア)</t>
    <rPh sb="0" eb="2">
      <t>ホジョ</t>
    </rPh>
    <rPh sb="2" eb="4">
      <t>ロウドウ</t>
    </rPh>
    <phoneticPr fontId="14"/>
  </si>
  <si>
    <t>備考</t>
    <rPh sb="0" eb="2">
      <t>ビコウ</t>
    </rPh>
    <phoneticPr fontId="14"/>
  </si>
  <si>
    <t>山口県最低賃金（H28.10.1）</t>
    <phoneticPr fontId="14"/>
  </si>
  <si>
    <t>オイル(自動計算)</t>
    <rPh sb="4" eb="6">
      <t>ジドウ</t>
    </rPh>
    <rPh sb="6" eb="8">
      <t>ケイサン</t>
    </rPh>
    <phoneticPr fontId="14"/>
  </si>
  <si>
    <t>H27年平均価格　石油情報センターより</t>
    <rPh sb="3" eb="4">
      <t>ネン</t>
    </rPh>
    <rPh sb="4" eb="6">
      <t>ヘイキン</t>
    </rPh>
    <rPh sb="6" eb="8">
      <t>カカク</t>
    </rPh>
    <rPh sb="9" eb="11">
      <t>セキユ</t>
    </rPh>
    <rPh sb="11" eb="13">
      <t>ジョウホウ</t>
    </rPh>
    <phoneticPr fontId="14"/>
  </si>
  <si>
    <t>その他燃料</t>
    <phoneticPr fontId="14"/>
  </si>
  <si>
    <t>田</t>
  </si>
  <si>
    <t>該当しない</t>
  </si>
  <si>
    <t>―</t>
    <phoneticPr fontId="14"/>
  </si>
  <si>
    <t>イメージ</t>
    <phoneticPr fontId="14"/>
  </si>
</sst>
</file>

<file path=xl/styles.xml><?xml version="1.0" encoding="utf-8"?>
<styleSheet xmlns="http://schemas.openxmlformats.org/spreadsheetml/2006/main" xmlns:mc="http://schemas.openxmlformats.org/markup-compatibility/2006" xmlns:x14ac="http://schemas.microsoft.com/office/spreadsheetml/2009/9/ac" mc:Ignorable="x14ac">
  <numFmts count="31">
    <numFmt numFmtId="176" formatCode="0.0&quot;ha&quot;"/>
    <numFmt numFmtId="177" formatCode="0.0&quot; a&quot;"/>
    <numFmt numFmtId="178" formatCode="0.0"/>
    <numFmt numFmtId="179" formatCode="#,##0.0;[Red]\-#,##0.0"/>
    <numFmt numFmtId="180" formatCode="0.0&quot;a当り&quot;"/>
    <numFmt numFmtId="181" formatCode="#,##0.0"/>
    <numFmt numFmtId="182" formatCode="#,##0\ ;\(#,##0\)"/>
    <numFmt numFmtId="183" formatCode="0&quot;月&quot;"/>
    <numFmt numFmtId="184" formatCode="\["/>
    <numFmt numFmtId="185" formatCode="#,##0_ ;[Red]\-#,##0\ "/>
    <numFmt numFmtId="186" formatCode="&quot;購入補充&quot;#,##0&quot;円&quot;"/>
    <numFmt numFmtId="187" formatCode="&quot;修繕費(負担取得価格の1%)&quot;#,##0&quot;円&quot;"/>
    <numFmt numFmtId="188" formatCode="&quot;所得率&quot;0.0%"/>
    <numFmt numFmtId="189" formatCode="0.0%"/>
    <numFmt numFmtId="190" formatCode="#,##0&quot;円&quot;"/>
    <numFmt numFmtId="191" formatCode="#,##0_ "/>
    <numFmt numFmtId="192" formatCode="0\ &quot;月&quot;"/>
    <numFmt numFmtId="193" formatCode="&quot; &quot;@&quot;旬&quot;"/>
    <numFmt numFmtId="194" formatCode="0.00\ &quot;ha&quot;"/>
    <numFmt numFmtId="195" formatCode="_ * #,##0.0_ ;_ * \-#,##0.0_ ;_ * &quot;&quot;??_ ;_ @_ "/>
    <numFmt numFmtId="196" formatCode="0.0_);[Red]\(0.0\)"/>
    <numFmt numFmtId="197" formatCode="#,##0;&quot;▲ &quot;#,##0"/>
    <numFmt numFmtId="198" formatCode="#,###"/>
    <numFmt numFmtId="199" formatCode="_ * #,##0.00_ ;_ * \-#,##0.00_ ;_ * &quot;&quot;??_ ;_ @_ "/>
    <numFmt numFmtId="200" formatCode="#,##0.0_);[Red]\(#,##0.0\)"/>
    <numFmt numFmtId="201" formatCode="#,###&quot;円&quot;"/>
    <numFmt numFmtId="202" formatCode="#"/>
    <numFmt numFmtId="203" formatCode="#,##0.00_ "/>
    <numFmt numFmtId="204" formatCode="#,##0.0_ "/>
    <numFmt numFmtId="205" formatCode="_ * #,##0.0_ ;[Red]_ * \-#,##0.0_ ;_ * &quot;&quot;??_ ;_ @_ "/>
    <numFmt numFmtId="206" formatCode="0_);[Red]\(0\)"/>
  </numFmts>
  <fonts count="41">
    <font>
      <sz val="11"/>
      <name val="ＭＳ Ｐゴシック"/>
      <family val="3"/>
      <charset val="128"/>
    </font>
    <font>
      <sz val="11"/>
      <color theme="1"/>
      <name val="ＭＳ Ｐゴシック"/>
      <family val="2"/>
      <charset val="128"/>
      <scheme val="minor"/>
    </font>
    <font>
      <sz val="9.5"/>
      <name val="明朝"/>
      <family val="1"/>
      <charset val="128"/>
    </font>
    <font>
      <sz val="11"/>
      <color indexed="8"/>
      <name val="ＭＳ Ｐゴシック"/>
      <family val="3"/>
      <charset val="128"/>
    </font>
    <font>
      <sz val="10"/>
      <name val="ＭＳ 明朝"/>
      <family val="1"/>
      <charset val="128"/>
    </font>
    <font>
      <sz val="10"/>
      <name val="ＭＳ ゴシック"/>
      <family val="3"/>
      <charset val="128"/>
    </font>
    <font>
      <b/>
      <sz val="9"/>
      <color indexed="8"/>
      <name val="ＭＳ Ｐゴシック"/>
      <family val="3"/>
      <charset val="128"/>
    </font>
    <font>
      <sz val="9"/>
      <color indexed="8"/>
      <name val="ＭＳ Ｐゴシック"/>
      <family val="3"/>
      <charset val="128"/>
    </font>
    <font>
      <sz val="8"/>
      <name val="ＭＳ 明朝"/>
      <family val="1"/>
      <charset val="128"/>
    </font>
    <font>
      <sz val="9"/>
      <name val="ＭＳ Ｐゴシック"/>
      <family val="3"/>
      <charset val="128"/>
    </font>
    <font>
      <b/>
      <sz val="11"/>
      <name val="ＭＳ Ｐゴシック"/>
      <family val="3"/>
      <charset val="128"/>
    </font>
    <font>
      <sz val="9"/>
      <name val="ＭＳ 明朝"/>
      <family val="1"/>
      <charset val="128"/>
    </font>
    <font>
      <b/>
      <sz val="10"/>
      <name val="ＭＳ Ｐゴシック"/>
      <family val="3"/>
      <charset val="128"/>
    </font>
    <font>
      <b/>
      <sz val="10"/>
      <color indexed="12"/>
      <name val="ＭＳ Ｐゴシック"/>
      <family val="3"/>
      <charset val="128"/>
    </font>
    <font>
      <sz val="6"/>
      <name val="ＭＳ Ｐゴシック"/>
      <family val="3"/>
      <charset val="128"/>
    </font>
    <font>
      <sz val="9.5"/>
      <name val="ＭＳ Ｐゴシック"/>
      <family val="3"/>
      <charset val="128"/>
    </font>
    <font>
      <sz val="11"/>
      <name val="ＭＳ Ｐゴシック"/>
      <family val="3"/>
      <charset val="128"/>
    </font>
    <font>
      <sz val="9"/>
      <color indexed="81"/>
      <name val="ＭＳ Ｐゴシック"/>
      <family val="3"/>
      <charset val="128"/>
    </font>
    <font>
      <b/>
      <sz val="9"/>
      <color indexed="81"/>
      <name val="ＭＳ Ｐゴシック"/>
      <family val="3"/>
      <charset val="128"/>
    </font>
    <font>
      <b/>
      <sz val="11"/>
      <color indexed="81"/>
      <name val="ＭＳ Ｐゴシック"/>
      <family val="3"/>
      <charset val="128"/>
    </font>
    <font>
      <b/>
      <sz val="11"/>
      <color indexed="8"/>
      <name val="ＭＳ Ｐゴシック"/>
      <family val="3"/>
      <charset val="128"/>
    </font>
    <font>
      <sz val="11"/>
      <color rgb="FFFF0000"/>
      <name val="ＭＳ Ｐゴシック"/>
      <family val="3"/>
      <charset val="128"/>
    </font>
    <font>
      <sz val="12"/>
      <name val="ＭＳ Ｐゴシック"/>
      <family val="3"/>
      <charset val="128"/>
    </font>
    <font>
      <sz val="10"/>
      <name val="ＭＳ Ｐゴシック"/>
      <family val="3"/>
      <charset val="128"/>
    </font>
    <font>
      <sz val="8"/>
      <name val="ＭＳ Ｐゴシック"/>
      <family val="3"/>
      <charset val="128"/>
    </font>
    <font>
      <sz val="9"/>
      <color rgb="FFFF0000"/>
      <name val="ＭＳ Ｐゴシック"/>
      <family val="3"/>
      <charset val="128"/>
    </font>
    <font>
      <b/>
      <sz val="10"/>
      <color indexed="10"/>
      <name val="ＭＳ Ｐゴシック"/>
      <family val="3"/>
      <charset val="128"/>
    </font>
    <font>
      <b/>
      <sz val="9"/>
      <name val="ＭＳ Ｐゴシック"/>
      <family val="3"/>
      <charset val="128"/>
    </font>
    <font>
      <b/>
      <i/>
      <sz val="9"/>
      <name val="ＭＳ Ｐゴシック"/>
      <family val="3"/>
      <charset val="128"/>
    </font>
    <font>
      <b/>
      <i/>
      <sz val="10"/>
      <name val="ＭＳ Ｐゴシック"/>
      <family val="3"/>
      <charset val="128"/>
    </font>
    <font>
      <sz val="10"/>
      <color rgb="FFFF0000"/>
      <name val="ＭＳ Ｐゴシック"/>
      <family val="3"/>
      <charset val="128"/>
    </font>
    <font>
      <sz val="11"/>
      <color theme="1"/>
      <name val="ＭＳ Ｐゴシック"/>
      <family val="3"/>
      <charset val="128"/>
      <scheme val="minor"/>
    </font>
    <font>
      <sz val="8"/>
      <color rgb="FFFF0000"/>
      <name val="ＭＳ Ｐゴシック"/>
      <family val="3"/>
      <charset val="128"/>
    </font>
    <font>
      <sz val="14"/>
      <name val="ＭＳ Ｐゴシック"/>
      <family val="3"/>
      <charset val="128"/>
    </font>
    <font>
      <sz val="11"/>
      <color indexed="9"/>
      <name val="ＭＳ Ｐゴシック"/>
      <family val="3"/>
      <charset val="128"/>
    </font>
    <font>
      <sz val="11"/>
      <color indexed="81"/>
      <name val="ＭＳ Ｐゴシック"/>
      <family val="3"/>
      <charset val="128"/>
    </font>
    <font>
      <b/>
      <sz val="11"/>
      <color indexed="10"/>
      <name val="ＭＳ Ｐゴシック"/>
      <family val="3"/>
      <charset val="128"/>
    </font>
    <font>
      <sz val="14"/>
      <name val="ＭＳ 明朝"/>
      <family val="1"/>
      <charset val="128"/>
    </font>
    <font>
      <b/>
      <sz val="14"/>
      <name val="ＭＳ Ｐゴシック"/>
      <family val="3"/>
      <charset val="128"/>
    </font>
    <font>
      <sz val="11"/>
      <color theme="0"/>
      <name val="ＭＳ Ｐゴシック"/>
      <family val="3"/>
      <charset val="128"/>
    </font>
    <font>
      <sz val="10"/>
      <name val="ＭＳ Ｐゴシック"/>
      <family val="3"/>
      <charset val="128"/>
      <scheme val="minor"/>
    </font>
  </fonts>
  <fills count="27">
    <fill>
      <patternFill patternType="none"/>
    </fill>
    <fill>
      <patternFill patternType="gray125"/>
    </fill>
    <fill>
      <patternFill patternType="solid">
        <fgColor indexed="43"/>
        <bgColor indexed="26"/>
      </patternFill>
    </fill>
    <fill>
      <patternFill patternType="solid">
        <fgColor indexed="42"/>
        <bgColor indexed="27"/>
      </patternFill>
    </fill>
    <fill>
      <patternFill patternType="solid">
        <fgColor indexed="26"/>
        <bgColor indexed="43"/>
      </patternFill>
    </fill>
    <fill>
      <patternFill patternType="solid">
        <fgColor indexed="22"/>
        <bgColor indexed="31"/>
      </patternFill>
    </fill>
    <fill>
      <patternFill patternType="solid">
        <fgColor theme="8" tint="0.59999389629810485"/>
        <bgColor indexed="64"/>
      </patternFill>
    </fill>
    <fill>
      <patternFill patternType="solid">
        <fgColor rgb="FFCCFFCC"/>
        <bgColor indexed="64"/>
      </patternFill>
    </fill>
    <fill>
      <patternFill patternType="solid">
        <fgColor theme="8" tint="0.59999389629810485"/>
        <bgColor indexed="49"/>
      </patternFill>
    </fill>
    <fill>
      <patternFill patternType="solid">
        <fgColor theme="8" tint="0.59999389629810485"/>
        <bgColor indexed="42"/>
      </patternFill>
    </fill>
    <fill>
      <patternFill patternType="solid">
        <fgColor rgb="FFCCFFCC"/>
        <bgColor indexed="42"/>
      </patternFill>
    </fill>
    <fill>
      <patternFill patternType="solid">
        <fgColor rgb="FFCCFFCC"/>
        <bgColor indexed="49"/>
      </patternFill>
    </fill>
    <fill>
      <patternFill patternType="solid">
        <fgColor rgb="FFFFFF99"/>
        <bgColor indexed="64"/>
      </patternFill>
    </fill>
    <fill>
      <patternFill patternType="solid">
        <fgColor rgb="FFFFFF99"/>
        <bgColor indexed="26"/>
      </patternFill>
    </fill>
    <fill>
      <patternFill patternType="solid">
        <fgColor rgb="FFCCFFCC"/>
        <bgColor indexed="27"/>
      </patternFill>
    </fill>
    <fill>
      <patternFill patternType="solid">
        <fgColor theme="5" tint="0.59999389629810485"/>
        <bgColor indexed="27"/>
      </patternFill>
    </fill>
    <fill>
      <patternFill patternType="solid">
        <fgColor theme="5" tint="0.59999389629810485"/>
        <bgColor indexed="26"/>
      </patternFill>
    </fill>
    <fill>
      <patternFill patternType="solid">
        <fgColor theme="5" tint="0.59999389629810485"/>
        <bgColor indexed="49"/>
      </patternFill>
    </fill>
    <fill>
      <patternFill patternType="solid">
        <fgColor theme="5" tint="0.59999389629810485"/>
        <bgColor indexed="64"/>
      </patternFill>
    </fill>
    <fill>
      <patternFill patternType="mediumGray">
        <fgColor indexed="42"/>
      </patternFill>
    </fill>
    <fill>
      <patternFill patternType="mediumGray">
        <fgColor indexed="47"/>
      </patternFill>
    </fill>
    <fill>
      <patternFill patternType="darkGray">
        <fgColor indexed="42"/>
      </patternFill>
    </fill>
    <fill>
      <patternFill patternType="solid">
        <fgColor rgb="FFFFFF00"/>
        <bgColor indexed="64"/>
      </patternFill>
    </fill>
    <fill>
      <patternFill patternType="solid">
        <fgColor rgb="FFFFC000"/>
        <bgColor indexed="64"/>
      </patternFill>
    </fill>
    <fill>
      <patternFill patternType="solid">
        <fgColor theme="0"/>
        <bgColor indexed="64"/>
      </patternFill>
    </fill>
    <fill>
      <patternFill patternType="solid">
        <fgColor theme="8" tint="0.59999389629810485"/>
        <bgColor indexed="27"/>
      </patternFill>
    </fill>
    <fill>
      <patternFill patternType="lightGray"/>
    </fill>
  </fills>
  <borders count="250">
    <border>
      <left/>
      <right/>
      <top/>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hair">
        <color indexed="8"/>
      </bottom>
      <diagonal/>
    </border>
    <border>
      <left style="thin">
        <color indexed="8"/>
      </left>
      <right style="thin">
        <color indexed="8"/>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style="thin">
        <color indexed="8"/>
      </right>
      <top style="thin">
        <color indexed="8"/>
      </top>
      <bottom/>
      <diagonal/>
    </border>
    <border>
      <left style="thin">
        <color indexed="8"/>
      </left>
      <right/>
      <top style="hair">
        <color indexed="8"/>
      </top>
      <bottom style="hair">
        <color indexed="8"/>
      </bottom>
      <diagonal/>
    </border>
    <border>
      <left style="thin">
        <color indexed="8"/>
      </left>
      <right style="thin">
        <color indexed="8"/>
      </right>
      <top style="hair">
        <color indexed="8"/>
      </top>
      <bottom style="hair">
        <color indexed="8"/>
      </bottom>
      <diagonal/>
    </border>
    <border>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style="thin">
        <color indexed="8"/>
      </left>
      <right/>
      <top style="hair">
        <color indexed="8"/>
      </top>
      <bottom style="thin">
        <color indexed="8"/>
      </bottom>
      <diagonal/>
    </border>
    <border>
      <left/>
      <right style="thin">
        <color indexed="8"/>
      </right>
      <top style="hair">
        <color indexed="8"/>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8"/>
      </right>
      <top/>
      <bottom style="hair">
        <color indexed="8"/>
      </bottom>
      <diagonal/>
    </border>
    <border>
      <left style="thin">
        <color indexed="8"/>
      </left>
      <right style="thin">
        <color indexed="8"/>
      </right>
      <top/>
      <bottom style="hair">
        <color indexed="8"/>
      </bottom>
      <diagonal/>
    </border>
    <border>
      <left style="thin">
        <color indexed="8"/>
      </left>
      <right/>
      <top/>
      <bottom style="hair">
        <color indexed="8"/>
      </bottom>
      <diagonal/>
    </border>
    <border>
      <left/>
      <right/>
      <top/>
      <bottom style="hair">
        <color indexed="8"/>
      </bottom>
      <diagonal/>
    </border>
    <border>
      <left style="thin">
        <color indexed="8"/>
      </left>
      <right style="hair">
        <color indexed="8"/>
      </right>
      <top style="thin">
        <color indexed="8"/>
      </top>
      <bottom/>
      <diagonal/>
    </border>
    <border>
      <left style="hair">
        <color indexed="8"/>
      </left>
      <right style="hair">
        <color indexed="8"/>
      </right>
      <top style="thin">
        <color indexed="8"/>
      </top>
      <bottom/>
      <diagonal/>
    </border>
    <border>
      <left style="hair">
        <color indexed="8"/>
      </left>
      <right style="thin">
        <color indexed="8"/>
      </right>
      <top style="thin">
        <color indexed="8"/>
      </top>
      <bottom/>
      <diagonal/>
    </border>
    <border>
      <left/>
      <right/>
      <top style="thin">
        <color indexed="8"/>
      </top>
      <bottom style="thin">
        <color indexed="8"/>
      </bottom>
      <diagonal/>
    </border>
    <border>
      <left style="thin">
        <color indexed="8"/>
      </left>
      <right/>
      <top style="thin">
        <color indexed="8"/>
      </top>
      <bottom/>
      <diagonal/>
    </border>
    <border>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8"/>
      </left>
      <right style="thin">
        <color indexed="8"/>
      </right>
      <top style="thin">
        <color indexed="8"/>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medium">
        <color indexed="8"/>
      </right>
      <top style="hair">
        <color indexed="8"/>
      </top>
      <bottom style="hair">
        <color indexed="8"/>
      </bottom>
      <diagonal/>
    </border>
    <border>
      <left style="medium">
        <color indexed="8"/>
      </left>
      <right style="hair">
        <color indexed="8"/>
      </right>
      <top/>
      <bottom style="hair">
        <color indexed="8"/>
      </bottom>
      <diagonal/>
    </border>
    <border>
      <left style="hair">
        <color indexed="8"/>
      </left>
      <right style="hair">
        <color indexed="8"/>
      </right>
      <top/>
      <bottom style="hair">
        <color indexed="8"/>
      </bottom>
      <diagonal/>
    </border>
    <border>
      <left style="hair">
        <color indexed="8"/>
      </left>
      <right style="hair">
        <color indexed="8"/>
      </right>
      <top/>
      <bottom/>
      <diagonal/>
    </border>
    <border>
      <left style="hair">
        <color indexed="8"/>
      </left>
      <right/>
      <top/>
      <bottom style="hair">
        <color indexed="8"/>
      </bottom>
      <diagonal/>
    </border>
    <border>
      <left style="hair">
        <color indexed="8"/>
      </left>
      <right style="medium">
        <color indexed="8"/>
      </right>
      <top/>
      <bottom style="hair">
        <color indexed="8"/>
      </bottom>
      <diagonal/>
    </border>
    <border>
      <left/>
      <right style="hair">
        <color indexed="8"/>
      </right>
      <top/>
      <bottom style="hair">
        <color indexed="8"/>
      </bottom>
      <diagonal/>
    </border>
    <border>
      <left style="hair">
        <color indexed="8"/>
      </left>
      <right style="hair">
        <color indexed="8"/>
      </right>
      <top style="hair">
        <color indexed="8"/>
      </top>
      <bottom style="hair">
        <color indexed="8"/>
      </bottom>
      <diagonal/>
    </border>
    <border>
      <left style="medium">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8"/>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style="hair">
        <color indexed="8"/>
      </right>
      <top style="thin">
        <color indexed="8"/>
      </top>
      <bottom style="thin">
        <color indexed="8"/>
      </bottom>
      <diagonal/>
    </border>
    <border>
      <left/>
      <right style="hair">
        <color indexed="8"/>
      </right>
      <top style="thin">
        <color indexed="8"/>
      </top>
      <bottom style="thin">
        <color indexed="8"/>
      </bottom>
      <diagonal/>
    </border>
    <border>
      <left style="hair">
        <color indexed="8"/>
      </left>
      <right style="thin">
        <color indexed="8"/>
      </right>
      <top style="thin">
        <color indexed="8"/>
      </top>
      <bottom style="thin">
        <color indexed="8"/>
      </bottom>
      <diagonal/>
    </border>
    <border>
      <left/>
      <right style="hair">
        <color indexed="8"/>
      </right>
      <top/>
      <bottom/>
      <diagonal/>
    </border>
    <border>
      <left style="hair">
        <color indexed="8"/>
      </left>
      <right style="hair">
        <color indexed="8"/>
      </right>
      <top style="thin">
        <color indexed="8"/>
      </top>
      <bottom style="hair">
        <color indexed="8"/>
      </bottom>
      <diagonal/>
    </border>
    <border>
      <left style="hair">
        <color indexed="8"/>
      </left>
      <right style="hair">
        <color indexed="8"/>
      </right>
      <top style="hair">
        <color indexed="8"/>
      </top>
      <bottom style="thin">
        <color indexed="8"/>
      </bottom>
      <diagonal/>
    </border>
    <border>
      <left/>
      <right style="hair">
        <color indexed="8"/>
      </right>
      <top style="thin">
        <color indexed="8"/>
      </top>
      <bottom/>
      <diagonal/>
    </border>
    <border>
      <left/>
      <right style="hair">
        <color indexed="8"/>
      </right>
      <top/>
      <bottom style="thin">
        <color indexed="8"/>
      </bottom>
      <diagonal/>
    </border>
    <border>
      <left style="thin">
        <color indexed="8"/>
      </left>
      <right/>
      <top style="hair">
        <color indexed="8"/>
      </top>
      <bottom/>
      <diagonal/>
    </border>
    <border>
      <left/>
      <right/>
      <top style="hair">
        <color indexed="8"/>
      </top>
      <bottom/>
      <diagonal/>
    </border>
    <border>
      <left/>
      <right style="thin">
        <color indexed="8"/>
      </right>
      <top style="hair">
        <color indexed="8"/>
      </top>
      <bottom/>
      <diagonal/>
    </border>
    <border>
      <left/>
      <right/>
      <top style="hair">
        <color indexed="8"/>
      </top>
      <bottom style="hair">
        <color indexed="8"/>
      </bottom>
      <diagonal/>
    </border>
    <border>
      <left/>
      <right/>
      <top style="hair">
        <color indexed="8"/>
      </top>
      <bottom style="thin">
        <color indexed="8"/>
      </bottom>
      <diagonal/>
    </border>
    <border>
      <left/>
      <right/>
      <top style="thin">
        <color indexed="8"/>
      </top>
      <bottom/>
      <diagonal/>
    </border>
    <border>
      <left style="thin">
        <color indexed="8"/>
      </left>
      <right style="medium">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hair">
        <color indexed="8"/>
      </top>
      <bottom/>
      <diagonal/>
    </border>
    <border>
      <left style="thin">
        <color indexed="22"/>
      </left>
      <right style="thin">
        <color indexed="22"/>
      </right>
      <top/>
      <bottom/>
      <diagonal/>
    </border>
    <border>
      <left style="thin">
        <color indexed="8"/>
      </left>
      <right style="medium">
        <color indexed="8"/>
      </right>
      <top/>
      <bottom style="medium">
        <color indexed="8"/>
      </bottom>
      <diagonal/>
    </border>
    <border>
      <left style="medium">
        <color indexed="8"/>
      </left>
      <right style="medium">
        <color indexed="8"/>
      </right>
      <top/>
      <bottom style="medium">
        <color indexed="8"/>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bottom style="medium">
        <color indexed="8"/>
      </bottom>
      <diagonal/>
    </border>
    <border>
      <left style="thin">
        <color indexed="8"/>
      </left>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hair">
        <color indexed="8"/>
      </right>
      <top style="thin">
        <color indexed="8"/>
      </top>
      <bottom style="thin">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medium">
        <color indexed="8"/>
      </left>
      <right style="thin">
        <color indexed="8"/>
      </right>
      <top/>
      <bottom style="medium">
        <color indexed="8"/>
      </bottom>
      <diagonal/>
    </border>
    <border>
      <left style="hair">
        <color indexed="8"/>
      </left>
      <right style="thin">
        <color indexed="8"/>
      </right>
      <top style="hair">
        <color indexed="8"/>
      </top>
      <bottom style="hair">
        <color indexed="8"/>
      </bottom>
      <diagonal/>
    </border>
    <border>
      <left style="medium">
        <color indexed="8"/>
      </left>
      <right style="thin">
        <color indexed="8"/>
      </right>
      <top style="thin">
        <color indexed="8"/>
      </top>
      <bottom/>
      <diagonal/>
    </border>
    <border>
      <left style="thin">
        <color indexed="8"/>
      </left>
      <right style="medium">
        <color indexed="8"/>
      </right>
      <top style="thin">
        <color indexed="8"/>
      </top>
      <bottom/>
      <diagonal/>
    </border>
    <border>
      <left style="medium">
        <color indexed="64"/>
      </left>
      <right style="hair">
        <color indexed="8"/>
      </right>
      <top style="medium">
        <color indexed="64"/>
      </top>
      <bottom/>
      <diagonal/>
    </border>
    <border>
      <left style="hair">
        <color indexed="8"/>
      </left>
      <right style="hair">
        <color indexed="8"/>
      </right>
      <top style="medium">
        <color indexed="64"/>
      </top>
      <bottom style="hair">
        <color indexed="8"/>
      </bottom>
      <diagonal/>
    </border>
    <border>
      <left style="hair">
        <color indexed="8"/>
      </left>
      <right/>
      <top style="medium">
        <color indexed="64"/>
      </top>
      <bottom style="hair">
        <color indexed="8"/>
      </bottom>
      <diagonal/>
    </border>
    <border>
      <left style="medium">
        <color indexed="8"/>
      </left>
      <right style="hair">
        <color indexed="8"/>
      </right>
      <top style="medium">
        <color indexed="64"/>
      </top>
      <bottom style="hair">
        <color indexed="8"/>
      </bottom>
      <diagonal/>
    </border>
    <border>
      <left style="hair">
        <color indexed="8"/>
      </left>
      <right style="medium">
        <color indexed="8"/>
      </right>
      <top style="medium">
        <color indexed="64"/>
      </top>
      <bottom style="hair">
        <color indexed="8"/>
      </bottom>
      <diagonal/>
    </border>
    <border>
      <left/>
      <right style="hair">
        <color indexed="8"/>
      </right>
      <top style="medium">
        <color indexed="64"/>
      </top>
      <bottom style="hair">
        <color indexed="8"/>
      </bottom>
      <diagonal/>
    </border>
    <border>
      <left style="medium">
        <color indexed="8"/>
      </left>
      <right style="medium">
        <color indexed="64"/>
      </right>
      <top style="medium">
        <color indexed="64"/>
      </top>
      <bottom style="hair">
        <color indexed="8"/>
      </bottom>
      <diagonal/>
    </border>
    <border>
      <left style="medium">
        <color indexed="64"/>
      </left>
      <right style="hair">
        <color indexed="8"/>
      </right>
      <top/>
      <bottom/>
      <diagonal/>
    </border>
    <border>
      <left style="medium">
        <color indexed="8"/>
      </left>
      <right style="medium">
        <color indexed="64"/>
      </right>
      <top/>
      <bottom style="hair">
        <color indexed="8"/>
      </bottom>
      <diagonal/>
    </border>
    <border>
      <left style="medium">
        <color indexed="64"/>
      </left>
      <right style="hair">
        <color indexed="8"/>
      </right>
      <top/>
      <bottom style="medium">
        <color indexed="64"/>
      </bottom>
      <diagonal/>
    </border>
    <border>
      <left style="hair">
        <color indexed="8"/>
      </left>
      <right style="hair">
        <color indexed="8"/>
      </right>
      <top/>
      <bottom style="medium">
        <color indexed="64"/>
      </bottom>
      <diagonal/>
    </border>
    <border>
      <left style="hair">
        <color indexed="8"/>
      </left>
      <right/>
      <top/>
      <bottom style="medium">
        <color indexed="64"/>
      </bottom>
      <diagonal/>
    </border>
    <border>
      <left style="medium">
        <color indexed="8"/>
      </left>
      <right style="hair">
        <color indexed="8"/>
      </right>
      <top/>
      <bottom style="medium">
        <color indexed="64"/>
      </bottom>
      <diagonal/>
    </border>
    <border>
      <left style="hair">
        <color indexed="8"/>
      </left>
      <right style="medium">
        <color indexed="8"/>
      </right>
      <top/>
      <bottom style="medium">
        <color indexed="64"/>
      </bottom>
      <diagonal/>
    </border>
    <border>
      <left/>
      <right style="hair">
        <color indexed="8"/>
      </right>
      <top/>
      <bottom style="medium">
        <color indexed="64"/>
      </bottom>
      <diagonal/>
    </border>
    <border>
      <left style="medium">
        <color indexed="8"/>
      </left>
      <right style="medium">
        <color indexed="64"/>
      </right>
      <top/>
      <bottom style="medium">
        <color indexed="64"/>
      </bottom>
      <diagonal/>
    </border>
    <border>
      <left style="hair">
        <color indexed="8"/>
      </left>
      <right style="hair">
        <color indexed="8"/>
      </right>
      <top style="hair">
        <color indexed="8"/>
      </top>
      <bottom style="double">
        <color indexed="64"/>
      </bottom>
      <diagonal/>
    </border>
    <border>
      <left style="hair">
        <color indexed="8"/>
      </left>
      <right/>
      <top style="hair">
        <color indexed="8"/>
      </top>
      <bottom style="double">
        <color indexed="64"/>
      </bottom>
      <diagonal/>
    </border>
    <border>
      <left style="medium">
        <color indexed="8"/>
      </left>
      <right style="hair">
        <color indexed="8"/>
      </right>
      <top style="hair">
        <color indexed="8"/>
      </top>
      <bottom style="double">
        <color indexed="64"/>
      </bottom>
      <diagonal/>
    </border>
    <border>
      <left style="hair">
        <color indexed="8"/>
      </left>
      <right style="medium">
        <color indexed="8"/>
      </right>
      <top style="hair">
        <color indexed="8"/>
      </top>
      <bottom style="double">
        <color indexed="64"/>
      </bottom>
      <diagonal/>
    </border>
    <border>
      <left/>
      <right style="hair">
        <color indexed="8"/>
      </right>
      <top style="hair">
        <color indexed="8"/>
      </top>
      <bottom style="double">
        <color indexed="64"/>
      </bottom>
      <diagonal/>
    </border>
    <border>
      <left style="medium">
        <color indexed="8"/>
      </left>
      <right style="medium">
        <color indexed="64"/>
      </right>
      <top style="hair">
        <color indexed="8"/>
      </top>
      <bottom style="double">
        <color indexed="64"/>
      </bottom>
      <diagonal/>
    </border>
    <border>
      <left style="thin">
        <color indexed="64"/>
      </left>
      <right style="hair">
        <color indexed="8"/>
      </right>
      <top style="medium">
        <color indexed="64"/>
      </top>
      <bottom style="hair">
        <color indexed="8"/>
      </bottom>
      <diagonal/>
    </border>
    <border>
      <left style="thin">
        <color indexed="64"/>
      </left>
      <right style="hair">
        <color indexed="8"/>
      </right>
      <top/>
      <bottom/>
      <diagonal/>
    </border>
    <border>
      <left style="thin">
        <color indexed="64"/>
      </left>
      <right style="hair">
        <color indexed="8"/>
      </right>
      <top style="hair">
        <color indexed="8"/>
      </top>
      <bottom style="hair">
        <color indexed="8"/>
      </bottom>
      <diagonal/>
    </border>
    <border>
      <left style="thin">
        <color indexed="64"/>
      </left>
      <right style="hair">
        <color indexed="8"/>
      </right>
      <top/>
      <bottom style="hair">
        <color indexed="8"/>
      </bottom>
      <diagonal/>
    </border>
    <border>
      <left style="thin">
        <color indexed="64"/>
      </left>
      <right style="hair">
        <color indexed="8"/>
      </right>
      <top style="hair">
        <color indexed="8"/>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8"/>
      </left>
      <right style="medium">
        <color indexed="64"/>
      </right>
      <top style="hair">
        <color indexed="8"/>
      </top>
      <bottom style="hair">
        <color indexed="8"/>
      </bottom>
      <diagonal/>
    </border>
    <border>
      <left style="thin">
        <color indexed="64"/>
      </left>
      <right style="hair">
        <color indexed="8"/>
      </right>
      <top/>
      <bottom style="medium">
        <color indexed="64"/>
      </bottom>
      <diagonal/>
    </border>
    <border>
      <left style="thin">
        <color indexed="8"/>
      </left>
      <right style="medium">
        <color indexed="64"/>
      </right>
      <top/>
      <bottom style="thin">
        <color indexed="8"/>
      </bottom>
      <diagonal/>
    </border>
    <border>
      <left style="thin">
        <color indexed="8"/>
      </left>
      <right style="thin">
        <color indexed="8"/>
      </right>
      <top style="thin">
        <color indexed="8"/>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medium">
        <color auto="1"/>
      </right>
      <top style="medium">
        <color auto="1"/>
      </top>
      <bottom/>
      <diagonal/>
    </border>
    <border>
      <left style="medium">
        <color auto="1"/>
      </left>
      <right/>
      <top style="medium">
        <color auto="1"/>
      </top>
      <bottom style="double">
        <color auto="1"/>
      </bottom>
      <diagonal/>
    </border>
    <border>
      <left/>
      <right/>
      <top style="medium">
        <color auto="1"/>
      </top>
      <bottom style="double">
        <color auto="1"/>
      </bottom>
      <diagonal/>
    </border>
    <border>
      <left style="thin">
        <color auto="1"/>
      </left>
      <right style="medium">
        <color auto="1"/>
      </right>
      <top style="medium">
        <color auto="1"/>
      </top>
      <bottom style="double">
        <color auto="1"/>
      </bottom>
      <diagonal/>
    </border>
    <border>
      <left style="medium">
        <color auto="1"/>
      </left>
      <right style="thin">
        <color auto="1"/>
      </right>
      <top style="double">
        <color auto="1"/>
      </top>
      <bottom/>
      <diagonal/>
    </border>
    <border>
      <left/>
      <right style="medium">
        <color auto="1"/>
      </right>
      <top/>
      <bottom/>
      <diagonal/>
    </border>
    <border>
      <left/>
      <right style="thin">
        <color auto="1"/>
      </right>
      <top style="thin">
        <color auto="1"/>
      </top>
      <bottom/>
      <diagonal/>
    </border>
    <border>
      <left/>
      <right/>
      <top style="thin">
        <color auto="1"/>
      </top>
      <bottom/>
      <diagonal/>
    </border>
    <border>
      <left style="thin">
        <color auto="1"/>
      </left>
      <right style="medium">
        <color auto="1"/>
      </right>
      <top style="thin">
        <color auto="1"/>
      </top>
      <bottom style="thin">
        <color auto="1"/>
      </bottom>
      <diagonal/>
    </border>
    <border>
      <left style="medium">
        <color auto="1"/>
      </left>
      <right style="thin">
        <color auto="1"/>
      </right>
      <top/>
      <bottom/>
      <diagonal/>
    </border>
    <border>
      <left style="medium">
        <color auto="1"/>
      </left>
      <right/>
      <top/>
      <bottom/>
      <diagonal/>
    </border>
    <border>
      <left style="medium">
        <color auto="1"/>
      </left>
      <right style="thin">
        <color auto="1"/>
      </right>
      <top style="thin">
        <color auto="1"/>
      </top>
      <bottom style="medium">
        <color auto="1"/>
      </bottom>
      <diagonal/>
    </border>
    <border>
      <left style="thin">
        <color auto="1"/>
      </left>
      <right style="medium">
        <color indexed="64"/>
      </right>
      <top style="thin">
        <color auto="1"/>
      </top>
      <bottom style="medium">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8"/>
      </left>
      <right/>
      <top style="thin">
        <color indexed="64"/>
      </top>
      <bottom/>
      <diagonal/>
    </border>
    <border>
      <left style="thin">
        <color indexed="8"/>
      </left>
      <right style="thin">
        <color indexed="64"/>
      </right>
      <top style="thin">
        <color indexed="64"/>
      </top>
      <bottom/>
      <diagonal/>
    </border>
    <border>
      <left style="thin">
        <color indexed="8"/>
      </left>
      <right style="thin">
        <color indexed="64"/>
      </right>
      <top style="hair">
        <color indexed="8"/>
      </top>
      <bottom style="hair">
        <color indexed="8"/>
      </bottom>
      <diagonal/>
    </border>
    <border>
      <left style="thin">
        <color indexed="64"/>
      </left>
      <right/>
      <top style="hair">
        <color indexed="8"/>
      </top>
      <bottom style="hair">
        <color indexed="8"/>
      </bottom>
      <diagonal/>
    </border>
    <border>
      <left style="thin">
        <color indexed="8"/>
      </left>
      <right style="thin">
        <color indexed="64"/>
      </right>
      <top style="hair">
        <color indexed="8"/>
      </top>
      <bottom/>
      <diagonal/>
    </border>
    <border>
      <left style="thin">
        <color indexed="8"/>
      </left>
      <right style="thin">
        <color indexed="64"/>
      </right>
      <top style="hair">
        <color indexed="8"/>
      </top>
      <bottom style="thin">
        <color indexed="8"/>
      </bottom>
      <diagonal/>
    </border>
    <border>
      <left style="thin">
        <color indexed="8"/>
      </left>
      <right style="thin">
        <color indexed="64"/>
      </right>
      <top/>
      <bottom style="hair">
        <color indexed="8"/>
      </bottom>
      <diagonal/>
    </border>
    <border>
      <left style="thin">
        <color indexed="8"/>
      </left>
      <right style="thin">
        <color indexed="64"/>
      </right>
      <top/>
      <bottom/>
      <diagonal/>
    </border>
    <border>
      <left style="thin">
        <color indexed="8"/>
      </left>
      <right/>
      <top style="hair">
        <color indexed="8"/>
      </top>
      <bottom style="thin">
        <color indexed="64"/>
      </bottom>
      <diagonal/>
    </border>
    <border>
      <left style="thin">
        <color indexed="8"/>
      </left>
      <right style="thin">
        <color indexed="64"/>
      </right>
      <top style="hair">
        <color indexed="8"/>
      </top>
      <bottom style="thin">
        <color indexed="64"/>
      </bottom>
      <diagonal/>
    </border>
    <border>
      <left style="thin">
        <color indexed="8"/>
      </left>
      <right/>
      <top style="thin">
        <color indexed="8"/>
      </top>
      <bottom style="hair">
        <color indexed="8"/>
      </bottom>
      <diagonal/>
    </border>
    <border>
      <left/>
      <right style="thin">
        <color indexed="8"/>
      </right>
      <top style="thin">
        <color indexed="8"/>
      </top>
      <bottom style="hair">
        <color indexed="8"/>
      </bottom>
      <diagonal/>
    </border>
    <border>
      <left/>
      <right style="hair">
        <color indexed="8"/>
      </right>
      <top style="thin">
        <color indexed="8"/>
      </top>
      <bottom style="hair">
        <color indexed="8"/>
      </bottom>
      <diagonal/>
    </border>
    <border>
      <left style="thin">
        <color indexed="8"/>
      </left>
      <right/>
      <top style="thin">
        <color indexed="8"/>
      </top>
      <bottom/>
      <diagonal/>
    </border>
    <border>
      <left style="thin">
        <color indexed="8"/>
      </left>
      <right/>
      <top/>
      <bottom/>
      <diagonal/>
    </border>
    <border>
      <left/>
      <right style="hair">
        <color indexed="8"/>
      </right>
      <top style="thin">
        <color indexed="8"/>
      </top>
      <bottom/>
      <diagonal/>
    </border>
    <border>
      <left style="thin">
        <color indexed="8"/>
      </left>
      <right style="thin">
        <color indexed="8"/>
      </right>
      <top/>
      <bottom/>
      <diagonal/>
    </border>
    <border>
      <left/>
      <right/>
      <top style="thin">
        <color indexed="64"/>
      </top>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right style="thin">
        <color indexed="8"/>
      </right>
      <top style="hair">
        <color indexed="8"/>
      </top>
      <bottom style="thin">
        <color indexed="64"/>
      </bottom>
      <diagonal/>
    </border>
    <border>
      <left style="thin">
        <color indexed="8"/>
      </left>
      <right/>
      <top style="thin">
        <color indexed="64"/>
      </top>
      <bottom style="hair">
        <color indexed="8"/>
      </bottom>
      <diagonal/>
    </border>
    <border>
      <left/>
      <right style="thin">
        <color indexed="8"/>
      </right>
      <top style="thin">
        <color indexed="64"/>
      </top>
      <bottom style="hair">
        <color indexed="8"/>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thin">
        <color auto="1"/>
      </right>
      <top style="thin">
        <color auto="1"/>
      </top>
      <bottom style="medium">
        <color indexed="64"/>
      </bottom>
      <diagonal/>
    </border>
    <border>
      <left/>
      <right/>
      <top/>
      <bottom style="medium">
        <color auto="1"/>
      </bottom>
      <diagonal/>
    </border>
    <border>
      <left style="medium">
        <color auto="1"/>
      </left>
      <right/>
      <top/>
      <bottom style="medium">
        <color auto="1"/>
      </bottom>
      <diagonal/>
    </border>
    <border>
      <left style="medium">
        <color indexed="64"/>
      </left>
      <right/>
      <top style="medium">
        <color indexed="64"/>
      </top>
      <bottom style="thin">
        <color auto="1"/>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auto="1"/>
      </left>
      <right/>
      <top style="thin">
        <color auto="1"/>
      </top>
      <bottom style="medium">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auto="1"/>
      </right>
      <top style="medium">
        <color auto="1"/>
      </top>
      <bottom style="double">
        <color indexed="64"/>
      </bottom>
      <diagonal/>
    </border>
    <border>
      <left style="medium">
        <color auto="1"/>
      </left>
      <right style="thin">
        <color auto="1"/>
      </right>
      <top/>
      <bottom style="medium">
        <color auto="1"/>
      </bottom>
      <diagonal/>
    </border>
    <border>
      <left style="thin">
        <color auto="1"/>
      </left>
      <right style="thin">
        <color auto="1"/>
      </right>
      <top/>
      <bottom style="medium">
        <color indexed="64"/>
      </bottom>
      <diagonal/>
    </border>
    <border>
      <left style="thin">
        <color auto="1"/>
      </left>
      <right style="medium">
        <color indexed="64"/>
      </right>
      <top/>
      <bottom style="medium">
        <color auto="1"/>
      </bottom>
      <diagonal/>
    </border>
    <border>
      <left style="medium">
        <color indexed="64"/>
      </left>
      <right style="medium">
        <color indexed="64"/>
      </right>
      <top/>
      <bottom style="medium">
        <color indexed="64"/>
      </bottom>
      <diagonal/>
    </border>
    <border>
      <left style="medium">
        <color indexed="64"/>
      </left>
      <right style="thin">
        <color indexed="64"/>
      </right>
      <top style="medium">
        <color auto="1"/>
      </top>
      <bottom style="double">
        <color indexed="64"/>
      </bottom>
      <diagonal/>
    </border>
    <border>
      <left style="thin">
        <color auto="1"/>
      </left>
      <right style="thin">
        <color auto="1"/>
      </right>
      <top style="medium">
        <color auto="1"/>
      </top>
      <bottom style="double">
        <color indexed="64"/>
      </bottom>
      <diagonal/>
    </border>
    <border>
      <left/>
      <right/>
      <top style="medium">
        <color indexed="64"/>
      </top>
      <bottom style="thin">
        <color auto="1"/>
      </bottom>
      <diagonal/>
    </border>
    <border>
      <left/>
      <right/>
      <top style="thin">
        <color auto="1"/>
      </top>
      <bottom style="thin">
        <color auto="1"/>
      </bottom>
      <diagonal/>
    </border>
    <border>
      <left/>
      <right/>
      <top style="thin">
        <color auto="1"/>
      </top>
      <bottom style="medium">
        <color auto="1"/>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style="thin">
        <color indexed="64"/>
      </left>
      <right style="hair">
        <color indexed="8"/>
      </right>
      <top/>
      <bottom style="medium">
        <color indexed="64"/>
      </bottom>
      <diagonal/>
    </border>
    <border>
      <left/>
      <right style="hair">
        <color indexed="8"/>
      </right>
      <top/>
      <bottom style="medium">
        <color indexed="64"/>
      </bottom>
      <diagonal/>
    </border>
    <border>
      <left style="hair">
        <color indexed="64"/>
      </left>
      <right style="hair">
        <color indexed="64"/>
      </right>
      <top/>
      <bottom/>
      <diagonal/>
    </border>
    <border>
      <left style="medium">
        <color indexed="8"/>
      </left>
      <right style="medium">
        <color indexed="8"/>
      </right>
      <top style="medium">
        <color indexed="8"/>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22"/>
      </left>
      <right style="thin">
        <color indexed="22"/>
      </right>
      <top style="thin">
        <color indexed="22"/>
      </top>
      <bottom style="thin">
        <color indexed="22"/>
      </bottom>
      <diagonal/>
    </border>
    <border>
      <left style="thin">
        <color indexed="64"/>
      </left>
      <right style="hair">
        <color indexed="8"/>
      </right>
      <top style="medium">
        <color indexed="64"/>
      </top>
      <bottom/>
      <diagonal/>
    </border>
    <border>
      <left style="hair">
        <color indexed="8"/>
      </left>
      <right style="hair">
        <color indexed="8"/>
      </right>
      <top style="medium">
        <color indexed="64"/>
      </top>
      <bottom/>
      <diagonal/>
    </border>
    <border>
      <left style="hair">
        <color indexed="8"/>
      </left>
      <right/>
      <top style="medium">
        <color indexed="64"/>
      </top>
      <bottom/>
      <diagonal/>
    </border>
    <border>
      <left style="medium">
        <color indexed="8"/>
      </left>
      <right style="hair">
        <color indexed="8"/>
      </right>
      <top style="medium">
        <color indexed="64"/>
      </top>
      <bottom/>
      <diagonal/>
    </border>
    <border>
      <left style="hair">
        <color indexed="8"/>
      </left>
      <right style="medium">
        <color indexed="8"/>
      </right>
      <top style="medium">
        <color indexed="64"/>
      </top>
      <bottom/>
      <diagonal/>
    </border>
    <border>
      <left/>
      <right/>
      <top style="medium">
        <color indexed="64"/>
      </top>
      <bottom/>
      <diagonal/>
    </border>
    <border>
      <left style="medium">
        <color indexed="8"/>
      </left>
      <right style="medium">
        <color indexed="64"/>
      </right>
      <top style="medium">
        <color indexed="64"/>
      </top>
      <bottom/>
      <diagonal/>
    </border>
    <border>
      <left style="medium">
        <color indexed="64"/>
      </left>
      <right style="hair">
        <color indexed="8"/>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medium">
        <color indexed="64"/>
      </right>
      <top style="medium">
        <color indexed="64"/>
      </top>
      <bottom style="thin">
        <color auto="1"/>
      </bottom>
      <diagonal/>
    </border>
    <border>
      <left/>
      <right/>
      <top style="medium">
        <color indexed="64"/>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indexed="64"/>
      </left>
      <right style="medium">
        <color indexed="64"/>
      </right>
      <top style="thin">
        <color auto="1"/>
      </top>
      <bottom/>
      <diagonal/>
    </border>
    <border>
      <left style="medium">
        <color indexed="64"/>
      </left>
      <right style="thin">
        <color indexed="64"/>
      </right>
      <top style="thin">
        <color indexed="64"/>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medium">
        <color indexed="8"/>
      </left>
      <right style="hair">
        <color indexed="8"/>
      </right>
      <top/>
      <bottom style="medium">
        <color indexed="64"/>
      </bottom>
      <diagonal/>
    </border>
    <border>
      <left style="medium">
        <color indexed="8"/>
      </left>
      <right style="medium">
        <color indexed="64"/>
      </right>
      <top/>
      <bottom style="medium">
        <color indexed="64"/>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double">
        <color auto="1"/>
      </bottom>
      <diagonal/>
    </border>
    <border>
      <left style="dotted">
        <color auto="1"/>
      </left>
      <right style="dotted">
        <color auto="1"/>
      </right>
      <top style="medium">
        <color auto="1"/>
      </top>
      <bottom style="double">
        <color auto="1"/>
      </bottom>
      <diagonal/>
    </border>
    <border>
      <left style="thin">
        <color auto="1"/>
      </left>
      <right/>
      <top style="medium">
        <color auto="1"/>
      </top>
      <bottom style="double">
        <color auto="1"/>
      </bottom>
      <diagonal/>
    </border>
    <border>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dotted">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dotted">
        <color auto="1"/>
      </right>
      <top style="medium">
        <color indexed="64"/>
      </top>
      <bottom style="medium">
        <color indexed="64"/>
      </bottom>
      <diagonal/>
    </border>
    <border>
      <left style="dotted">
        <color auto="1"/>
      </left>
      <right style="dotted">
        <color auto="1"/>
      </right>
      <top style="medium">
        <color auto="1"/>
      </top>
      <bottom style="medium">
        <color auto="1"/>
      </bottom>
      <diagonal/>
    </border>
    <border>
      <left style="dotted">
        <color auto="1"/>
      </left>
      <right style="thin">
        <color auto="1"/>
      </right>
      <top style="medium">
        <color indexed="64"/>
      </top>
      <bottom style="medium">
        <color indexed="64"/>
      </bottom>
      <diagonal/>
    </border>
    <border>
      <left style="dotted">
        <color auto="1"/>
      </left>
      <right/>
      <top style="medium">
        <color indexed="64"/>
      </top>
      <bottom style="medium">
        <color indexed="64"/>
      </bottom>
      <diagonal/>
    </border>
    <border>
      <left style="thin">
        <color auto="1"/>
      </left>
      <right style="dotted">
        <color auto="1"/>
      </right>
      <top style="medium">
        <color indexed="64"/>
      </top>
      <bottom style="medium">
        <color indexed="64"/>
      </bottom>
      <diagonal/>
    </border>
    <border>
      <left style="thin">
        <color auto="1"/>
      </left>
      <right style="medium">
        <color auto="1"/>
      </right>
      <top style="medium">
        <color auto="1"/>
      </top>
      <bottom style="medium">
        <color auto="1"/>
      </bottom>
      <diagonal/>
    </border>
    <border>
      <left style="medium">
        <color auto="1"/>
      </left>
      <right/>
      <top style="medium">
        <color auto="1"/>
      </top>
      <bottom style="double">
        <color auto="1"/>
      </bottom>
      <diagonal/>
    </border>
    <border>
      <left/>
      <right style="medium">
        <color auto="1"/>
      </right>
      <top style="medium">
        <color auto="1"/>
      </top>
      <bottom style="double">
        <color auto="1"/>
      </bottom>
      <diagonal/>
    </border>
    <border>
      <left/>
      <right style="medium">
        <color auto="1"/>
      </right>
      <top style="thin">
        <color auto="1"/>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hair">
        <color indexed="8"/>
      </left>
      <right style="hair">
        <color indexed="8"/>
      </right>
      <top style="hair">
        <color indexed="8"/>
      </top>
      <bottom/>
      <diagonal/>
    </border>
    <border>
      <left style="hair">
        <color indexed="8"/>
      </left>
      <right style="hair">
        <color indexed="8"/>
      </right>
      <top/>
      <bottom style="double">
        <color indexed="64"/>
      </bottom>
      <diagonal/>
    </border>
    <border>
      <left style="thin">
        <color auto="1"/>
      </left>
      <right style="thin">
        <color auto="1"/>
      </right>
      <top style="thin">
        <color auto="1"/>
      </top>
      <bottom style="thin">
        <color auto="1"/>
      </bottom>
      <diagonal/>
    </border>
  </borders>
  <cellStyleXfs count="30">
    <xf numFmtId="0" fontId="0" fillId="0" borderId="0"/>
    <xf numFmtId="9" fontId="16" fillId="0" borderId="0" applyFill="0" applyBorder="0" applyAlignment="0" applyProtection="0"/>
    <xf numFmtId="38" fontId="16" fillId="0" borderId="0" applyFill="0" applyBorder="0" applyAlignment="0" applyProtection="0"/>
    <xf numFmtId="0" fontId="2" fillId="0" borderId="0"/>
    <xf numFmtId="0" fontId="3" fillId="0" borderId="0"/>
    <xf numFmtId="0" fontId="3" fillId="0" borderId="0"/>
    <xf numFmtId="0" fontId="4" fillId="0" borderId="0"/>
    <xf numFmtId="0" fontId="4" fillId="0" borderId="0"/>
    <xf numFmtId="0" fontId="16" fillId="0" borderId="0">
      <alignment vertical="center"/>
    </xf>
    <xf numFmtId="0" fontId="31"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16" fillId="0" borderId="0"/>
    <xf numFmtId="0" fontId="23" fillId="0" borderId="0"/>
    <xf numFmtId="0" fontId="16" fillId="0" borderId="0"/>
    <xf numFmtId="0" fontId="3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6" fillId="0" borderId="0">
      <alignment vertical="center"/>
    </xf>
    <xf numFmtId="0" fontId="16" fillId="0" borderId="0">
      <alignment vertical="center"/>
    </xf>
    <xf numFmtId="0" fontId="1" fillId="0" borderId="0">
      <alignment vertical="center"/>
    </xf>
    <xf numFmtId="0" fontId="1" fillId="0" borderId="0">
      <alignment vertical="center"/>
    </xf>
    <xf numFmtId="0" fontId="1"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37" fillId="0" borderId="0">
      <alignment vertical="center"/>
    </xf>
  </cellStyleXfs>
  <cellXfs count="856">
    <xf numFmtId="0" fontId="0" fillId="0" borderId="0" xfId="0"/>
    <xf numFmtId="38" fontId="9" fillId="0" borderId="0" xfId="2" applyFont="1" applyFill="1" applyBorder="1" applyAlignment="1" applyProtection="1"/>
    <xf numFmtId="0" fontId="0" fillId="3" borderId="2" xfId="0" applyFont="1" applyFill="1" applyBorder="1" applyProtection="1">
      <protection locked="0"/>
    </xf>
    <xf numFmtId="0" fontId="0" fillId="2" borderId="15" xfId="0" applyFont="1" applyFill="1" applyBorder="1" applyProtection="1">
      <protection locked="0"/>
    </xf>
    <xf numFmtId="179" fontId="0" fillId="2" borderId="15" xfId="2" applyNumberFormat="1" applyFont="1" applyFill="1" applyBorder="1" applyAlignment="1" applyProtection="1">
      <protection locked="0"/>
    </xf>
    <xf numFmtId="40" fontId="0" fillId="2" borderId="15" xfId="2" applyNumberFormat="1" applyFont="1" applyFill="1" applyBorder="1" applyAlignment="1" applyProtection="1">
      <protection locked="0"/>
    </xf>
    <xf numFmtId="0" fontId="0" fillId="3" borderId="15" xfId="0" applyFont="1" applyFill="1" applyBorder="1" applyProtection="1">
      <protection locked="0"/>
    </xf>
    <xf numFmtId="179" fontId="0" fillId="2" borderId="2" xfId="2" applyNumberFormat="1" applyFont="1" applyFill="1" applyBorder="1" applyAlignment="1" applyProtection="1">
      <protection locked="0"/>
    </xf>
    <xf numFmtId="40" fontId="0" fillId="2" borderId="2" xfId="2" applyNumberFormat="1" applyFont="1" applyFill="1" applyBorder="1" applyAlignment="1" applyProtection="1">
      <protection locked="0"/>
    </xf>
    <xf numFmtId="40" fontId="0" fillId="0" borderId="39" xfId="2" applyNumberFormat="1" applyFont="1" applyFill="1" applyBorder="1" applyAlignment="1" applyProtection="1"/>
    <xf numFmtId="0" fontId="0" fillId="0" borderId="0" xfId="0" applyProtection="1"/>
    <xf numFmtId="0" fontId="4" fillId="0" borderId="0" xfId="0" applyFont="1" applyProtection="1"/>
    <xf numFmtId="0" fontId="0" fillId="0" borderId="0" xfId="0" applyAlignment="1">
      <alignment horizontal="center"/>
    </xf>
    <xf numFmtId="0" fontId="0" fillId="0" borderId="0" xfId="0" applyNumberFormat="1" applyAlignment="1">
      <alignment horizontal="center"/>
    </xf>
    <xf numFmtId="0" fontId="0" fillId="5" borderId="0" xfId="0" applyFont="1" applyFill="1" applyAlignment="1">
      <alignment horizontal="center"/>
    </xf>
    <xf numFmtId="0" fontId="7" fillId="5" borderId="2" xfId="5" applyFont="1" applyFill="1" applyBorder="1" applyAlignment="1">
      <alignment horizontal="center"/>
    </xf>
    <xf numFmtId="0" fontId="7" fillId="0" borderId="1" xfId="5" applyFont="1" applyFill="1" applyBorder="1" applyAlignment="1">
      <alignment wrapText="1"/>
    </xf>
    <xf numFmtId="0" fontId="7" fillId="0" borderId="69" xfId="5" applyFont="1" applyFill="1" applyBorder="1" applyAlignment="1">
      <alignment wrapText="1"/>
    </xf>
    <xf numFmtId="0" fontId="7" fillId="0" borderId="1" xfId="4" applyFont="1" applyFill="1" applyBorder="1" applyAlignment="1"/>
    <xf numFmtId="0" fontId="0" fillId="0" borderId="0" xfId="0" applyBorder="1" applyAlignment="1">
      <alignment vertical="center"/>
    </xf>
    <xf numFmtId="0" fontId="0" fillId="2" borderId="40" xfId="0" applyFill="1" applyBorder="1" applyAlignment="1" applyProtection="1">
      <alignment shrinkToFit="1"/>
      <protection locked="0"/>
    </xf>
    <xf numFmtId="0" fontId="0" fillId="2" borderId="71" xfId="0" applyFill="1" applyBorder="1" applyAlignment="1" applyProtection="1">
      <alignment shrinkToFit="1"/>
      <protection locked="0"/>
    </xf>
    <xf numFmtId="0" fontId="9" fillId="0" borderId="0" xfId="0" applyFont="1" applyProtection="1"/>
    <xf numFmtId="0" fontId="9" fillId="0" borderId="0" xfId="0" applyFont="1" applyAlignment="1" applyProtection="1">
      <alignment horizontal="center"/>
    </xf>
    <xf numFmtId="0" fontId="0" fillId="7" borderId="0" xfId="0" applyFill="1" applyProtection="1"/>
    <xf numFmtId="0" fontId="0" fillId="2" borderId="2" xfId="0" applyFill="1" applyBorder="1" applyProtection="1">
      <protection locked="0"/>
    </xf>
    <xf numFmtId="0" fontId="0" fillId="3" borderId="8" xfId="0" applyFill="1" applyBorder="1" applyProtection="1">
      <protection locked="0"/>
    </xf>
    <xf numFmtId="179" fontId="0" fillId="2" borderId="8" xfId="2" applyNumberFormat="1" applyFont="1" applyFill="1" applyBorder="1" applyAlignment="1" applyProtection="1">
      <protection locked="0"/>
    </xf>
    <xf numFmtId="40" fontId="0" fillId="2" borderId="8" xfId="2" applyNumberFormat="1" applyFont="1" applyFill="1" applyBorder="1" applyAlignment="1" applyProtection="1">
      <protection locked="0"/>
    </xf>
    <xf numFmtId="40" fontId="0" fillId="0" borderId="83" xfId="2" applyNumberFormat="1" applyFont="1" applyFill="1" applyBorder="1" applyAlignment="1" applyProtection="1"/>
    <xf numFmtId="0" fontId="0" fillId="3" borderId="74" xfId="0" applyFill="1" applyBorder="1" applyProtection="1">
      <protection locked="0"/>
    </xf>
    <xf numFmtId="0" fontId="0" fillId="2" borderId="74" xfId="0" applyFill="1" applyBorder="1" applyProtection="1">
      <protection locked="0"/>
    </xf>
    <xf numFmtId="179" fontId="0" fillId="2" borderId="74" xfId="2" applyNumberFormat="1" applyFont="1" applyFill="1" applyBorder="1" applyAlignment="1" applyProtection="1">
      <protection locked="0"/>
    </xf>
    <xf numFmtId="40" fontId="0" fillId="2" borderId="74" xfId="2" applyNumberFormat="1" applyFont="1" applyFill="1" applyBorder="1" applyAlignment="1" applyProtection="1">
      <protection locked="0"/>
    </xf>
    <xf numFmtId="40" fontId="0" fillId="0" borderId="70" xfId="2" applyNumberFormat="1" applyFont="1" applyFill="1" applyBorder="1" applyAlignment="1" applyProtection="1"/>
    <xf numFmtId="0" fontId="0" fillId="3" borderId="2" xfId="0" applyFill="1" applyBorder="1" applyProtection="1">
      <protection locked="0"/>
    </xf>
    <xf numFmtId="0" fontId="8" fillId="0" borderId="0" xfId="0" applyFont="1" applyProtection="1"/>
    <xf numFmtId="0" fontId="4" fillId="0" borderId="52" xfId="0" applyFont="1" applyBorder="1" applyAlignment="1" applyProtection="1">
      <alignment horizontal="center" vertical="center"/>
    </xf>
    <xf numFmtId="0" fontId="4" fillId="0" borderId="53" xfId="0" applyFont="1" applyBorder="1" applyAlignment="1" applyProtection="1">
      <alignment horizontal="center" vertical="center"/>
    </xf>
    <xf numFmtId="0" fontId="4" fillId="0" borderId="54" xfId="0" applyFont="1" applyBorder="1" applyAlignment="1" applyProtection="1">
      <alignment horizontal="center" vertical="center"/>
    </xf>
    <xf numFmtId="0" fontId="11" fillId="0" borderId="55" xfId="0" applyFont="1" applyBorder="1" applyAlignment="1" applyProtection="1">
      <alignment horizontal="center"/>
    </xf>
    <xf numFmtId="0" fontId="11" fillId="0" borderId="43" xfId="0" applyFont="1" applyBorder="1" applyAlignment="1" applyProtection="1">
      <alignment horizontal="center"/>
    </xf>
    <xf numFmtId="0" fontId="11" fillId="0" borderId="43" xfId="0" applyFont="1" applyBorder="1" applyAlignment="1" applyProtection="1">
      <alignment horizontal="left"/>
    </xf>
    <xf numFmtId="0" fontId="4" fillId="0" borderId="19" xfId="0" applyFont="1" applyBorder="1" applyProtection="1"/>
    <xf numFmtId="0" fontId="4" fillId="0" borderId="55" xfId="0" applyFont="1" applyBorder="1" applyProtection="1"/>
    <xf numFmtId="0" fontId="4" fillId="0" borderId="43" xfId="0" applyFont="1" applyBorder="1" applyProtection="1"/>
    <xf numFmtId="0" fontId="4" fillId="0" borderId="0" xfId="0" applyFont="1" applyAlignment="1" applyProtection="1">
      <alignment vertical="center"/>
    </xf>
    <xf numFmtId="0" fontId="23" fillId="0" borderId="0" xfId="0" applyFont="1" applyProtection="1"/>
    <xf numFmtId="0" fontId="16" fillId="0" borderId="0" xfId="6" applyFont="1" applyBorder="1" applyAlignment="1" applyProtection="1">
      <alignment horizontal="left" vertical="center"/>
    </xf>
    <xf numFmtId="0" fontId="10" fillId="9" borderId="3" xfId="6" applyFont="1" applyFill="1" applyBorder="1" applyAlignment="1" applyProtection="1">
      <alignment horizontal="center" vertical="center"/>
    </xf>
    <xf numFmtId="180" fontId="10" fillId="9" borderId="3" xfId="6" applyNumberFormat="1" applyFont="1" applyFill="1" applyBorder="1" applyAlignment="1" applyProtection="1">
      <alignment horizontal="center" vertical="center"/>
    </xf>
    <xf numFmtId="185" fontId="16" fillId="0" borderId="17" xfId="2" applyNumberFormat="1" applyFont="1" applyFill="1" applyBorder="1" applyAlignment="1" applyProtection="1">
      <alignment vertical="center"/>
    </xf>
    <xf numFmtId="185" fontId="16" fillId="0" borderId="9" xfId="2" applyNumberFormat="1" applyFont="1" applyFill="1" applyBorder="1" applyAlignment="1" applyProtection="1">
      <alignment vertical="center"/>
    </xf>
    <xf numFmtId="185" fontId="16" fillId="0" borderId="20" xfId="2" applyNumberFormat="1" applyFont="1" applyFill="1" applyBorder="1" applyAlignment="1" applyProtection="1">
      <alignment vertical="center"/>
    </xf>
    <xf numFmtId="3" fontId="23" fillId="0" borderId="0" xfId="6" applyNumberFormat="1" applyFont="1" applyBorder="1" applyAlignment="1" applyProtection="1">
      <alignment horizontal="left" vertical="center" shrinkToFit="1"/>
    </xf>
    <xf numFmtId="3" fontId="23" fillId="0" borderId="18" xfId="6" applyNumberFormat="1" applyFont="1" applyBorder="1" applyAlignment="1" applyProtection="1">
      <alignment horizontal="left" vertical="center" shrinkToFit="1"/>
    </xf>
    <xf numFmtId="38" fontId="23" fillId="0" borderId="61" xfId="6" applyNumberFormat="1" applyFont="1" applyBorder="1" applyAlignment="1" applyProtection="1">
      <alignment vertical="center" shrinkToFit="1"/>
    </xf>
    <xf numFmtId="38" fontId="23" fillId="0" borderId="62" xfId="6" applyNumberFormat="1" applyFont="1" applyBorder="1" applyAlignment="1" applyProtection="1">
      <alignment vertical="center" shrinkToFit="1"/>
    </xf>
    <xf numFmtId="38" fontId="23" fillId="0" borderId="0" xfId="6" applyNumberFormat="1" applyFont="1" applyBorder="1" applyAlignment="1" applyProtection="1">
      <alignment vertical="center" shrinkToFit="1"/>
    </xf>
    <xf numFmtId="38" fontId="23" fillId="0" borderId="63" xfId="0" applyNumberFormat="1" applyFont="1" applyBorder="1" applyAlignment="1" applyProtection="1">
      <alignment vertical="center" shrinkToFit="1"/>
    </xf>
    <xf numFmtId="38" fontId="23" fillId="0" borderId="11" xfId="0" applyNumberFormat="1" applyFont="1" applyBorder="1" applyAlignment="1" applyProtection="1">
      <alignment vertical="center" shrinkToFit="1"/>
    </xf>
    <xf numFmtId="0" fontId="16" fillId="0" borderId="11" xfId="0" applyFont="1" applyBorder="1" applyAlignment="1" applyProtection="1">
      <alignment vertical="center" shrinkToFit="1"/>
    </xf>
    <xf numFmtId="0" fontId="16" fillId="0" borderId="63" xfId="0" applyFont="1" applyBorder="1" applyAlignment="1" applyProtection="1">
      <alignment vertical="center" shrinkToFit="1"/>
    </xf>
    <xf numFmtId="0" fontId="23" fillId="0" borderId="63" xfId="6" applyFont="1" applyBorder="1" applyAlignment="1" applyProtection="1">
      <alignment vertical="center" shrinkToFit="1"/>
    </xf>
    <xf numFmtId="186" fontId="23" fillId="0" borderId="18" xfId="6" applyNumberFormat="1" applyFont="1" applyBorder="1" applyAlignment="1" applyProtection="1">
      <alignment horizontal="left" vertical="center" shrinkToFit="1"/>
    </xf>
    <xf numFmtId="185" fontId="16" fillId="0" borderId="60" xfId="2" applyNumberFormat="1" applyFont="1" applyFill="1" applyBorder="1" applyAlignment="1" applyProtection="1">
      <alignment vertical="center"/>
    </xf>
    <xf numFmtId="185" fontId="16" fillId="0" borderId="13" xfId="2" applyNumberFormat="1" applyFont="1" applyFill="1" applyBorder="1" applyAlignment="1" applyProtection="1">
      <alignment vertical="center"/>
    </xf>
    <xf numFmtId="0" fontId="23" fillId="0" borderId="64" xfId="6" applyFont="1" applyBorder="1" applyAlignment="1" applyProtection="1">
      <alignment vertical="center" shrinkToFit="1"/>
    </xf>
    <xf numFmtId="0" fontId="23" fillId="0" borderId="14" xfId="6" applyFont="1" applyBorder="1" applyAlignment="1" applyProtection="1">
      <alignment vertical="center" shrinkToFit="1"/>
    </xf>
    <xf numFmtId="185" fontId="16" fillId="0" borderId="25" xfId="2" applyNumberFormat="1" applyFont="1" applyFill="1" applyBorder="1" applyAlignment="1" applyProtection="1">
      <alignment vertical="center"/>
    </xf>
    <xf numFmtId="38" fontId="23" fillId="0" borderId="63" xfId="6" applyNumberFormat="1" applyFont="1" applyBorder="1" applyAlignment="1" applyProtection="1">
      <alignment vertical="center" shrinkToFit="1"/>
    </xf>
    <xf numFmtId="38" fontId="23" fillId="0" borderId="11" xfId="6" applyNumberFormat="1" applyFont="1" applyBorder="1" applyAlignment="1" applyProtection="1">
      <alignment vertical="center" shrinkToFit="1"/>
    </xf>
    <xf numFmtId="0" fontId="23" fillId="0" borderId="18" xfId="6" applyFont="1" applyBorder="1" applyAlignment="1" applyProtection="1">
      <alignment vertical="center" shrinkToFit="1"/>
    </xf>
    <xf numFmtId="0" fontId="23" fillId="0" borderId="17" xfId="6" applyFont="1" applyBorder="1" applyAlignment="1" applyProtection="1">
      <alignment vertical="center" shrinkToFit="1"/>
    </xf>
    <xf numFmtId="0" fontId="23" fillId="0" borderId="0" xfId="6" applyFont="1" applyBorder="1" applyAlignment="1" applyProtection="1">
      <alignment vertical="center" shrinkToFit="1"/>
    </xf>
    <xf numFmtId="0" fontId="16" fillId="0" borderId="31" xfId="6" applyFont="1" applyBorder="1" applyAlignment="1" applyProtection="1">
      <alignment horizontal="center" vertical="center"/>
    </xf>
    <xf numFmtId="0" fontId="16" fillId="0" borderId="65" xfId="6" applyFont="1" applyBorder="1" applyAlignment="1" applyProtection="1">
      <alignment horizontal="left" vertical="center"/>
    </xf>
    <xf numFmtId="191" fontId="16" fillId="0" borderId="17" xfId="2" applyNumberFormat="1" applyFont="1" applyFill="1" applyBorder="1" applyAlignment="1" applyProtection="1">
      <alignment vertical="center"/>
    </xf>
    <xf numFmtId="188" fontId="23" fillId="0" borderId="31" xfId="6" applyNumberFormat="1" applyFont="1" applyBorder="1" applyAlignment="1" applyProtection="1">
      <alignment horizontal="left" vertical="center"/>
    </xf>
    <xf numFmtId="0" fontId="23" fillId="0" borderId="65" xfId="6" applyFont="1" applyBorder="1" applyAlignment="1" applyProtection="1">
      <alignment vertical="center"/>
    </xf>
    <xf numFmtId="0" fontId="23" fillId="0" borderId="16" xfId="6" applyFont="1" applyBorder="1" applyAlignment="1" applyProtection="1">
      <alignment vertical="center"/>
    </xf>
    <xf numFmtId="190" fontId="23" fillId="0" borderId="75" xfId="2" applyNumberFormat="1" applyFont="1" applyFill="1" applyBorder="1" applyAlignment="1" applyProtection="1">
      <alignment vertical="center"/>
    </xf>
    <xf numFmtId="190" fontId="16" fillId="0" borderId="76" xfId="2" applyNumberFormat="1" applyFont="1" applyFill="1" applyBorder="1" applyAlignment="1" applyProtection="1">
      <alignment vertical="center"/>
    </xf>
    <xf numFmtId="0" fontId="23" fillId="0" borderId="72" xfId="6" applyFont="1" applyBorder="1" applyAlignment="1" applyProtection="1">
      <alignment vertical="center"/>
    </xf>
    <xf numFmtId="0" fontId="23" fillId="0" borderId="73" xfId="6" applyFont="1" applyBorder="1" applyAlignment="1" applyProtection="1">
      <alignment vertical="center"/>
    </xf>
    <xf numFmtId="0" fontId="0" fillId="8" borderId="2" xfId="0" applyFont="1" applyFill="1" applyBorder="1" applyAlignment="1">
      <alignment horizontal="center" vertical="center"/>
    </xf>
    <xf numFmtId="0" fontId="0" fillId="0" borderId="0" xfId="0" applyFont="1" applyFill="1" applyAlignment="1">
      <alignment horizontal="center" vertical="center"/>
    </xf>
    <xf numFmtId="0" fontId="0" fillId="0" borderId="0" xfId="0" applyFont="1" applyAlignment="1">
      <alignment horizontal="center" vertical="center"/>
    </xf>
    <xf numFmtId="0" fontId="0" fillId="13" borderId="2" xfId="0" applyFont="1" applyFill="1" applyBorder="1" applyAlignment="1" applyProtection="1">
      <alignment vertical="center"/>
      <protection locked="0"/>
    </xf>
    <xf numFmtId="0" fontId="0" fillId="0" borderId="0" xfId="0" applyFont="1" applyFill="1" applyAlignment="1">
      <alignment vertical="center"/>
    </xf>
    <xf numFmtId="0" fontId="0" fillId="0" borderId="0" xfId="0" applyFont="1" applyAlignment="1">
      <alignment vertical="center"/>
    </xf>
    <xf numFmtId="0" fontId="0" fillId="8" borderId="3" xfId="0" applyFont="1" applyFill="1" applyBorder="1" applyAlignment="1">
      <alignment horizontal="center" vertical="center"/>
    </xf>
    <xf numFmtId="0" fontId="0" fillId="8" borderId="4" xfId="0" applyFont="1" applyFill="1" applyBorder="1" applyAlignment="1">
      <alignment horizontal="center" vertical="center"/>
    </xf>
    <xf numFmtId="0" fontId="23" fillId="0" borderId="0" xfId="7" applyFont="1" applyAlignment="1" applyProtection="1">
      <alignment vertical="center"/>
    </xf>
    <xf numFmtId="0" fontId="12" fillId="0" borderId="0" xfId="7" applyFont="1" applyAlignment="1" applyProtection="1">
      <alignment horizontal="right"/>
    </xf>
    <xf numFmtId="177" fontId="12" fillId="0" borderId="0" xfId="7" applyNumberFormat="1" applyFont="1" applyAlignment="1" applyProtection="1">
      <alignment horizontal="left"/>
    </xf>
    <xf numFmtId="177" fontId="23" fillId="0" borderId="0" xfId="7" applyNumberFormat="1" applyFont="1" applyAlignment="1" applyProtection="1">
      <alignment horizontal="left"/>
    </xf>
    <xf numFmtId="0" fontId="23" fillId="0" borderId="0" xfId="7" applyFont="1" applyProtection="1"/>
    <xf numFmtId="0" fontId="9" fillId="0" borderId="0" xfId="7" applyFont="1" applyProtection="1"/>
    <xf numFmtId="0" fontId="24" fillId="0" borderId="0" xfId="7" applyFont="1" applyProtection="1"/>
    <xf numFmtId="0" fontId="16" fillId="0" borderId="0" xfId="0" applyFont="1" applyProtection="1"/>
    <xf numFmtId="0" fontId="23" fillId="9" borderId="16" xfId="7" applyFont="1" applyFill="1" applyBorder="1" applyAlignment="1" applyProtection="1">
      <alignment horizontal="center" wrapText="1"/>
    </xf>
    <xf numFmtId="0" fontId="23" fillId="9" borderId="17" xfId="7" applyFont="1" applyFill="1" applyBorder="1" applyAlignment="1" applyProtection="1">
      <alignment horizontal="center" wrapText="1"/>
    </xf>
    <xf numFmtId="0" fontId="23" fillId="9" borderId="0" xfId="7" applyFont="1" applyFill="1" applyBorder="1" applyAlignment="1" applyProtection="1">
      <alignment horizontal="center" wrapText="1"/>
    </xf>
    <xf numFmtId="0" fontId="23" fillId="9" borderId="18" xfId="7" applyFont="1" applyFill="1" applyBorder="1" applyAlignment="1" applyProtection="1">
      <alignment horizontal="center" wrapText="1"/>
    </xf>
    <xf numFmtId="0" fontId="23" fillId="9" borderId="19" xfId="7" applyFont="1" applyFill="1" applyBorder="1" applyAlignment="1" applyProtection="1">
      <alignment horizontal="center" wrapText="1"/>
    </xf>
    <xf numFmtId="0" fontId="23" fillId="9" borderId="20" xfId="7" applyFont="1" applyFill="1" applyBorder="1" applyAlignment="1" applyProtection="1">
      <alignment horizontal="center" vertical="top" wrapText="1"/>
    </xf>
    <xf numFmtId="0" fontId="23" fillId="9" borderId="21" xfId="7" applyFont="1" applyFill="1" applyBorder="1" applyAlignment="1" applyProtection="1">
      <alignment horizontal="center" vertical="top" wrapText="1"/>
    </xf>
    <xf numFmtId="0" fontId="23" fillId="9" borderId="22" xfId="7" applyFont="1" applyFill="1" applyBorder="1" applyAlignment="1" applyProtection="1">
      <alignment horizontal="center" vertical="top" wrapText="1"/>
    </xf>
    <xf numFmtId="0" fontId="23" fillId="9" borderId="15" xfId="7" applyFont="1" applyFill="1" applyBorder="1" applyAlignment="1" applyProtection="1">
      <alignment horizontal="center" vertical="top" wrapText="1"/>
    </xf>
    <xf numFmtId="0" fontId="23" fillId="9" borderId="22" xfId="7" applyFont="1" applyFill="1" applyBorder="1" applyAlignment="1" applyProtection="1">
      <alignment horizontal="center" vertical="top" shrinkToFit="1"/>
    </xf>
    <xf numFmtId="0" fontId="23" fillId="0" borderId="8" xfId="7" applyFont="1" applyBorder="1" applyAlignment="1" applyProtection="1">
      <alignment horizontal="center" vertical="center" textRotation="255" wrapText="1"/>
    </xf>
    <xf numFmtId="0" fontId="23" fillId="2" borderId="23" xfId="7" applyFont="1" applyFill="1" applyBorder="1" applyAlignment="1" applyProtection="1">
      <alignment vertical="center"/>
      <protection locked="0"/>
    </xf>
    <xf numFmtId="0" fontId="23" fillId="2" borderId="23" xfId="7" applyFont="1" applyFill="1" applyBorder="1" applyAlignment="1" applyProtection="1">
      <alignment horizontal="center" vertical="center"/>
      <protection locked="0"/>
    </xf>
    <xf numFmtId="9" fontId="23" fillId="2" borderId="23" xfId="1" applyFont="1" applyFill="1" applyBorder="1" applyAlignment="1" applyProtection="1">
      <alignment vertical="center"/>
      <protection locked="0"/>
    </xf>
    <xf numFmtId="38" fontId="23" fillId="2" borderId="8" xfId="2" applyFont="1" applyFill="1" applyBorder="1" applyAlignment="1" applyProtection="1">
      <alignment horizontal="right" vertical="center" shrinkToFit="1"/>
      <protection locked="0"/>
    </xf>
    <xf numFmtId="0" fontId="23" fillId="0" borderId="19" xfId="7" applyFont="1" applyBorder="1" applyAlignment="1" applyProtection="1">
      <alignment horizontal="center" vertical="center" textRotation="255" wrapText="1"/>
    </xf>
    <xf numFmtId="38" fontId="23" fillId="2" borderId="10" xfId="2" applyFont="1" applyFill="1" applyBorder="1" applyAlignment="1" applyProtection="1">
      <alignment horizontal="right" vertical="center" shrinkToFit="1"/>
      <protection locked="0"/>
    </xf>
    <xf numFmtId="38" fontId="23" fillId="2" borderId="24" xfId="2" applyFont="1" applyFill="1" applyBorder="1" applyAlignment="1" applyProtection="1">
      <alignment horizontal="right" vertical="center" shrinkToFit="1"/>
      <protection locked="0"/>
    </xf>
    <xf numFmtId="0" fontId="23" fillId="0" borderId="15" xfId="7" applyFont="1" applyBorder="1" applyAlignment="1" applyProtection="1">
      <alignment horizontal="center" vertical="center" textRotation="255" wrapText="1"/>
    </xf>
    <xf numFmtId="3" fontId="23" fillId="0" borderId="22" xfId="7" applyNumberFormat="1" applyFont="1" applyBorder="1" applyAlignment="1" applyProtection="1">
      <alignment vertical="center"/>
    </xf>
    <xf numFmtId="0" fontId="23" fillId="0" borderId="19" xfId="0" applyFont="1" applyBorder="1" applyAlignment="1" applyProtection="1">
      <alignment horizontal="center" vertical="center" textRotation="255" wrapText="1"/>
    </xf>
    <xf numFmtId="0" fontId="23" fillId="0" borderId="15" xfId="0" applyFont="1" applyBorder="1" applyAlignment="1" applyProtection="1">
      <alignment horizontal="center" vertical="center" textRotation="255" wrapText="1"/>
    </xf>
    <xf numFmtId="9" fontId="23" fillId="2" borderId="23" xfId="1" applyNumberFormat="1" applyFont="1" applyFill="1" applyBorder="1" applyAlignment="1" applyProtection="1">
      <alignment vertical="center"/>
      <protection locked="0"/>
    </xf>
    <xf numFmtId="9" fontId="23" fillId="2" borderId="24" xfId="1" applyFont="1" applyFill="1" applyBorder="1" applyAlignment="1" applyProtection="1">
      <alignment vertical="center"/>
      <protection locked="0"/>
    </xf>
    <xf numFmtId="0" fontId="23" fillId="0" borderId="3" xfId="7" applyFont="1" applyBorder="1" applyProtection="1"/>
    <xf numFmtId="3" fontId="23" fillId="0" borderId="2" xfId="7" applyNumberFormat="1" applyFont="1" applyBorder="1" applyAlignment="1" applyProtection="1">
      <alignment vertical="center"/>
    </xf>
    <xf numFmtId="3" fontId="23" fillId="0" borderId="0" xfId="7" applyNumberFormat="1" applyFont="1" applyAlignment="1" applyProtection="1">
      <alignment vertical="center"/>
    </xf>
    <xf numFmtId="38" fontId="23" fillId="0" borderId="0" xfId="2" applyFont="1" applyFill="1" applyBorder="1" applyAlignment="1" applyProtection="1">
      <alignment vertical="center"/>
    </xf>
    <xf numFmtId="0" fontId="23" fillId="9" borderId="28" xfId="7" applyFont="1" applyFill="1" applyBorder="1" applyAlignment="1" applyProtection="1">
      <alignment vertical="center"/>
    </xf>
    <xf numFmtId="0" fontId="23" fillId="9" borderId="29" xfId="7" applyFont="1" applyFill="1" applyBorder="1" applyAlignment="1" applyProtection="1">
      <alignment horizontal="center" vertical="center"/>
    </xf>
    <xf numFmtId="0" fontId="23" fillId="0" borderId="0" xfId="7" applyFont="1" applyBorder="1" applyAlignment="1" applyProtection="1">
      <alignment vertical="center"/>
    </xf>
    <xf numFmtId="0" fontId="23" fillId="0" borderId="0" xfId="7" applyFont="1" applyBorder="1" applyProtection="1"/>
    <xf numFmtId="0" fontId="23" fillId="9" borderId="3" xfId="7" applyFont="1" applyFill="1" applyBorder="1" applyAlignment="1" applyProtection="1">
      <alignment vertical="center"/>
    </xf>
    <xf numFmtId="0" fontId="23" fillId="9" borderId="30" xfId="7" applyFont="1" applyFill="1" applyBorder="1" applyAlignment="1" applyProtection="1">
      <alignment vertical="center"/>
    </xf>
    <xf numFmtId="0" fontId="23" fillId="9" borderId="2" xfId="7" applyFont="1" applyFill="1" applyBorder="1" applyAlignment="1" applyProtection="1">
      <alignment horizontal="center" vertical="center"/>
    </xf>
    <xf numFmtId="0" fontId="23" fillId="9" borderId="31" xfId="7" applyFont="1" applyFill="1" applyBorder="1" applyAlignment="1" applyProtection="1">
      <alignment vertical="center"/>
    </xf>
    <xf numFmtId="0" fontId="23" fillId="9" borderId="16" xfId="7" applyFont="1" applyFill="1" applyBorder="1" applyAlignment="1" applyProtection="1">
      <alignment vertical="center"/>
    </xf>
    <xf numFmtId="0" fontId="23" fillId="0" borderId="5" xfId="0" applyFont="1" applyBorder="1" applyAlignment="1" applyProtection="1">
      <alignment horizontal="center"/>
    </xf>
    <xf numFmtId="0" fontId="23" fillId="0" borderId="32" xfId="0" applyFont="1" applyBorder="1" applyProtection="1"/>
    <xf numFmtId="9" fontId="23" fillId="0" borderId="33" xfId="1" applyFont="1" applyFill="1" applyBorder="1" applyAlignment="1" applyProtection="1">
      <alignment horizontal="center"/>
    </xf>
    <xf numFmtId="0" fontId="23" fillId="0" borderId="0" xfId="0" applyFont="1" applyBorder="1" applyAlignment="1" applyProtection="1">
      <alignment vertical="center"/>
    </xf>
    <xf numFmtId="0" fontId="23" fillId="0" borderId="17" xfId="7" applyFont="1" applyBorder="1" applyProtection="1"/>
    <xf numFmtId="0" fontId="23" fillId="0" borderId="0" xfId="0" applyFont="1" applyBorder="1" applyAlignment="1" applyProtection="1">
      <alignment vertical="center" shrinkToFit="1"/>
    </xf>
    <xf numFmtId="38" fontId="23" fillId="0" borderId="19" xfId="2" applyFont="1" applyFill="1" applyBorder="1" applyAlignment="1" applyProtection="1">
      <alignment vertical="center"/>
    </xf>
    <xf numFmtId="0" fontId="23" fillId="0" borderId="31" xfId="0" applyFont="1" applyBorder="1" applyAlignment="1" applyProtection="1">
      <alignment horizontal="center"/>
    </xf>
    <xf numFmtId="178" fontId="23" fillId="0" borderId="16" xfId="0" applyNumberFormat="1" applyFont="1" applyBorder="1" applyProtection="1"/>
    <xf numFmtId="0" fontId="23" fillId="0" borderId="13" xfId="0" applyFont="1" applyBorder="1" applyAlignment="1" applyProtection="1">
      <alignment horizontal="center"/>
    </xf>
    <xf numFmtId="0" fontId="23" fillId="0" borderId="34" xfId="0" applyFont="1" applyBorder="1" applyProtection="1"/>
    <xf numFmtId="9" fontId="23" fillId="0" borderId="35" xfId="1" applyFont="1" applyFill="1" applyBorder="1" applyAlignment="1" applyProtection="1">
      <alignment horizontal="center"/>
    </xf>
    <xf numFmtId="9" fontId="23" fillId="0" borderId="19" xfId="1" applyFont="1" applyFill="1" applyBorder="1" applyAlignment="1" applyProtection="1">
      <alignment horizontal="right" vertical="center"/>
    </xf>
    <xf numFmtId="0" fontId="23" fillId="0" borderId="17" xfId="0" applyFont="1" applyBorder="1" applyAlignment="1" applyProtection="1">
      <alignment horizontal="center"/>
    </xf>
    <xf numFmtId="178" fontId="23" fillId="0" borderId="18" xfId="0" applyNumberFormat="1" applyFont="1" applyBorder="1" applyProtection="1"/>
    <xf numFmtId="0" fontId="23" fillId="0" borderId="20" xfId="0" applyFont="1" applyBorder="1" applyAlignment="1" applyProtection="1">
      <alignment horizontal="center"/>
    </xf>
    <xf numFmtId="178" fontId="23" fillId="0" borderId="22" xfId="0" applyNumberFormat="1" applyFont="1" applyBorder="1" applyProtection="1"/>
    <xf numFmtId="9" fontId="23" fillId="0" borderId="19" xfId="0" applyNumberFormat="1" applyFont="1" applyFill="1" applyBorder="1" applyAlignment="1" applyProtection="1">
      <alignment vertical="center"/>
    </xf>
    <xf numFmtId="0" fontId="23" fillId="0" borderId="20" xfId="7" applyFont="1" applyBorder="1" applyProtection="1"/>
    <xf numFmtId="0" fontId="23" fillId="0" borderId="21" xfId="0" applyFont="1" applyBorder="1" applyAlignment="1" applyProtection="1">
      <alignment vertical="center"/>
    </xf>
    <xf numFmtId="38" fontId="23" fillId="0" borderId="15" xfId="2" applyFont="1" applyFill="1" applyBorder="1" applyAlignment="1" applyProtection="1">
      <alignment vertical="center"/>
    </xf>
    <xf numFmtId="0" fontId="9" fillId="0" borderId="0" xfId="7" applyFont="1" applyAlignment="1" applyProtection="1">
      <alignment horizontal="center"/>
    </xf>
    <xf numFmtId="0" fontId="24" fillId="0" borderId="0" xfId="3" applyNumberFormat="1" applyFont="1" applyBorder="1" applyAlignment="1" applyProtection="1">
      <alignment horizontal="right"/>
    </xf>
    <xf numFmtId="181" fontId="23" fillId="2" borderId="42" xfId="3" applyNumberFormat="1" applyFont="1" applyFill="1" applyBorder="1" applyAlignment="1" applyProtection="1">
      <alignment vertical="center"/>
      <protection locked="0"/>
    </xf>
    <xf numFmtId="0" fontId="9" fillId="3" borderId="42" xfId="3" applyNumberFormat="1" applyFont="1" applyFill="1" applyBorder="1" applyAlignment="1" applyProtection="1">
      <alignment horizontal="center" vertical="center"/>
      <protection locked="0"/>
    </xf>
    <xf numFmtId="3" fontId="23" fillId="2" borderId="42" xfId="3" applyNumberFormat="1" applyFont="1" applyFill="1" applyBorder="1" applyAlignment="1" applyProtection="1">
      <alignment horizontal="center" vertical="center"/>
      <protection locked="0"/>
    </xf>
    <xf numFmtId="9" fontId="23" fillId="2" borderId="42" xfId="1" applyNumberFormat="1" applyFont="1" applyFill="1" applyBorder="1" applyAlignment="1" applyProtection="1">
      <alignment horizontal="center" vertical="center"/>
      <protection locked="0"/>
    </xf>
    <xf numFmtId="38" fontId="23" fillId="2" borderId="42" xfId="2" applyFont="1" applyFill="1" applyBorder="1" applyAlignment="1" applyProtection="1">
      <alignment vertical="center"/>
      <protection locked="0"/>
    </xf>
    <xf numFmtId="38" fontId="23" fillId="3" borderId="42" xfId="2" applyFont="1" applyFill="1" applyBorder="1" applyAlignment="1" applyProtection="1">
      <alignment horizontal="center" vertical="center"/>
      <protection locked="0"/>
    </xf>
    <xf numFmtId="38" fontId="23" fillId="11" borderId="42" xfId="2" applyFont="1" applyFill="1" applyBorder="1" applyAlignment="1" applyProtection="1">
      <alignment vertical="center"/>
      <protection locked="0"/>
    </xf>
    <xf numFmtId="38" fontId="23" fillId="2" borderId="44" xfId="2" applyFont="1" applyFill="1" applyBorder="1" applyAlignment="1" applyProtection="1">
      <alignment vertical="center"/>
      <protection locked="0"/>
    </xf>
    <xf numFmtId="9" fontId="23" fillId="2" borderId="41" xfId="1" applyFont="1" applyFill="1" applyBorder="1" applyAlignment="1" applyProtection="1">
      <alignment vertical="center"/>
      <protection locked="0"/>
    </xf>
    <xf numFmtId="9" fontId="23" fillId="2" borderId="42" xfId="1" applyFont="1" applyFill="1" applyBorder="1" applyAlignment="1" applyProtection="1">
      <alignment vertical="center"/>
      <protection locked="0"/>
    </xf>
    <xf numFmtId="9" fontId="23" fillId="2" borderId="45" xfId="1" applyFont="1" applyFill="1" applyBorder="1" applyAlignment="1" applyProtection="1">
      <alignment vertical="center"/>
      <protection locked="0"/>
    </xf>
    <xf numFmtId="181" fontId="23" fillId="7" borderId="46" xfId="3" applyNumberFormat="1" applyFont="1" applyFill="1" applyBorder="1" applyAlignment="1" applyProtection="1">
      <alignment vertical="center"/>
      <protection locked="0"/>
    </xf>
    <xf numFmtId="181" fontId="23" fillId="7" borderId="42" xfId="3" applyNumberFormat="1" applyFont="1" applyFill="1" applyBorder="1" applyAlignment="1" applyProtection="1">
      <alignment vertical="center"/>
      <protection locked="0"/>
    </xf>
    <xf numFmtId="181" fontId="23" fillId="7" borderId="44" xfId="3" applyNumberFormat="1" applyFont="1" applyFill="1" applyBorder="1" applyAlignment="1" applyProtection="1">
      <alignment vertical="center"/>
      <protection locked="0"/>
    </xf>
    <xf numFmtId="0" fontId="9" fillId="2" borderId="47" xfId="3" applyNumberFormat="1" applyFont="1" applyFill="1" applyBorder="1" applyAlignment="1" applyProtection="1">
      <alignment horizontal="left" vertical="center"/>
      <protection locked="0"/>
    </xf>
    <xf numFmtId="0" fontId="9" fillId="2" borderId="42" xfId="3" applyNumberFormat="1" applyFont="1" applyFill="1" applyBorder="1" applyAlignment="1" applyProtection="1">
      <alignment horizontal="left" vertical="center"/>
      <protection locked="0"/>
    </xf>
    <xf numFmtId="14" fontId="9" fillId="2" borderId="47" xfId="3" applyNumberFormat="1" applyFont="1" applyFill="1" applyBorder="1" applyAlignment="1" applyProtection="1">
      <alignment horizontal="left" vertical="center"/>
      <protection locked="0"/>
    </xf>
    <xf numFmtId="181" fontId="23" fillId="2" borderId="47" xfId="3" applyNumberFormat="1" applyFont="1" applyFill="1" applyBorder="1" applyAlignment="1" applyProtection="1">
      <alignment vertical="center"/>
      <protection locked="0"/>
    </xf>
    <xf numFmtId="0" fontId="9" fillId="3" borderId="47" xfId="3" applyNumberFormat="1" applyFont="1" applyFill="1" applyBorder="1" applyAlignment="1" applyProtection="1">
      <alignment horizontal="center" vertical="center"/>
      <protection locked="0"/>
    </xf>
    <xf numFmtId="181" fontId="30" fillId="2" borderId="47" xfId="3" applyNumberFormat="1" applyFont="1" applyFill="1" applyBorder="1" applyAlignment="1" applyProtection="1">
      <alignment vertical="center"/>
      <protection locked="0"/>
    </xf>
    <xf numFmtId="3" fontId="23" fillId="2" borderId="47" xfId="3" applyNumberFormat="1" applyFont="1" applyFill="1" applyBorder="1" applyAlignment="1" applyProtection="1">
      <alignment horizontal="center" vertical="center"/>
      <protection locked="0"/>
    </xf>
    <xf numFmtId="9" fontId="23" fillId="2" borderId="47" xfId="1" applyNumberFormat="1" applyFont="1" applyFill="1" applyBorder="1" applyAlignment="1" applyProtection="1">
      <alignment horizontal="center" vertical="center"/>
      <protection locked="0"/>
    </xf>
    <xf numFmtId="38" fontId="23" fillId="2" borderId="47" xfId="2" applyFont="1" applyFill="1" applyBorder="1" applyAlignment="1" applyProtection="1">
      <alignment vertical="center"/>
      <protection locked="0"/>
    </xf>
    <xf numFmtId="38" fontId="23" fillId="3" borderId="47" xfId="2" applyFont="1" applyFill="1" applyBorder="1" applyAlignment="1" applyProtection="1">
      <alignment horizontal="center" vertical="center"/>
      <protection locked="0"/>
    </xf>
    <xf numFmtId="38" fontId="23" fillId="11" borderId="47" xfId="2" applyFont="1" applyFill="1" applyBorder="1" applyAlignment="1" applyProtection="1">
      <alignment vertical="center"/>
      <protection locked="0"/>
    </xf>
    <xf numFmtId="38" fontId="23" fillId="2" borderId="49" xfId="2" applyFont="1" applyFill="1" applyBorder="1" applyAlignment="1" applyProtection="1">
      <alignment vertical="center"/>
      <protection locked="0"/>
    </xf>
    <xf numFmtId="9" fontId="23" fillId="2" borderId="48" xfId="1" applyFont="1" applyFill="1" applyBorder="1" applyAlignment="1" applyProtection="1">
      <alignment vertical="center"/>
      <protection locked="0"/>
    </xf>
    <xf numFmtId="9" fontId="23" fillId="2" borderId="47" xfId="1" applyFont="1" applyFill="1" applyBorder="1" applyAlignment="1" applyProtection="1">
      <alignment vertical="center"/>
      <protection locked="0"/>
    </xf>
    <xf numFmtId="9" fontId="23" fillId="2" borderId="50" xfId="1" applyFont="1" applyFill="1" applyBorder="1" applyAlignment="1" applyProtection="1">
      <alignment vertical="center"/>
      <protection locked="0"/>
    </xf>
    <xf numFmtId="181" fontId="23" fillId="7" borderId="51" xfId="3" applyNumberFormat="1" applyFont="1" applyFill="1" applyBorder="1" applyAlignment="1" applyProtection="1">
      <alignment vertical="center"/>
      <protection locked="0"/>
    </xf>
    <xf numFmtId="181" fontId="23" fillId="7" borderId="47" xfId="3" applyNumberFormat="1" applyFont="1" applyFill="1" applyBorder="1" applyAlignment="1" applyProtection="1">
      <alignment vertical="center"/>
      <protection locked="0"/>
    </xf>
    <xf numFmtId="181" fontId="23" fillId="7" borderId="49" xfId="3" applyNumberFormat="1" applyFont="1" applyFill="1" applyBorder="1" applyAlignment="1" applyProtection="1">
      <alignment vertical="center"/>
      <protection locked="0"/>
    </xf>
    <xf numFmtId="0" fontId="9" fillId="2" borderId="47" xfId="3" applyNumberFormat="1" applyFont="1" applyFill="1" applyBorder="1" applyAlignment="1" applyProtection="1">
      <alignment vertical="center"/>
      <protection locked="0"/>
    </xf>
    <xf numFmtId="0" fontId="9" fillId="3" borderId="47" xfId="3" applyFont="1" applyFill="1" applyBorder="1" applyAlignment="1" applyProtection="1">
      <alignment horizontal="center" vertical="center"/>
      <protection locked="0"/>
    </xf>
    <xf numFmtId="182" fontId="9" fillId="2" borderId="47" xfId="3" applyNumberFormat="1" applyFont="1" applyFill="1" applyBorder="1" applyAlignment="1" applyProtection="1">
      <alignment horizontal="left" vertical="center"/>
      <protection locked="0"/>
    </xf>
    <xf numFmtId="182" fontId="9" fillId="3" borderId="47" xfId="3" applyNumberFormat="1" applyFont="1" applyFill="1" applyBorder="1" applyAlignment="1" applyProtection="1">
      <alignment horizontal="center" vertical="center"/>
      <protection locked="0"/>
    </xf>
    <xf numFmtId="182" fontId="9" fillId="2" borderId="47" xfId="3" applyNumberFormat="1" applyFont="1" applyFill="1" applyBorder="1" applyAlignment="1" applyProtection="1">
      <alignment vertical="center"/>
      <protection locked="0"/>
    </xf>
    <xf numFmtId="1" fontId="23" fillId="2" borderId="47" xfId="3" applyNumberFormat="1" applyFont="1" applyFill="1" applyBorder="1" applyAlignment="1" applyProtection="1">
      <alignment horizontal="center" vertical="center"/>
      <protection locked="0"/>
    </xf>
    <xf numFmtId="0" fontId="23" fillId="0" borderId="0" xfId="3" applyFont="1" applyProtection="1"/>
    <xf numFmtId="0" fontId="15" fillId="0" borderId="0" xfId="3" applyFont="1" applyProtection="1"/>
    <xf numFmtId="0" fontId="23" fillId="2" borderId="24" xfId="2" applyNumberFormat="1" applyFont="1" applyFill="1" applyBorder="1" applyAlignment="1" applyProtection="1">
      <alignment horizontal="right" vertical="center" shrinkToFit="1"/>
      <protection locked="0"/>
    </xf>
    <xf numFmtId="3" fontId="23" fillId="2" borderId="24" xfId="2" applyNumberFormat="1" applyFont="1" applyFill="1" applyBorder="1" applyAlignment="1" applyProtection="1">
      <alignment horizontal="right" vertical="center" shrinkToFit="1"/>
      <protection locked="0"/>
    </xf>
    <xf numFmtId="0" fontId="16" fillId="0" borderId="0" xfId="0" applyFont="1" applyAlignment="1" applyProtection="1">
      <alignment shrinkToFit="1"/>
    </xf>
    <xf numFmtId="38" fontId="9" fillId="0" borderId="0" xfId="2" applyFont="1" applyFill="1" applyBorder="1" applyAlignment="1" applyProtection="1">
      <alignment shrinkToFit="1"/>
    </xf>
    <xf numFmtId="0" fontId="23" fillId="9" borderId="8" xfId="7" applyFont="1" applyFill="1" applyBorder="1" applyAlignment="1" applyProtection="1">
      <alignment horizontal="center" wrapText="1"/>
    </xf>
    <xf numFmtId="0" fontId="25" fillId="3" borderId="47" xfId="3" applyFont="1" applyFill="1" applyBorder="1" applyAlignment="1" applyProtection="1">
      <alignment horizontal="center" vertical="center"/>
      <protection locked="0"/>
    </xf>
    <xf numFmtId="0" fontId="23" fillId="9" borderId="16" xfId="7" applyFont="1" applyFill="1" applyBorder="1" applyAlignment="1" applyProtection="1">
      <alignment horizontal="center" vertical="center"/>
    </xf>
    <xf numFmtId="0" fontId="23" fillId="0" borderId="31" xfId="0" applyFont="1" applyFill="1" applyBorder="1" applyProtection="1"/>
    <xf numFmtId="38" fontId="23" fillId="0" borderId="16" xfId="2" applyFont="1" applyFill="1" applyBorder="1" applyAlignment="1" applyProtection="1"/>
    <xf numFmtId="0" fontId="23" fillId="0" borderId="0" xfId="0" applyFont="1" applyFill="1" applyBorder="1" applyProtection="1"/>
    <xf numFmtId="9" fontId="23" fillId="0" borderId="18" xfId="0" applyNumberFormat="1" applyFont="1" applyFill="1" applyBorder="1" applyProtection="1"/>
    <xf numFmtId="38" fontId="23" fillId="0" borderId="18" xfId="2" applyFont="1" applyFill="1" applyBorder="1" applyAlignment="1" applyProtection="1"/>
    <xf numFmtId="38" fontId="23" fillId="0" borderId="18" xfId="2" applyFont="1" applyFill="1" applyBorder="1" applyAlignment="1" applyProtection="1">
      <alignment vertical="center"/>
    </xf>
    <xf numFmtId="0" fontId="23" fillId="0" borderId="21" xfId="0" applyFont="1" applyFill="1" applyBorder="1" applyProtection="1"/>
    <xf numFmtId="38" fontId="23" fillId="0" borderId="22" xfId="2" applyFont="1" applyFill="1" applyBorder="1" applyAlignment="1" applyProtection="1">
      <alignment vertical="center"/>
    </xf>
    <xf numFmtId="0" fontId="25" fillId="2" borderId="47" xfId="3" applyNumberFormat="1" applyFont="1" applyFill="1" applyBorder="1" applyAlignment="1" applyProtection="1">
      <alignment vertical="center"/>
      <protection locked="0"/>
    </xf>
    <xf numFmtId="3" fontId="30" fillId="2" borderId="47" xfId="3" applyNumberFormat="1" applyFont="1" applyFill="1" applyBorder="1" applyAlignment="1" applyProtection="1">
      <alignment horizontal="center" vertical="center"/>
      <protection locked="0"/>
    </xf>
    <xf numFmtId="9" fontId="30" fillId="2" borderId="47" xfId="1" applyNumberFormat="1" applyFont="1" applyFill="1" applyBorder="1" applyAlignment="1" applyProtection="1">
      <alignment horizontal="center" vertical="center"/>
      <protection locked="0"/>
    </xf>
    <xf numFmtId="0" fontId="9" fillId="2" borderId="85" xfId="3" applyNumberFormat="1" applyFont="1" applyFill="1" applyBorder="1" applyAlignment="1" applyProtection="1">
      <alignment horizontal="left" vertical="center"/>
      <protection locked="0"/>
    </xf>
    <xf numFmtId="181" fontId="23" fillId="2" borderId="85" xfId="3" applyNumberFormat="1" applyFont="1" applyFill="1" applyBorder="1" applyAlignment="1" applyProtection="1">
      <alignment vertical="center"/>
      <protection locked="0"/>
    </xf>
    <xf numFmtId="0" fontId="9" fillId="3" borderId="85" xfId="3" applyNumberFormat="1" applyFont="1" applyFill="1" applyBorder="1" applyAlignment="1" applyProtection="1">
      <alignment horizontal="center" vertical="center"/>
      <protection locked="0"/>
    </xf>
    <xf numFmtId="3" fontId="23" fillId="2" borderId="85" xfId="3" applyNumberFormat="1" applyFont="1" applyFill="1" applyBorder="1" applyAlignment="1" applyProtection="1">
      <alignment horizontal="center" vertical="center"/>
      <protection locked="0"/>
    </xf>
    <xf numFmtId="9" fontId="23" fillId="2" borderId="85" xfId="1" applyNumberFormat="1" applyFont="1" applyFill="1" applyBorder="1" applyAlignment="1" applyProtection="1">
      <alignment horizontal="center" vertical="center"/>
      <protection locked="0"/>
    </xf>
    <xf numFmtId="38" fontId="23" fillId="2" borderId="85" xfId="2" applyFont="1" applyFill="1" applyBorder="1" applyAlignment="1" applyProtection="1">
      <alignment vertical="center"/>
      <protection locked="0"/>
    </xf>
    <xf numFmtId="38" fontId="23" fillId="3" borderId="85" xfId="2" applyFont="1" applyFill="1" applyBorder="1" applyAlignment="1" applyProtection="1">
      <alignment horizontal="center" vertical="center"/>
      <protection locked="0"/>
    </xf>
    <xf numFmtId="38" fontId="23" fillId="11" borderId="85" xfId="2" applyFont="1" applyFill="1" applyBorder="1" applyAlignment="1" applyProtection="1">
      <alignment vertical="center"/>
      <protection locked="0"/>
    </xf>
    <xf numFmtId="38" fontId="23" fillId="2" borderId="86" xfId="2" applyFont="1" applyFill="1" applyBorder="1" applyAlignment="1" applyProtection="1">
      <alignment vertical="center"/>
      <protection locked="0"/>
    </xf>
    <xf numFmtId="9" fontId="23" fillId="2" borderId="87" xfId="1" applyFont="1" applyFill="1" applyBorder="1" applyAlignment="1" applyProtection="1">
      <alignment vertical="center"/>
      <protection locked="0"/>
    </xf>
    <xf numFmtId="9" fontId="23" fillId="2" borderId="85" xfId="1" applyFont="1" applyFill="1" applyBorder="1" applyAlignment="1" applyProtection="1">
      <alignment vertical="center"/>
      <protection locked="0"/>
    </xf>
    <xf numFmtId="9" fontId="23" fillId="2" borderId="88" xfId="1" applyFont="1" applyFill="1" applyBorder="1" applyAlignment="1" applyProtection="1">
      <alignment vertical="center"/>
      <protection locked="0"/>
    </xf>
    <xf numFmtId="181" fontId="23" fillId="7" borderId="89" xfId="3" applyNumberFormat="1" applyFont="1" applyFill="1" applyBorder="1" applyAlignment="1" applyProtection="1">
      <alignment vertical="center"/>
      <protection locked="0"/>
    </xf>
    <xf numFmtId="181" fontId="23" fillId="7" borderId="85" xfId="3" applyNumberFormat="1" applyFont="1" applyFill="1" applyBorder="1" applyAlignment="1" applyProtection="1">
      <alignment vertical="center"/>
      <protection locked="0"/>
    </xf>
    <xf numFmtId="181" fontId="23" fillId="7" borderId="86" xfId="3" applyNumberFormat="1" applyFont="1" applyFill="1" applyBorder="1" applyAlignment="1" applyProtection="1">
      <alignment vertical="center"/>
      <protection locked="0"/>
    </xf>
    <xf numFmtId="182" fontId="24" fillId="2" borderId="90" xfId="3" applyNumberFormat="1" applyFont="1" applyFill="1" applyBorder="1" applyAlignment="1" applyProtection="1">
      <alignment vertical="center"/>
      <protection locked="0"/>
    </xf>
    <xf numFmtId="182" fontId="24" fillId="2" borderId="92" xfId="3" applyNumberFormat="1" applyFont="1" applyFill="1" applyBorder="1" applyAlignment="1" applyProtection="1">
      <alignment vertical="center"/>
      <protection locked="0"/>
    </xf>
    <xf numFmtId="181" fontId="23" fillId="16" borderId="94" xfId="3" applyNumberFormat="1" applyFont="1" applyFill="1" applyBorder="1" applyAlignment="1" applyProtection="1">
      <alignment vertical="center"/>
    </xf>
    <xf numFmtId="181" fontId="23" fillId="2" borderId="100" xfId="3" applyNumberFormat="1" applyFont="1" applyFill="1" applyBorder="1" applyAlignment="1" applyProtection="1">
      <alignment vertical="center"/>
      <protection locked="0"/>
    </xf>
    <xf numFmtId="0" fontId="9" fillId="3" borderId="100" xfId="3" applyNumberFormat="1" applyFont="1" applyFill="1" applyBorder="1" applyAlignment="1" applyProtection="1">
      <alignment horizontal="center" vertical="center"/>
      <protection locked="0"/>
    </xf>
    <xf numFmtId="3" fontId="23" fillId="2" borderId="100" xfId="3" applyNumberFormat="1" applyFont="1" applyFill="1" applyBorder="1" applyAlignment="1" applyProtection="1">
      <alignment horizontal="center" vertical="center"/>
      <protection locked="0"/>
    </xf>
    <xf numFmtId="9" fontId="23" fillId="2" borderId="100" xfId="1" applyNumberFormat="1" applyFont="1" applyFill="1" applyBorder="1" applyAlignment="1" applyProtection="1">
      <alignment horizontal="center" vertical="center"/>
      <protection locked="0"/>
    </xf>
    <xf numFmtId="38" fontId="23" fillId="2" borderId="100" xfId="2" applyFont="1" applyFill="1" applyBorder="1" applyAlignment="1" applyProtection="1">
      <alignment vertical="center"/>
      <protection locked="0"/>
    </xf>
    <xf numFmtId="38" fontId="23" fillId="3" borderId="100" xfId="2" applyFont="1" applyFill="1" applyBorder="1" applyAlignment="1" applyProtection="1">
      <alignment horizontal="center" vertical="center"/>
      <protection locked="0"/>
    </xf>
    <xf numFmtId="38" fontId="23" fillId="11" borderId="100" xfId="2" applyFont="1" applyFill="1" applyBorder="1" applyAlignment="1" applyProtection="1">
      <alignment vertical="center"/>
      <protection locked="0"/>
    </xf>
    <xf numFmtId="38" fontId="23" fillId="2" borderId="101" xfId="2" applyFont="1" applyFill="1" applyBorder="1" applyAlignment="1" applyProtection="1">
      <alignment vertical="center"/>
      <protection locked="0"/>
    </xf>
    <xf numFmtId="9" fontId="23" fillId="2" borderId="102" xfId="1" applyFont="1" applyFill="1" applyBorder="1" applyAlignment="1" applyProtection="1">
      <alignment vertical="center"/>
      <protection locked="0"/>
    </xf>
    <xf numFmtId="9" fontId="23" fillId="2" borderId="100" xfId="1" applyFont="1" applyFill="1" applyBorder="1" applyAlignment="1" applyProtection="1">
      <alignment vertical="center"/>
      <protection locked="0"/>
    </xf>
    <xf numFmtId="9" fontId="23" fillId="2" borderId="103" xfId="1" applyFont="1" applyFill="1" applyBorder="1" applyAlignment="1" applyProtection="1">
      <alignment vertical="center"/>
      <protection locked="0"/>
    </xf>
    <xf numFmtId="181" fontId="23" fillId="7" borderId="104" xfId="3" applyNumberFormat="1" applyFont="1" applyFill="1" applyBorder="1" applyAlignment="1" applyProtection="1">
      <alignment vertical="center"/>
      <protection locked="0"/>
    </xf>
    <xf numFmtId="181" fontId="23" fillId="7" borderId="100" xfId="3" applyNumberFormat="1" applyFont="1" applyFill="1" applyBorder="1" applyAlignment="1" applyProtection="1">
      <alignment vertical="center"/>
      <protection locked="0"/>
    </xf>
    <xf numFmtId="181" fontId="23" fillId="7" borderId="101" xfId="3" applyNumberFormat="1" applyFont="1" applyFill="1" applyBorder="1" applyAlignment="1" applyProtection="1">
      <alignment vertical="center"/>
      <protection locked="0"/>
    </xf>
    <xf numFmtId="182" fontId="24" fillId="2" borderId="105" xfId="3" applyNumberFormat="1" applyFont="1" applyFill="1" applyBorder="1" applyAlignment="1" applyProtection="1">
      <alignment vertical="center"/>
      <protection locked="0"/>
    </xf>
    <xf numFmtId="0" fontId="9" fillId="2" borderId="106" xfId="3" applyNumberFormat="1" applyFont="1" applyFill="1" applyBorder="1" applyAlignment="1" applyProtection="1">
      <alignment horizontal="left" vertical="center"/>
      <protection locked="0"/>
    </xf>
    <xf numFmtId="0" fontId="9" fillId="2" borderId="107" xfId="3" applyNumberFormat="1" applyFont="1" applyFill="1" applyBorder="1" applyAlignment="1" applyProtection="1">
      <alignment horizontal="left" vertical="center"/>
      <protection locked="0"/>
    </xf>
    <xf numFmtId="0" fontId="9" fillId="2" borderId="108" xfId="3" applyNumberFormat="1" applyFont="1" applyFill="1" applyBorder="1" applyAlignment="1" applyProtection="1">
      <alignment horizontal="left" vertical="center"/>
      <protection locked="0"/>
    </xf>
    <xf numFmtId="0" fontId="9" fillId="2" borderId="109" xfId="3" applyNumberFormat="1" applyFont="1" applyFill="1" applyBorder="1" applyAlignment="1" applyProtection="1">
      <alignment horizontal="left" vertical="center"/>
      <protection locked="0"/>
    </xf>
    <xf numFmtId="0" fontId="9" fillId="2" borderId="110" xfId="3" applyNumberFormat="1" applyFont="1" applyFill="1" applyBorder="1" applyAlignment="1" applyProtection="1">
      <alignment horizontal="left" vertical="center"/>
      <protection locked="0"/>
    </xf>
    <xf numFmtId="182" fontId="9" fillId="2" borderId="100" xfId="3" applyNumberFormat="1" applyFont="1" applyFill="1" applyBorder="1" applyAlignment="1" applyProtection="1">
      <alignment horizontal="left" vertical="center"/>
      <protection locked="0"/>
    </xf>
    <xf numFmtId="182" fontId="9" fillId="3" borderId="100" xfId="3" applyNumberFormat="1" applyFont="1" applyFill="1" applyBorder="1" applyAlignment="1" applyProtection="1">
      <alignment horizontal="center" vertical="center"/>
      <protection locked="0"/>
    </xf>
    <xf numFmtId="182" fontId="24" fillId="2" borderId="113" xfId="3" applyNumberFormat="1" applyFont="1" applyFill="1" applyBorder="1" applyAlignment="1" applyProtection="1">
      <alignment vertical="center"/>
      <protection locked="0"/>
    </xf>
    <xf numFmtId="182" fontId="32" fillId="2" borderId="113" xfId="3" applyNumberFormat="1" applyFont="1" applyFill="1" applyBorder="1" applyAlignment="1" applyProtection="1">
      <alignment vertical="center"/>
      <protection locked="0"/>
    </xf>
    <xf numFmtId="182" fontId="9" fillId="2" borderId="85" xfId="3" applyNumberFormat="1" applyFont="1" applyFill="1" applyBorder="1" applyAlignment="1" applyProtection="1">
      <alignment vertical="center"/>
      <protection locked="0"/>
    </xf>
    <xf numFmtId="182" fontId="9" fillId="3" borderId="85" xfId="3" applyNumberFormat="1" applyFont="1" applyFill="1" applyBorder="1" applyAlignment="1" applyProtection="1">
      <alignment horizontal="center" vertical="center"/>
      <protection locked="0"/>
    </xf>
    <xf numFmtId="0" fontId="24" fillId="2" borderId="90" xfId="3" applyNumberFormat="1" applyFont="1" applyFill="1" applyBorder="1" applyAlignment="1" applyProtection="1">
      <alignment vertical="center"/>
      <protection locked="0"/>
    </xf>
    <xf numFmtId="0" fontId="24" fillId="2" borderId="113" xfId="3" applyNumberFormat="1" applyFont="1" applyFill="1" applyBorder="1" applyAlignment="1" applyProtection="1">
      <alignment vertical="center"/>
      <protection locked="0"/>
    </xf>
    <xf numFmtId="182" fontId="9" fillId="2" borderId="100" xfId="3" applyNumberFormat="1" applyFont="1" applyFill="1" applyBorder="1" applyAlignment="1" applyProtection="1">
      <alignment vertical="center"/>
      <protection locked="0"/>
    </xf>
    <xf numFmtId="0" fontId="24" fillId="2" borderId="105" xfId="3" applyNumberFormat="1" applyFont="1" applyFill="1" applyBorder="1" applyAlignment="1" applyProtection="1">
      <alignment vertical="center"/>
      <protection locked="0"/>
    </xf>
    <xf numFmtId="14" fontId="9" fillId="2" borderId="100" xfId="3" applyNumberFormat="1" applyFont="1" applyFill="1" applyBorder="1" applyAlignment="1" applyProtection="1">
      <alignment horizontal="left" vertical="center"/>
      <protection locked="0"/>
    </xf>
    <xf numFmtId="0" fontId="9" fillId="2" borderId="100" xfId="3" applyNumberFormat="1" applyFont="1" applyFill="1" applyBorder="1" applyAlignment="1" applyProtection="1">
      <alignment vertical="center"/>
      <protection locked="0"/>
    </xf>
    <xf numFmtId="0" fontId="9" fillId="3" borderId="100" xfId="3" applyFont="1" applyFill="1" applyBorder="1" applyAlignment="1" applyProtection="1">
      <alignment horizontal="center" vertical="center"/>
      <protection locked="0"/>
    </xf>
    <xf numFmtId="0" fontId="0" fillId="13" borderId="2" xfId="0" applyFill="1" applyBorder="1" applyAlignment="1" applyProtection="1">
      <alignment vertical="center"/>
      <protection locked="0"/>
    </xf>
    <xf numFmtId="40" fontId="0" fillId="0" borderId="115" xfId="11" applyNumberFormat="1" applyFont="1" applyFill="1" applyBorder="1" applyAlignment="1" applyProtection="1"/>
    <xf numFmtId="40" fontId="0" fillId="2" borderId="19" xfId="2" applyNumberFormat="1" applyFont="1" applyFill="1" applyBorder="1" applyAlignment="1" applyProtection="1">
      <protection locked="0"/>
    </xf>
    <xf numFmtId="40" fontId="0" fillId="12" borderId="15" xfId="2" applyNumberFormat="1" applyFont="1" applyFill="1" applyBorder="1" applyAlignment="1" applyProtection="1">
      <protection locked="0"/>
    </xf>
    <xf numFmtId="40" fontId="0" fillId="12" borderId="2" xfId="2" applyNumberFormat="1" applyFont="1" applyFill="1" applyBorder="1" applyAlignment="1" applyProtection="1">
      <protection locked="0"/>
    </xf>
    <xf numFmtId="40" fontId="0" fillId="12" borderId="8" xfId="2" applyNumberFormat="1" applyFont="1" applyFill="1" applyBorder="1" applyAlignment="1" applyProtection="1">
      <protection locked="0"/>
    </xf>
    <xf numFmtId="40" fontId="0" fillId="12" borderId="74" xfId="2" applyNumberFormat="1" applyFont="1" applyFill="1" applyBorder="1" applyAlignment="1" applyProtection="1">
      <protection locked="0"/>
    </xf>
    <xf numFmtId="0" fontId="16" fillId="0" borderId="0" xfId="12" applyFont="1"/>
    <xf numFmtId="0" fontId="3" fillId="0" borderId="0" xfId="13" applyFont="1"/>
    <xf numFmtId="0" fontId="16" fillId="0" borderId="0" xfId="12"/>
    <xf numFmtId="0" fontId="34" fillId="0" borderId="0" xfId="12" applyFont="1" applyAlignment="1">
      <alignment shrinkToFit="1"/>
    </xf>
    <xf numFmtId="0" fontId="34" fillId="0" borderId="0" xfId="12" applyFont="1"/>
    <xf numFmtId="0" fontId="10" fillId="0" borderId="0" xfId="12" applyFont="1"/>
    <xf numFmtId="0" fontId="16" fillId="0" borderId="117" xfId="12" applyBorder="1"/>
    <xf numFmtId="0" fontId="16" fillId="0" borderId="117" xfId="12" applyFont="1" applyBorder="1"/>
    <xf numFmtId="0" fontId="10" fillId="0" borderId="117" xfId="12" applyFont="1" applyBorder="1"/>
    <xf numFmtId="0" fontId="16" fillId="0" borderId="0" xfId="12" applyFill="1" applyBorder="1"/>
    <xf numFmtId="191" fontId="16" fillId="20" borderId="117" xfId="12" applyNumberFormat="1" applyFont="1" applyFill="1" applyBorder="1" applyProtection="1">
      <protection locked="0"/>
    </xf>
    <xf numFmtId="0" fontId="16" fillId="20" borderId="117" xfId="12" applyFill="1" applyBorder="1" applyProtection="1">
      <protection locked="0"/>
    </xf>
    <xf numFmtId="0" fontId="3" fillId="0" borderId="117" xfId="12" applyFont="1" applyBorder="1"/>
    <xf numFmtId="192" fontId="16" fillId="20" borderId="117" xfId="12" applyNumberFormat="1" applyFill="1" applyBorder="1" applyProtection="1">
      <protection locked="0"/>
    </xf>
    <xf numFmtId="193" fontId="16" fillId="20" borderId="117" xfId="12" applyNumberFormat="1" applyFill="1" applyBorder="1" applyAlignment="1" applyProtection="1">
      <protection locked="0"/>
    </xf>
    <xf numFmtId="191" fontId="16" fillId="21" borderId="117" xfId="12" applyNumberFormat="1" applyFill="1" applyBorder="1" applyProtection="1"/>
    <xf numFmtId="0" fontId="16" fillId="0" borderId="0" xfId="12" applyFill="1" applyBorder="1" applyProtection="1">
      <protection locked="0"/>
    </xf>
    <xf numFmtId="0" fontId="16" fillId="0" borderId="0" xfId="12" applyFill="1" applyBorder="1" applyAlignment="1">
      <alignment horizontal="center"/>
    </xf>
    <xf numFmtId="0" fontId="16" fillId="0" borderId="0" xfId="12" applyBorder="1"/>
    <xf numFmtId="191" fontId="16" fillId="21" borderId="117" xfId="12" applyNumberFormat="1" applyFill="1" applyBorder="1"/>
    <xf numFmtId="0" fontId="16" fillId="0" borderId="0" xfId="12" applyFont="1" applyFill="1" applyBorder="1"/>
    <xf numFmtId="0" fontId="34" fillId="0" borderId="0" xfId="12" applyFont="1" applyFill="1" applyBorder="1" applyProtection="1">
      <protection locked="0"/>
    </xf>
    <xf numFmtId="0" fontId="3" fillId="0" borderId="0" xfId="12" applyFont="1" applyBorder="1" applyAlignment="1">
      <alignment horizontal="center"/>
    </xf>
    <xf numFmtId="0" fontId="34" fillId="0" borderId="0" xfId="12" applyFont="1" applyBorder="1" applyAlignment="1" applyProtection="1">
      <alignment horizontal="center"/>
      <protection locked="0"/>
    </xf>
    <xf numFmtId="0" fontId="0" fillId="0" borderId="117" xfId="0" applyBorder="1" applyAlignment="1">
      <alignment horizontal="center"/>
    </xf>
    <xf numFmtId="0" fontId="0" fillId="12" borderId="117" xfId="0" applyFill="1" applyBorder="1"/>
    <xf numFmtId="0" fontId="0" fillId="0" borderId="117" xfId="0" applyBorder="1"/>
    <xf numFmtId="0" fontId="0" fillId="7" borderId="117" xfId="0" applyFill="1" applyBorder="1"/>
    <xf numFmtId="0" fontId="0" fillId="22" borderId="117" xfId="0" applyFill="1" applyBorder="1"/>
    <xf numFmtId="0" fontId="0" fillId="23" borderId="117" xfId="0" applyFill="1" applyBorder="1"/>
    <xf numFmtId="0" fontId="0" fillId="0" borderId="0" xfId="0" applyFont="1"/>
    <xf numFmtId="197" fontId="0" fillId="0" borderId="0" xfId="0" applyNumberFormat="1" applyFont="1" applyBorder="1" applyAlignment="1">
      <alignment vertical="center"/>
    </xf>
    <xf numFmtId="0" fontId="0" fillId="0" borderId="0" xfId="0" applyFont="1" applyBorder="1" applyAlignment="1">
      <alignment horizontal="center" vertical="center"/>
    </xf>
    <xf numFmtId="0" fontId="0" fillId="0" borderId="0" xfId="0" applyFont="1" applyBorder="1" applyAlignment="1">
      <alignment vertical="center"/>
    </xf>
    <xf numFmtId="0" fontId="33" fillId="0" borderId="0" xfId="0" applyFont="1"/>
    <xf numFmtId="38" fontId="23" fillId="0" borderId="0" xfId="6" applyNumberFormat="1" applyFont="1" applyBorder="1" applyAlignment="1" applyProtection="1">
      <alignment horizontal="left" vertical="center" shrinkToFit="1"/>
    </xf>
    <xf numFmtId="0" fontId="23" fillId="0" borderId="11" xfId="6" applyFont="1" applyBorder="1" applyAlignment="1" applyProtection="1">
      <alignment vertical="center" shrinkToFit="1"/>
    </xf>
    <xf numFmtId="185" fontId="16" fillId="0" borderId="141" xfId="2" applyNumberFormat="1" applyFont="1" applyFill="1" applyBorder="1" applyAlignment="1" applyProtection="1">
      <alignment vertical="center"/>
    </xf>
    <xf numFmtId="185" fontId="16" fillId="0" borderId="142" xfId="2" applyNumberFormat="1" applyFont="1" applyFill="1" applyBorder="1" applyAlignment="1" applyProtection="1">
      <alignment vertical="center"/>
    </xf>
    <xf numFmtId="0" fontId="16" fillId="0" borderId="144" xfId="6" applyFont="1" applyBorder="1" applyAlignment="1" applyProtection="1">
      <alignment horizontal="justify" vertical="center" indent="1" shrinkToFit="1"/>
    </xf>
    <xf numFmtId="0" fontId="0" fillId="0" borderId="144" xfId="6" applyFont="1" applyBorder="1" applyAlignment="1" applyProtection="1">
      <alignment horizontal="justify" vertical="center" indent="1" shrinkToFit="1"/>
    </xf>
    <xf numFmtId="185" fontId="16" fillId="0" borderId="145" xfId="2" applyNumberFormat="1" applyFont="1" applyFill="1" applyBorder="1" applyAlignment="1" applyProtection="1">
      <alignment vertical="center"/>
    </xf>
    <xf numFmtId="185" fontId="16" fillId="0" borderId="146" xfId="2" applyNumberFormat="1" applyFont="1" applyFill="1" applyBorder="1" applyAlignment="1" applyProtection="1">
      <alignment vertical="center"/>
    </xf>
    <xf numFmtId="185" fontId="16" fillId="0" borderId="147" xfId="2" applyNumberFormat="1" applyFont="1" applyFill="1" applyBorder="1" applyAlignment="1" applyProtection="1">
      <alignment vertical="center"/>
    </xf>
    <xf numFmtId="185" fontId="16" fillId="0" borderId="148" xfId="2" applyNumberFormat="1" applyFont="1" applyFill="1" applyBorder="1" applyAlignment="1" applyProtection="1">
      <alignment vertical="center"/>
    </xf>
    <xf numFmtId="185" fontId="16" fillId="0" borderId="149" xfId="2" applyNumberFormat="1" applyFont="1" applyFill="1" applyBorder="1" applyAlignment="1" applyProtection="1">
      <alignment vertical="center"/>
    </xf>
    <xf numFmtId="185" fontId="16" fillId="0" borderId="150" xfId="2" applyNumberFormat="1" applyFont="1" applyFill="1" applyBorder="1" applyAlignment="1" applyProtection="1">
      <alignment vertical="center"/>
    </xf>
    <xf numFmtId="0" fontId="0" fillId="8" borderId="2" xfId="0" applyFill="1" applyBorder="1" applyAlignment="1">
      <alignment horizontal="center" vertical="center"/>
    </xf>
    <xf numFmtId="187" fontId="23" fillId="0" borderId="63" xfId="6" applyNumberFormat="1" applyFont="1" applyBorder="1" applyAlignment="1" applyProtection="1">
      <alignment vertical="center" shrinkToFit="1"/>
    </xf>
    <xf numFmtId="187" fontId="23" fillId="0" borderId="11" xfId="6" applyNumberFormat="1" applyFont="1" applyBorder="1" applyAlignment="1" applyProtection="1">
      <alignment vertical="center" shrinkToFit="1"/>
    </xf>
    <xf numFmtId="3" fontId="23" fillId="12" borderId="23" xfId="7" applyNumberFormat="1" applyFont="1" applyFill="1" applyBorder="1" applyAlignment="1" applyProtection="1">
      <alignment vertical="center" shrinkToFit="1"/>
      <protection locked="0"/>
    </xf>
    <xf numFmtId="3" fontId="23" fillId="12" borderId="23" xfId="7" applyNumberFormat="1" applyFont="1" applyFill="1" applyBorder="1" applyAlignment="1" applyProtection="1">
      <alignment vertical="center"/>
      <protection locked="0"/>
    </xf>
    <xf numFmtId="40" fontId="0" fillId="0" borderId="0" xfId="2" applyNumberFormat="1" applyFont="1" applyFill="1" applyBorder="1" applyAlignment="1" applyProtection="1"/>
    <xf numFmtId="179" fontId="0" fillId="0" borderId="0" xfId="2" applyNumberFormat="1" applyFont="1" applyFill="1" applyBorder="1" applyAlignment="1" applyProtection="1"/>
    <xf numFmtId="0" fontId="0" fillId="0" borderId="0" xfId="0" applyAlignment="1" applyProtection="1">
      <alignment shrinkToFit="1"/>
    </xf>
    <xf numFmtId="40" fontId="0" fillId="12" borderId="36" xfId="2" applyNumberFormat="1" applyFont="1" applyFill="1" applyBorder="1" applyAlignment="1" applyProtection="1">
      <alignment horizontal="center" vertical="center" wrapText="1"/>
    </xf>
    <xf numFmtId="40" fontId="0" fillId="2" borderId="116" xfId="11" applyNumberFormat="1" applyFont="1" applyFill="1" applyBorder="1" applyAlignment="1" applyProtection="1">
      <alignment horizontal="center" vertical="center" wrapText="1"/>
    </xf>
    <xf numFmtId="40" fontId="0" fillId="2" borderId="36" xfId="2" applyNumberFormat="1" applyFont="1" applyFill="1" applyBorder="1" applyAlignment="1" applyProtection="1">
      <alignment horizontal="center" vertical="center" wrapText="1"/>
    </xf>
    <xf numFmtId="0" fontId="9" fillId="16" borderId="114" xfId="3" applyNumberFormat="1" applyFont="1" applyFill="1" applyBorder="1" applyAlignment="1" applyProtection="1">
      <alignment horizontal="left" vertical="center"/>
    </xf>
    <xf numFmtId="0" fontId="9" fillId="15" borderId="94" xfId="3" applyNumberFormat="1" applyFont="1" applyFill="1" applyBorder="1" applyAlignment="1" applyProtection="1">
      <alignment horizontal="center" vertical="center"/>
    </xf>
    <xf numFmtId="3" fontId="23" fillId="16" borderId="94" xfId="3" applyNumberFormat="1" applyFont="1" applyFill="1" applyBorder="1" applyAlignment="1" applyProtection="1">
      <alignment horizontal="center" vertical="center"/>
    </xf>
    <xf numFmtId="9" fontId="23" fillId="16" borderId="94" xfId="1" applyNumberFormat="1" applyFont="1" applyFill="1" applyBorder="1" applyAlignment="1" applyProtection="1">
      <alignment horizontal="center" vertical="center"/>
    </xf>
    <xf numFmtId="38" fontId="23" fillId="16" borderId="94" xfId="2" applyFont="1" applyFill="1" applyBorder="1" applyAlignment="1" applyProtection="1">
      <alignment vertical="center"/>
    </xf>
    <xf numFmtId="38" fontId="23" fillId="15" borderId="94" xfId="2" applyFont="1" applyFill="1" applyBorder="1" applyAlignment="1" applyProtection="1">
      <alignment horizontal="center" vertical="center"/>
    </xf>
    <xf numFmtId="38" fontId="23" fillId="17" borderId="94" xfId="2" applyFont="1" applyFill="1" applyBorder="1" applyAlignment="1" applyProtection="1">
      <alignment vertical="center"/>
    </xf>
    <xf numFmtId="38" fontId="23" fillId="16" borderId="95" xfId="2" applyFont="1" applyFill="1" applyBorder="1" applyAlignment="1" applyProtection="1">
      <alignment vertical="center"/>
    </xf>
    <xf numFmtId="9" fontId="23" fillId="16" borderId="96" xfId="1" applyFont="1" applyFill="1" applyBorder="1" applyAlignment="1" applyProtection="1">
      <alignment vertical="center"/>
    </xf>
    <xf numFmtId="9" fontId="23" fillId="16" borderId="94" xfId="1" applyFont="1" applyFill="1" applyBorder="1" applyAlignment="1" applyProtection="1">
      <alignment vertical="center"/>
    </xf>
    <xf numFmtId="9" fontId="23" fillId="16" borderId="97" xfId="1" applyFont="1" applyFill="1" applyBorder="1" applyAlignment="1" applyProtection="1">
      <alignment vertical="center"/>
    </xf>
    <xf numFmtId="181" fontId="23" fillId="18" borderId="98" xfId="3" applyNumberFormat="1" applyFont="1" applyFill="1" applyBorder="1" applyAlignment="1" applyProtection="1">
      <alignment vertical="center"/>
    </xf>
    <xf numFmtId="181" fontId="23" fillId="18" borderId="94" xfId="3" applyNumberFormat="1" applyFont="1" applyFill="1" applyBorder="1" applyAlignment="1" applyProtection="1">
      <alignment vertical="center"/>
    </xf>
    <xf numFmtId="181" fontId="23" fillId="18" borderId="95" xfId="3" applyNumberFormat="1" applyFont="1" applyFill="1" applyBorder="1" applyAlignment="1" applyProtection="1">
      <alignment vertical="center"/>
    </xf>
    <xf numFmtId="182" fontId="24" fillId="16" borderId="99" xfId="3" applyNumberFormat="1" applyFont="1" applyFill="1" applyBorder="1" applyAlignment="1" applyProtection="1">
      <alignment vertical="center"/>
    </xf>
    <xf numFmtId="0" fontId="10" fillId="0" borderId="0" xfId="3" applyNumberFormat="1" applyFont="1" applyBorder="1" applyAlignment="1" applyProtection="1">
      <alignment horizontal="left" vertical="center"/>
    </xf>
    <xf numFmtId="0" fontId="16" fillId="0" borderId="0" xfId="3" applyNumberFormat="1" applyFont="1" applyBorder="1" applyProtection="1"/>
    <xf numFmtId="180" fontId="16" fillId="0" borderId="0" xfId="3" applyNumberFormat="1" applyFont="1" applyFill="1" applyBorder="1" applyProtection="1"/>
    <xf numFmtId="180" fontId="9" fillId="0" borderId="0" xfId="3" applyNumberFormat="1" applyFont="1" applyFill="1" applyBorder="1" applyProtection="1"/>
    <xf numFmtId="38" fontId="24" fillId="0" borderId="0" xfId="2" applyFont="1" applyFill="1" applyBorder="1" applyAlignment="1" applyProtection="1">
      <alignment horizontal="right"/>
    </xf>
    <xf numFmtId="38" fontId="24" fillId="0" borderId="0" xfId="2" applyFont="1" applyFill="1" applyBorder="1" applyAlignment="1" applyProtection="1">
      <alignment horizontal="center"/>
    </xf>
    <xf numFmtId="9" fontId="24" fillId="0" borderId="0" xfId="1" applyFont="1" applyFill="1" applyBorder="1" applyAlignment="1" applyProtection="1">
      <alignment horizontal="right"/>
    </xf>
    <xf numFmtId="0" fontId="24" fillId="0" borderId="0" xfId="3" applyNumberFormat="1" applyFont="1" applyBorder="1" applyProtection="1"/>
    <xf numFmtId="0" fontId="15" fillId="0" borderId="0" xfId="3" applyFont="1" applyAlignment="1" applyProtection="1">
      <alignment vertical="center"/>
    </xf>
    <xf numFmtId="182" fontId="9" fillId="0" borderId="85" xfId="3" applyNumberFormat="1" applyFont="1" applyFill="1" applyBorder="1" applyAlignment="1" applyProtection="1">
      <alignment vertical="center"/>
    </xf>
    <xf numFmtId="181" fontId="23" fillId="0" borderId="85" xfId="3" applyNumberFormat="1" applyFont="1" applyFill="1" applyBorder="1" applyAlignment="1" applyProtection="1">
      <alignment vertical="center"/>
    </xf>
    <xf numFmtId="182" fontId="9" fillId="0" borderId="47" xfId="3" applyNumberFormat="1" applyFont="1" applyFill="1" applyBorder="1" applyAlignment="1" applyProtection="1">
      <alignment vertical="center"/>
    </xf>
    <xf numFmtId="181" fontId="23" fillId="0" borderId="47" xfId="3" applyNumberFormat="1" applyFont="1" applyFill="1" applyBorder="1" applyAlignment="1" applyProtection="1">
      <alignment vertical="center"/>
    </xf>
    <xf numFmtId="181" fontId="23" fillId="0" borderId="100" xfId="3" applyNumberFormat="1" applyFont="1" applyFill="1" applyBorder="1" applyAlignment="1" applyProtection="1">
      <alignment vertical="center"/>
    </xf>
    <xf numFmtId="182" fontId="9" fillId="0" borderId="85" xfId="3" applyNumberFormat="1" applyFont="1" applyFill="1" applyBorder="1" applyAlignment="1" applyProtection="1">
      <alignment horizontal="center" vertical="center"/>
    </xf>
    <xf numFmtId="182" fontId="9" fillId="0" borderId="47" xfId="3" applyNumberFormat="1" applyFont="1" applyFill="1" applyBorder="1" applyAlignment="1" applyProtection="1">
      <alignment horizontal="center" vertical="center"/>
    </xf>
    <xf numFmtId="0" fontId="9" fillId="0" borderId="85" xfId="3" applyNumberFormat="1" applyFont="1" applyFill="1" applyBorder="1" applyAlignment="1" applyProtection="1">
      <alignment horizontal="left" vertical="center"/>
    </xf>
    <xf numFmtId="0" fontId="9" fillId="0" borderId="47" xfId="3" applyNumberFormat="1" applyFont="1" applyFill="1" applyBorder="1" applyAlignment="1" applyProtection="1">
      <alignment horizontal="left" vertical="center"/>
    </xf>
    <xf numFmtId="0" fontId="9" fillId="0" borderId="47" xfId="3" applyNumberFormat="1" applyFont="1" applyFill="1" applyBorder="1" applyAlignment="1" applyProtection="1">
      <alignment vertical="center"/>
    </xf>
    <xf numFmtId="0" fontId="23" fillId="12" borderId="6" xfId="0" applyFont="1" applyFill="1" applyBorder="1" applyAlignment="1" applyProtection="1">
      <alignment vertical="top" shrinkToFit="1"/>
      <protection locked="0"/>
    </xf>
    <xf numFmtId="0" fontId="23" fillId="12" borderId="7" xfId="0" applyFont="1" applyFill="1" applyBorder="1" applyAlignment="1" applyProtection="1">
      <alignment vertical="top" shrinkToFit="1"/>
      <protection locked="0"/>
    </xf>
    <xf numFmtId="0" fontId="23" fillId="12" borderId="8" xfId="0" applyFont="1" applyFill="1" applyBorder="1" applyAlignment="1" applyProtection="1">
      <alignment vertical="top" shrinkToFit="1"/>
      <protection locked="0"/>
    </xf>
    <xf numFmtId="0" fontId="23" fillId="12" borderId="10" xfId="0" applyFont="1" applyFill="1" applyBorder="1" applyAlignment="1" applyProtection="1">
      <alignment vertical="top" shrinkToFit="1"/>
      <protection locked="0"/>
    </xf>
    <xf numFmtId="0" fontId="23" fillId="12" borderId="11" xfId="0" applyFont="1" applyFill="1" applyBorder="1" applyAlignment="1" applyProtection="1">
      <alignment vertical="top" shrinkToFit="1"/>
      <protection locked="0"/>
    </xf>
    <xf numFmtId="0" fontId="23" fillId="12" borderId="9" xfId="0" applyFont="1" applyFill="1" applyBorder="1" applyAlignment="1" applyProtection="1">
      <alignment vertical="center" shrinkToFit="1"/>
      <protection locked="0"/>
    </xf>
    <xf numFmtId="0" fontId="0" fillId="12" borderId="10" xfId="0" applyFont="1" applyFill="1" applyBorder="1" applyAlignment="1" applyProtection="1">
      <alignment vertical="center" shrinkToFit="1"/>
      <protection locked="0"/>
    </xf>
    <xf numFmtId="0" fontId="0" fillId="12" borderId="15" xfId="0" applyFont="1" applyFill="1" applyBorder="1" applyAlignment="1" applyProtection="1">
      <alignment vertical="center" shrinkToFit="1"/>
      <protection locked="0"/>
    </xf>
    <xf numFmtId="0" fontId="0" fillId="12" borderId="2" xfId="0" applyFont="1" applyFill="1" applyBorder="1" applyAlignment="1" applyProtection="1">
      <alignment horizontal="center" vertical="center"/>
      <protection locked="0"/>
    </xf>
    <xf numFmtId="176" fontId="0" fillId="12" borderId="2" xfId="0" applyNumberFormat="1" applyFont="1" applyFill="1" applyBorder="1" applyAlignment="1" applyProtection="1">
      <alignment horizontal="center" vertical="center"/>
      <protection locked="0"/>
    </xf>
    <xf numFmtId="195" fontId="11" fillId="0" borderId="56" xfId="2" applyNumberFormat="1" applyFont="1" applyFill="1" applyBorder="1" applyAlignment="1" applyProtection="1">
      <alignment vertical="center" shrinkToFit="1"/>
    </xf>
    <xf numFmtId="195" fontId="11" fillId="0" borderId="32" xfId="2" applyNumberFormat="1" applyFont="1" applyFill="1" applyBorder="1" applyAlignment="1" applyProtection="1">
      <alignment vertical="center" shrinkToFit="1"/>
    </xf>
    <xf numFmtId="195" fontId="11" fillId="0" borderId="33" xfId="2" applyNumberFormat="1" applyFont="1" applyFill="1" applyBorder="1" applyAlignment="1" applyProtection="1">
      <alignment vertical="center" shrinkToFit="1"/>
    </xf>
    <xf numFmtId="195" fontId="11" fillId="0" borderId="6" xfId="2" applyNumberFormat="1" applyFont="1" applyFill="1" applyBorder="1" applyAlignment="1" applyProtection="1">
      <alignment vertical="center"/>
    </xf>
    <xf numFmtId="195" fontId="11" fillId="0" borderId="47" xfId="2" applyNumberFormat="1" applyFont="1" applyFill="1" applyBorder="1" applyAlignment="1" applyProtection="1">
      <alignment vertical="center" shrinkToFit="1"/>
    </xf>
    <xf numFmtId="195" fontId="11" fillId="0" borderId="51" xfId="2" applyNumberFormat="1" applyFont="1" applyFill="1" applyBorder="1" applyAlignment="1" applyProtection="1">
      <alignment vertical="center" shrinkToFit="1"/>
    </xf>
    <xf numFmtId="195" fontId="11" fillId="0" borderId="81" xfId="2" applyNumberFormat="1" applyFont="1" applyFill="1" applyBorder="1" applyAlignment="1" applyProtection="1">
      <alignment vertical="center" shrinkToFit="1"/>
    </xf>
    <xf numFmtId="195" fontId="11" fillId="0" borderId="10" xfId="2" applyNumberFormat="1" applyFont="1" applyFill="1" applyBorder="1" applyAlignment="1" applyProtection="1">
      <alignment vertical="center"/>
    </xf>
    <xf numFmtId="195" fontId="11" fillId="0" borderId="68" xfId="2" applyNumberFormat="1" applyFont="1" applyFill="1" applyBorder="1" applyAlignment="1" applyProtection="1">
      <alignment vertical="center"/>
    </xf>
    <xf numFmtId="195" fontId="11" fillId="0" borderId="57" xfId="2" applyNumberFormat="1" applyFont="1" applyFill="1" applyBorder="1" applyAlignment="1" applyProtection="1">
      <alignment vertical="center" shrinkToFit="1"/>
    </xf>
    <xf numFmtId="195" fontId="11" fillId="0" borderId="34" xfId="2" applyNumberFormat="1" applyFont="1" applyFill="1" applyBorder="1" applyAlignment="1" applyProtection="1">
      <alignment vertical="center" shrinkToFit="1"/>
    </xf>
    <xf numFmtId="195" fontId="11" fillId="0" borderId="58" xfId="2" applyNumberFormat="1" applyFont="1" applyFill="1" applyBorder="1" applyAlignment="1" applyProtection="1">
      <alignment vertical="center" shrinkToFit="1"/>
    </xf>
    <xf numFmtId="195" fontId="11" fillId="0" borderId="28" xfId="2" applyNumberFormat="1" applyFont="1" applyFill="1" applyBorder="1" applyAlignment="1" applyProtection="1">
      <alignment vertical="center" shrinkToFit="1"/>
    </xf>
    <xf numFmtId="195" fontId="11" fillId="0" borderId="8" xfId="2" applyNumberFormat="1" applyFont="1" applyFill="1" applyBorder="1" applyAlignment="1" applyProtection="1">
      <alignment vertical="center"/>
    </xf>
    <xf numFmtId="195" fontId="11" fillId="0" borderId="46" xfId="2" applyNumberFormat="1" applyFont="1" applyFill="1" applyBorder="1" applyAlignment="1" applyProtection="1">
      <alignment vertical="center" shrinkToFit="1"/>
    </xf>
    <xf numFmtId="195" fontId="11" fillId="0" borderId="42" xfId="2" applyNumberFormat="1" applyFont="1" applyFill="1" applyBorder="1" applyAlignment="1" applyProtection="1">
      <alignment vertical="center" shrinkToFit="1"/>
    </xf>
    <xf numFmtId="195" fontId="11" fillId="0" borderId="24" xfId="2" applyNumberFormat="1" applyFont="1" applyFill="1" applyBorder="1" applyAlignment="1" applyProtection="1">
      <alignment vertical="center" shrinkToFit="1"/>
    </xf>
    <xf numFmtId="195" fontId="11" fillId="0" borderId="12" xfId="2" applyNumberFormat="1" applyFont="1" applyFill="1" applyBorder="1" applyAlignment="1" applyProtection="1">
      <alignment vertical="center" shrinkToFit="1"/>
    </xf>
    <xf numFmtId="198" fontId="23" fillId="0" borderId="24" xfId="7" applyNumberFormat="1" applyFont="1" applyBorder="1" applyAlignment="1" applyProtection="1">
      <alignment vertical="center"/>
    </xf>
    <xf numFmtId="198" fontId="23" fillId="0" borderId="23" xfId="2" applyNumberFormat="1" applyFont="1" applyFill="1" applyBorder="1" applyAlignment="1" applyProtection="1">
      <alignment vertical="center"/>
    </xf>
    <xf numFmtId="198" fontId="23" fillId="0" borderId="23" xfId="1" applyNumberFormat="1" applyFont="1" applyFill="1" applyBorder="1" applyAlignment="1" applyProtection="1">
      <alignment vertical="center"/>
    </xf>
    <xf numFmtId="198" fontId="23" fillId="0" borderId="15" xfId="7" applyNumberFormat="1" applyFont="1" applyBorder="1" applyAlignment="1" applyProtection="1">
      <alignment vertical="center"/>
    </xf>
    <xf numFmtId="198" fontId="23" fillId="0" borderId="22" xfId="1" applyNumberFormat="1" applyFont="1" applyFill="1" applyBorder="1" applyAlignment="1" applyProtection="1">
      <alignment vertical="center"/>
    </xf>
    <xf numFmtId="198" fontId="23" fillId="0" borderId="26" xfId="7" applyNumberFormat="1" applyFont="1" applyBorder="1" applyAlignment="1" applyProtection="1">
      <alignment vertical="center"/>
    </xf>
    <xf numFmtId="198" fontId="23" fillId="0" borderId="24" xfId="1" applyNumberFormat="1" applyFont="1" applyFill="1" applyBorder="1" applyAlignment="1" applyProtection="1">
      <alignment vertical="center"/>
    </xf>
    <xf numFmtId="198" fontId="23" fillId="0" borderId="22" xfId="7" applyNumberFormat="1" applyFont="1" applyBorder="1" applyAlignment="1" applyProtection="1">
      <alignment vertical="center"/>
    </xf>
    <xf numFmtId="198" fontId="23" fillId="0" borderId="12" xfId="7" applyNumberFormat="1" applyFont="1" applyBorder="1" applyAlignment="1" applyProtection="1">
      <alignment vertical="center"/>
    </xf>
    <xf numFmtId="198" fontId="23" fillId="0" borderId="4" xfId="7" applyNumberFormat="1" applyFont="1" applyBorder="1" applyAlignment="1" applyProtection="1">
      <alignment vertical="center"/>
    </xf>
    <xf numFmtId="198" fontId="23" fillId="0" borderId="23" xfId="7" applyNumberFormat="1" applyFont="1" applyBorder="1" applyAlignment="1" applyProtection="1">
      <alignment vertical="center"/>
    </xf>
    <xf numFmtId="198" fontId="23" fillId="0" borderId="23" xfId="7" applyNumberFormat="1" applyFont="1" applyBorder="1" applyAlignment="1" applyProtection="1">
      <alignment horizontal="right" vertical="center"/>
    </xf>
    <xf numFmtId="198" fontId="23" fillId="0" borderId="7" xfId="7" applyNumberFormat="1" applyFont="1" applyBorder="1" applyAlignment="1" applyProtection="1">
      <alignment vertical="center"/>
    </xf>
    <xf numFmtId="198" fontId="23" fillId="0" borderId="2" xfId="7" applyNumberFormat="1" applyFont="1" applyBorder="1" applyAlignment="1" applyProtection="1">
      <alignment vertical="center"/>
    </xf>
    <xf numFmtId="199" fontId="0" fillId="0" borderId="15" xfId="2" applyNumberFormat="1" applyFont="1" applyFill="1" applyBorder="1" applyAlignment="1" applyProtection="1"/>
    <xf numFmtId="199" fontId="0" fillId="0" borderId="19" xfId="2" applyNumberFormat="1" applyFont="1" applyFill="1" applyBorder="1" applyAlignment="1" applyProtection="1"/>
    <xf numFmtId="199" fontId="0" fillId="0" borderId="2" xfId="2" applyNumberFormat="1" applyFont="1" applyFill="1" applyBorder="1" applyAlignment="1" applyProtection="1"/>
    <xf numFmtId="199" fontId="0" fillId="0" borderId="74" xfId="2" applyNumberFormat="1" applyFont="1" applyFill="1" applyBorder="1" applyAlignment="1" applyProtection="1"/>
    <xf numFmtId="0" fontId="23" fillId="9" borderId="27" xfId="7" applyFont="1" applyFill="1" applyBorder="1" applyProtection="1"/>
    <xf numFmtId="0" fontId="0" fillId="13" borderId="2" xfId="0" applyFont="1" applyFill="1" applyBorder="1" applyAlignment="1" applyProtection="1">
      <alignment horizontal="center" vertical="center"/>
      <protection locked="0"/>
    </xf>
    <xf numFmtId="0" fontId="0" fillId="0" borderId="0" xfId="0" applyFont="1" applyAlignment="1">
      <alignment vertical="center"/>
    </xf>
    <xf numFmtId="0" fontId="9" fillId="3" borderId="85" xfId="3" applyFont="1" applyFill="1" applyBorder="1" applyAlignment="1" applyProtection="1">
      <alignment horizontal="center" vertical="center"/>
      <protection locked="0"/>
    </xf>
    <xf numFmtId="185" fontId="16" fillId="0" borderId="10" xfId="2" applyNumberFormat="1" applyFont="1" applyFill="1" applyBorder="1" applyAlignment="1" applyProtection="1">
      <alignment vertical="center"/>
    </xf>
    <xf numFmtId="185" fontId="16" fillId="0" borderId="143" xfId="2" applyNumberFormat="1" applyFont="1" applyFill="1" applyBorder="1" applyAlignment="1" applyProtection="1">
      <alignment vertical="center"/>
    </xf>
    <xf numFmtId="0" fontId="16" fillId="0" borderId="139" xfId="6" applyFont="1" applyBorder="1" applyAlignment="1" applyProtection="1">
      <alignment horizontal="justify" vertical="center" indent="1" shrinkToFit="1"/>
    </xf>
    <xf numFmtId="200" fontId="24" fillId="0" borderId="0" xfId="3" applyNumberFormat="1" applyFont="1" applyFill="1" applyBorder="1" applyProtection="1"/>
    <xf numFmtId="200" fontId="23" fillId="2" borderId="85" xfId="3" applyNumberFormat="1" applyFont="1" applyFill="1" applyBorder="1" applyAlignment="1" applyProtection="1">
      <alignment vertical="center"/>
      <protection locked="0"/>
    </xf>
    <xf numFmtId="200" fontId="23" fillId="2" borderId="47" xfId="3" applyNumberFormat="1" applyFont="1" applyFill="1" applyBorder="1" applyAlignment="1" applyProtection="1">
      <alignment vertical="center"/>
      <protection locked="0"/>
    </xf>
    <xf numFmtId="200" fontId="23" fillId="2" borderId="100" xfId="3" applyNumberFormat="1" applyFont="1" applyFill="1" applyBorder="1" applyAlignment="1" applyProtection="1">
      <alignment vertical="center"/>
      <protection locked="0"/>
    </xf>
    <xf numFmtId="200" fontId="23" fillId="16" borderId="94" xfId="3" applyNumberFormat="1" applyFont="1" applyFill="1" applyBorder="1" applyAlignment="1" applyProtection="1">
      <alignment vertical="center"/>
    </xf>
    <xf numFmtId="200" fontId="23" fillId="2" borderId="42" xfId="3" applyNumberFormat="1" applyFont="1" applyFill="1" applyBorder="1" applyAlignment="1" applyProtection="1">
      <alignment vertical="center"/>
      <protection locked="0"/>
    </xf>
    <xf numFmtId="200" fontId="30" fillId="2" borderId="47" xfId="3" applyNumberFormat="1" applyFont="1" applyFill="1" applyBorder="1" applyAlignment="1" applyProtection="1">
      <alignment vertical="center"/>
      <protection locked="0"/>
    </xf>
    <xf numFmtId="0" fontId="23" fillId="0" borderId="22" xfId="7" applyFont="1" applyBorder="1" applyAlignment="1" applyProtection="1">
      <alignment vertical="center"/>
    </xf>
    <xf numFmtId="0" fontId="23" fillId="0" borderId="22" xfId="7" applyFont="1" applyBorder="1" applyAlignment="1" applyProtection="1">
      <alignment horizontal="center" vertical="center"/>
    </xf>
    <xf numFmtId="9" fontId="23" fillId="0" borderId="22" xfId="1" applyFont="1" applyFill="1" applyBorder="1" applyAlignment="1" applyProtection="1">
      <alignment vertical="center"/>
    </xf>
    <xf numFmtId="9" fontId="23" fillId="0" borderId="15" xfId="1" applyFont="1" applyFill="1" applyBorder="1" applyAlignment="1" applyProtection="1">
      <alignment vertical="center"/>
    </xf>
    <xf numFmtId="38" fontId="23" fillId="0" borderId="15" xfId="2" applyFont="1" applyFill="1" applyBorder="1" applyAlignment="1" applyProtection="1">
      <alignment horizontal="right" vertical="center" shrinkToFit="1"/>
    </xf>
    <xf numFmtId="178" fontId="23" fillId="0" borderId="22" xfId="7" applyNumberFormat="1" applyFont="1" applyBorder="1" applyAlignment="1" applyProtection="1">
      <alignment horizontal="center" vertical="center"/>
    </xf>
    <xf numFmtId="3" fontId="13" fillId="0" borderId="15" xfId="7" applyNumberFormat="1" applyFont="1" applyBorder="1" applyAlignment="1" applyProtection="1">
      <alignment vertical="center"/>
    </xf>
    <xf numFmtId="0" fontId="23" fillId="0" borderId="15" xfId="2" applyNumberFormat="1" applyFont="1" applyFill="1" applyBorder="1" applyAlignment="1" applyProtection="1">
      <alignment horizontal="right" vertical="center" shrinkToFit="1"/>
    </xf>
    <xf numFmtId="9" fontId="23" fillId="0" borderId="22" xfId="7" applyNumberFormat="1" applyFont="1" applyBorder="1" applyAlignment="1" applyProtection="1">
      <alignment vertical="center"/>
    </xf>
    <xf numFmtId="38" fontId="23" fillId="0" borderId="22" xfId="2" applyFont="1" applyFill="1" applyBorder="1" applyAlignment="1" applyProtection="1">
      <alignment horizontal="center" vertical="center"/>
    </xf>
    <xf numFmtId="0" fontId="23" fillId="0" borderId="21" xfId="7" applyFont="1" applyBorder="1" applyProtection="1"/>
    <xf numFmtId="0" fontId="23" fillId="0" borderId="2" xfId="7" applyFont="1" applyBorder="1" applyAlignment="1" applyProtection="1">
      <alignment vertical="center"/>
    </xf>
    <xf numFmtId="0" fontId="16" fillId="0" borderId="0" xfId="7" applyFont="1" applyAlignment="1" applyProtection="1">
      <alignment vertical="center"/>
    </xf>
    <xf numFmtId="0" fontId="0" fillId="0" borderId="0" xfId="0" applyAlignment="1" applyProtection="1">
      <alignment horizontal="center" vertical="center" wrapText="1"/>
    </xf>
    <xf numFmtId="0" fontId="0" fillId="0" borderId="0" xfId="0" applyAlignment="1" applyProtection="1">
      <alignment vertical="center"/>
    </xf>
    <xf numFmtId="0" fontId="5" fillId="0" borderId="0" xfId="0" applyFont="1" applyAlignment="1" applyProtection="1">
      <alignment horizontal="left" vertical="center"/>
    </xf>
    <xf numFmtId="0" fontId="4" fillId="0" borderId="58" xfId="0" applyFont="1" applyFill="1" applyBorder="1" applyAlignment="1" applyProtection="1">
      <alignment horizontal="center" vertical="center"/>
    </xf>
    <xf numFmtId="0" fontId="4" fillId="0" borderId="0" xfId="0" applyFont="1" applyFill="1" applyProtection="1"/>
    <xf numFmtId="0" fontId="4" fillId="0" borderId="42" xfId="0" applyFont="1" applyFill="1" applyBorder="1" applyAlignment="1" applyProtection="1">
      <alignment horizontal="center" vertical="center"/>
    </xf>
    <xf numFmtId="0" fontId="4" fillId="0" borderId="59" xfId="0" applyFont="1" applyBorder="1" applyAlignment="1" applyProtection="1">
      <alignment horizontal="center" vertical="center"/>
    </xf>
    <xf numFmtId="0" fontId="22" fillId="24" borderId="124" xfId="0" applyFont="1" applyFill="1" applyBorder="1" applyAlignment="1" applyProtection="1">
      <alignment horizontal="center" vertical="center"/>
    </xf>
    <xf numFmtId="0" fontId="23" fillId="0" borderId="0" xfId="0" applyFont="1" applyAlignment="1" applyProtection="1">
      <alignment vertical="center"/>
    </xf>
    <xf numFmtId="195" fontId="23" fillId="0" borderId="0" xfId="0" applyNumberFormat="1" applyFont="1" applyProtection="1"/>
    <xf numFmtId="0" fontId="23" fillId="0" borderId="129" xfId="0" applyFont="1" applyBorder="1" applyAlignment="1" applyProtection="1">
      <alignment horizontal="center" vertical="center" shrinkToFit="1"/>
    </xf>
    <xf numFmtId="0" fontId="0" fillId="0" borderId="0" xfId="0" applyFont="1" applyProtection="1"/>
    <xf numFmtId="196" fontId="0" fillId="0" borderId="0" xfId="0" applyNumberFormat="1" applyFont="1" applyProtection="1"/>
    <xf numFmtId="200" fontId="16" fillId="0" borderId="0" xfId="0" applyNumberFormat="1" applyFont="1" applyProtection="1"/>
    <xf numFmtId="38" fontId="9" fillId="0" borderId="0" xfId="2" applyFont="1" applyFill="1" applyBorder="1" applyAlignment="1" applyProtection="1">
      <alignment horizontal="center"/>
    </xf>
    <xf numFmtId="9" fontId="9" fillId="0" borderId="0" xfId="1" applyFont="1" applyFill="1" applyBorder="1" applyAlignment="1" applyProtection="1"/>
    <xf numFmtId="3" fontId="9" fillId="0" borderId="0" xfId="0" applyNumberFormat="1" applyFont="1" applyFill="1" applyProtection="1"/>
    <xf numFmtId="200" fontId="23" fillId="0" borderId="0" xfId="3" applyNumberFormat="1" applyFont="1" applyProtection="1"/>
    <xf numFmtId="38" fontId="23" fillId="0" borderId="0" xfId="2" applyFont="1" applyFill="1" applyBorder="1" applyAlignment="1" applyProtection="1"/>
    <xf numFmtId="38" fontId="23" fillId="0" borderId="0" xfId="2" applyFont="1" applyFill="1" applyBorder="1" applyAlignment="1" applyProtection="1">
      <alignment horizontal="center"/>
    </xf>
    <xf numFmtId="9" fontId="23" fillId="0" borderId="0" xfId="1" applyFont="1" applyFill="1" applyBorder="1" applyAlignment="1" applyProtection="1"/>
    <xf numFmtId="0" fontId="23" fillId="0" borderId="0" xfId="3" applyFont="1" applyFill="1" applyProtection="1"/>
    <xf numFmtId="200" fontId="15" fillId="0" borderId="0" xfId="3" applyNumberFormat="1" applyFont="1" applyProtection="1"/>
    <xf numFmtId="38" fontId="15" fillId="0" borderId="0" xfId="2" applyFont="1" applyFill="1" applyBorder="1" applyAlignment="1" applyProtection="1"/>
    <xf numFmtId="38" fontId="15" fillId="0" borderId="0" xfId="2" applyFont="1" applyFill="1" applyBorder="1" applyAlignment="1" applyProtection="1">
      <alignment horizontal="center"/>
    </xf>
    <xf numFmtId="9" fontId="15" fillId="0" borderId="0" xfId="1" applyFont="1" applyFill="1" applyBorder="1" applyAlignment="1" applyProtection="1"/>
    <xf numFmtId="0" fontId="15" fillId="0" borderId="0" xfId="3" applyFont="1" applyFill="1" applyProtection="1"/>
    <xf numFmtId="0" fontId="0" fillId="12" borderId="0" xfId="0" applyNumberFormat="1" applyFont="1" applyFill="1" applyAlignment="1">
      <alignment horizontal="left"/>
    </xf>
    <xf numFmtId="0" fontId="0" fillId="12" borderId="0" xfId="0" applyNumberFormat="1" applyFill="1"/>
    <xf numFmtId="0" fontId="0" fillId="12" borderId="0" xfId="0" applyFill="1"/>
    <xf numFmtId="0" fontId="0" fillId="12" borderId="0" xfId="0" applyFill="1" applyAlignment="1">
      <alignment horizontal="left"/>
    </xf>
    <xf numFmtId="0" fontId="21" fillId="12" borderId="0" xfId="0" applyFont="1" applyFill="1"/>
    <xf numFmtId="0" fontId="23" fillId="12" borderId="5" xfId="0" applyFont="1" applyFill="1" applyBorder="1" applyAlignment="1" applyProtection="1">
      <alignment vertical="center" shrinkToFit="1"/>
      <protection locked="0"/>
    </xf>
    <xf numFmtId="0" fontId="24" fillId="2" borderId="23" xfId="7" applyFont="1" applyFill="1" applyBorder="1" applyAlignment="1" applyProtection="1">
      <alignment vertical="center"/>
      <protection locked="0"/>
    </xf>
    <xf numFmtId="191" fontId="23" fillId="2" borderId="24" xfId="2" applyNumberFormat="1" applyFont="1" applyFill="1" applyBorder="1" applyAlignment="1" applyProtection="1">
      <alignment horizontal="right" vertical="center" shrinkToFit="1"/>
      <protection locked="0"/>
    </xf>
    <xf numFmtId="0" fontId="16" fillId="0" borderId="158" xfId="6" applyFont="1" applyBorder="1" applyAlignment="1" applyProtection="1">
      <alignment horizontal="justify" vertical="center" indent="1" shrinkToFit="1"/>
    </xf>
    <xf numFmtId="0" fontId="16" fillId="0" borderId="11" xfId="6" applyFont="1" applyBorder="1" applyAlignment="1" applyProtection="1">
      <alignment horizontal="justify" vertical="center" indent="1" shrinkToFit="1"/>
    </xf>
    <xf numFmtId="0" fontId="0" fillId="0" borderId="63" xfId="6" applyFont="1" applyBorder="1" applyAlignment="1" applyProtection="1">
      <alignment horizontal="justify" vertical="center" indent="1" shrinkToFit="1"/>
    </xf>
    <xf numFmtId="0" fontId="16" fillId="0" borderId="159" xfId="6" applyFont="1" applyBorder="1" applyAlignment="1" applyProtection="1">
      <alignment horizontal="center" vertical="center" textRotation="255" wrapText="1"/>
    </xf>
    <xf numFmtId="0" fontId="16" fillId="0" borderId="160" xfId="6" applyFont="1" applyBorder="1" applyAlignment="1" applyProtection="1">
      <alignment horizontal="center" vertical="center" textRotation="255" wrapText="1"/>
    </xf>
    <xf numFmtId="0" fontId="16" fillId="0" borderId="161" xfId="6" applyFont="1" applyBorder="1" applyAlignment="1" applyProtection="1">
      <alignment horizontal="center" vertical="center" textRotation="255" wrapText="1"/>
    </xf>
    <xf numFmtId="0" fontId="16" fillId="0" borderId="61" xfId="6" applyFont="1" applyBorder="1" applyAlignment="1" applyProtection="1">
      <alignment horizontal="justify" vertical="center" indent="1" shrinkToFit="1"/>
    </xf>
    <xf numFmtId="0" fontId="16" fillId="0" borderId="11" xfId="6" applyFont="1" applyBorder="1" applyAlignment="1" applyProtection="1">
      <alignment horizontal="justify" vertical="center" indent="1"/>
    </xf>
    <xf numFmtId="0" fontId="16" fillId="0" borderId="0" xfId="6" applyFont="1" applyBorder="1" applyAlignment="1" applyProtection="1">
      <alignment horizontal="left" vertical="center" indent="1"/>
    </xf>
    <xf numFmtId="0" fontId="0" fillId="0" borderId="61" xfId="6" applyFont="1" applyBorder="1" applyAlignment="1" applyProtection="1">
      <alignment horizontal="left" vertical="center" indent="1"/>
    </xf>
    <xf numFmtId="0" fontId="16" fillId="0" borderId="162" xfId="6" applyFont="1" applyBorder="1" applyAlignment="1" applyProtection="1">
      <alignment horizontal="center" vertical="center"/>
    </xf>
    <xf numFmtId="0" fontId="16" fillId="0" borderId="163" xfId="6" applyFont="1" applyBorder="1" applyAlignment="1" applyProtection="1">
      <alignment horizontal="center" vertical="center" textRotation="255" wrapText="1"/>
    </xf>
    <xf numFmtId="0" fontId="16" fillId="0" borderId="9" xfId="6" applyFont="1" applyBorder="1" applyAlignment="1" applyProtection="1">
      <alignment horizontal="center" vertical="center" textRotation="255" wrapText="1"/>
    </xf>
    <xf numFmtId="0" fontId="16" fillId="0" borderId="13" xfId="6" applyFont="1" applyBorder="1" applyAlignment="1" applyProtection="1">
      <alignment horizontal="center" vertical="center" textRotation="255" wrapText="1"/>
    </xf>
    <xf numFmtId="0" fontId="16" fillId="0" borderId="25" xfId="6" applyFont="1" applyBorder="1" applyAlignment="1" applyProtection="1">
      <alignment horizontal="center" vertical="center" textRotation="255" wrapText="1"/>
    </xf>
    <xf numFmtId="0" fontId="16" fillId="0" borderId="18" xfId="6" applyFont="1" applyBorder="1" applyAlignment="1" applyProtection="1">
      <alignment horizontal="justify" vertical="center" indent="1"/>
    </xf>
    <xf numFmtId="0" fontId="16" fillId="0" borderId="62" xfId="6" applyFont="1" applyBorder="1" applyAlignment="1" applyProtection="1">
      <alignment horizontal="justify" vertical="center" indent="1"/>
    </xf>
    <xf numFmtId="0" fontId="16" fillId="0" borderId="149" xfId="6" applyFont="1" applyBorder="1" applyAlignment="1" applyProtection="1">
      <alignment horizontal="center" vertical="center" textRotation="255" wrapText="1"/>
    </xf>
    <xf numFmtId="0" fontId="16" fillId="0" borderId="60" xfId="6" applyFont="1" applyBorder="1" applyAlignment="1" applyProtection="1">
      <alignment horizontal="center" vertical="center" textRotation="255" wrapText="1"/>
    </xf>
    <xf numFmtId="0" fontId="16" fillId="0" borderId="62" xfId="6" applyFont="1" applyBorder="1" applyAlignment="1" applyProtection="1">
      <alignment horizontal="center" vertical="center"/>
    </xf>
    <xf numFmtId="0" fontId="16" fillId="0" borderId="164" xfId="6" applyFont="1" applyBorder="1" applyAlignment="1" applyProtection="1">
      <alignment horizontal="justify" vertical="center" indent="1"/>
    </xf>
    <xf numFmtId="0" fontId="4" fillId="0" borderId="165" xfId="0" applyFont="1" applyBorder="1" applyAlignment="1" applyProtection="1">
      <alignment horizontal="center" vertical="center"/>
    </xf>
    <xf numFmtId="201" fontId="4" fillId="12" borderId="135" xfId="0" applyNumberFormat="1" applyFont="1" applyFill="1" applyBorder="1" applyAlignment="1" applyProtection="1">
      <alignment horizontal="center"/>
      <protection locked="0"/>
    </xf>
    <xf numFmtId="0" fontId="16" fillId="0" borderId="0" xfId="6" applyFont="1" applyBorder="1" applyAlignment="1" applyProtection="1">
      <alignment vertical="center"/>
    </xf>
    <xf numFmtId="184" fontId="16" fillId="0" borderId="0" xfId="6" applyNumberFormat="1" applyFont="1" applyBorder="1" applyAlignment="1" applyProtection="1">
      <alignment horizontal="right" vertical="center"/>
    </xf>
    <xf numFmtId="0" fontId="16" fillId="0" borderId="0" xfId="6" applyFont="1" applyAlignment="1" applyProtection="1">
      <alignment vertical="center"/>
    </xf>
    <xf numFmtId="0" fontId="23" fillId="0" borderId="0" xfId="6" applyFont="1" applyAlignment="1" applyProtection="1">
      <alignment vertical="center"/>
    </xf>
    <xf numFmtId="0" fontId="16" fillId="0" borderId="0" xfId="0" applyFont="1" applyAlignment="1" applyProtection="1">
      <alignment horizontal="left"/>
    </xf>
    <xf numFmtId="0" fontId="23" fillId="0" borderId="0" xfId="6" applyFont="1" applyAlignment="1" applyProtection="1">
      <alignment horizontal="left" vertical="center"/>
    </xf>
    <xf numFmtId="197" fontId="33" fillId="0" borderId="171" xfId="0" applyNumberFormat="1" applyFont="1" applyBorder="1" applyAlignment="1">
      <alignment vertical="center"/>
    </xf>
    <xf numFmtId="197" fontId="0" fillId="0" borderId="172" xfId="0" applyNumberFormat="1" applyFont="1" applyBorder="1" applyAlignment="1">
      <alignment horizontal="center" vertical="center"/>
    </xf>
    <xf numFmtId="197" fontId="0" fillId="0" borderId="171" xfId="0" applyNumberFormat="1" applyFont="1" applyBorder="1" applyAlignment="1">
      <alignment horizontal="center" vertical="center"/>
    </xf>
    <xf numFmtId="197" fontId="0" fillId="0" borderId="173" xfId="0" applyNumberFormat="1" applyFont="1" applyBorder="1" applyAlignment="1">
      <alignment horizontal="center" vertical="center"/>
    </xf>
    <xf numFmtId="197" fontId="0" fillId="0" borderId="174" xfId="0" applyNumberFormat="1" applyFont="1" applyBorder="1" applyAlignment="1">
      <alignment horizontal="center" vertical="center"/>
    </xf>
    <xf numFmtId="197" fontId="0" fillId="18" borderId="170" xfId="0" applyNumberFormat="1" applyFont="1" applyFill="1" applyBorder="1" applyAlignment="1">
      <alignment horizontal="center" vertical="center"/>
    </xf>
    <xf numFmtId="197" fontId="0" fillId="0" borderId="125" xfId="0" applyNumberFormat="1" applyBorder="1" applyAlignment="1">
      <alignment horizontal="center" vertical="center"/>
    </xf>
    <xf numFmtId="0" fontId="0" fillId="0" borderId="11" xfId="6" applyFont="1" applyBorder="1" applyAlignment="1" applyProtection="1">
      <alignment horizontal="left" vertical="center" indent="1"/>
    </xf>
    <xf numFmtId="0" fontId="9" fillId="16" borderId="191" xfId="3" applyNumberFormat="1" applyFont="1" applyFill="1" applyBorder="1" applyAlignment="1" applyProtection="1">
      <alignment horizontal="left" vertical="center"/>
    </xf>
    <xf numFmtId="181" fontId="23" fillId="18" borderId="192" xfId="3" applyNumberFormat="1" applyFont="1" applyFill="1" applyBorder="1" applyAlignment="1" applyProtection="1">
      <alignment vertical="center"/>
    </xf>
    <xf numFmtId="0" fontId="15" fillId="0" borderId="0" xfId="3" applyNumberFormat="1" applyFont="1" applyFill="1" applyBorder="1" applyProtection="1"/>
    <xf numFmtId="0" fontId="24" fillId="0" borderId="0" xfId="3" applyNumberFormat="1" applyFont="1" applyFill="1" applyBorder="1" applyAlignment="1" applyProtection="1">
      <alignment horizontal="right"/>
    </xf>
    <xf numFmtId="0" fontId="16" fillId="0" borderId="0" xfId="0" applyFont="1" applyFill="1" applyProtection="1"/>
    <xf numFmtId="3" fontId="23" fillId="18" borderId="94" xfId="3" applyNumberFormat="1" applyFont="1" applyFill="1" applyBorder="1" applyAlignment="1" applyProtection="1">
      <alignment vertical="center"/>
    </xf>
    <xf numFmtId="3" fontId="23" fillId="0" borderId="85" xfId="3" applyNumberFormat="1" applyFont="1" applyFill="1" applyBorder="1" applyAlignment="1" applyProtection="1">
      <alignment vertical="center"/>
    </xf>
    <xf numFmtId="3" fontId="23" fillId="0" borderId="47" xfId="3" applyNumberFormat="1" applyFont="1" applyFill="1" applyBorder="1" applyAlignment="1" applyProtection="1">
      <alignment vertical="center"/>
    </xf>
    <xf numFmtId="3" fontId="23" fillId="0" borderId="100" xfId="3" applyNumberFormat="1" applyFont="1" applyFill="1" applyBorder="1" applyAlignment="1" applyProtection="1">
      <alignment vertical="center"/>
    </xf>
    <xf numFmtId="181" fontId="23" fillId="0" borderId="42" xfId="3" applyNumberFormat="1" applyFont="1" applyFill="1" applyBorder="1" applyAlignment="1" applyProtection="1">
      <alignment vertical="center"/>
    </xf>
    <xf numFmtId="3" fontId="23" fillId="0" borderId="42" xfId="3" applyNumberFormat="1" applyFont="1" applyFill="1" applyBorder="1" applyAlignment="1" applyProtection="1">
      <alignment vertical="center"/>
    </xf>
    <xf numFmtId="181" fontId="30" fillId="0" borderId="47" xfId="3" applyNumberFormat="1" applyFont="1" applyFill="1" applyBorder="1" applyAlignment="1" applyProtection="1">
      <alignment vertical="center"/>
    </xf>
    <xf numFmtId="3" fontId="30" fillId="0" borderId="47" xfId="3" applyNumberFormat="1" applyFont="1" applyFill="1" applyBorder="1" applyAlignment="1" applyProtection="1">
      <alignment vertical="center"/>
    </xf>
    <xf numFmtId="189" fontId="16" fillId="2" borderId="47" xfId="1" applyNumberFormat="1" applyFill="1" applyBorder="1" applyAlignment="1" applyProtection="1">
      <alignment vertical="center"/>
      <protection locked="0"/>
    </xf>
    <xf numFmtId="4" fontId="23" fillId="0" borderId="85" xfId="3" applyNumberFormat="1" applyFont="1" applyFill="1" applyBorder="1" applyAlignment="1" applyProtection="1">
      <alignment vertical="center"/>
    </xf>
    <xf numFmtId="4" fontId="23" fillId="0" borderId="47" xfId="3" applyNumberFormat="1" applyFont="1" applyFill="1" applyBorder="1" applyAlignment="1" applyProtection="1">
      <alignment vertical="center"/>
    </xf>
    <xf numFmtId="4" fontId="23" fillId="0" borderId="100" xfId="3" applyNumberFormat="1" applyFont="1" applyFill="1" applyBorder="1" applyAlignment="1" applyProtection="1">
      <alignment vertical="center"/>
    </xf>
    <xf numFmtId="198" fontId="23" fillId="0" borderId="85" xfId="3" applyNumberFormat="1" applyFont="1" applyFill="1" applyBorder="1" applyAlignment="1" applyProtection="1">
      <alignment vertical="center"/>
    </xf>
    <xf numFmtId="198" fontId="23" fillId="0" borderId="47" xfId="3" applyNumberFormat="1" applyFont="1" applyFill="1" applyBorder="1" applyAlignment="1" applyProtection="1">
      <alignment vertical="center"/>
    </xf>
    <xf numFmtId="198" fontId="23" fillId="0" borderId="100" xfId="3" applyNumberFormat="1" applyFont="1" applyFill="1" applyBorder="1" applyAlignment="1" applyProtection="1">
      <alignment vertical="center"/>
    </xf>
    <xf numFmtId="38" fontId="16" fillId="12" borderId="165" xfId="2" applyFill="1" applyBorder="1" applyAlignment="1" applyProtection="1">
      <alignment vertical="center"/>
      <protection locked="0"/>
    </xf>
    <xf numFmtId="38" fontId="16" fillId="12" borderId="166" xfId="2" applyFill="1" applyBorder="1" applyAlignment="1" applyProtection="1">
      <alignment vertical="center"/>
      <protection locked="0"/>
    </xf>
    <xf numFmtId="38" fontId="16" fillId="0" borderId="167" xfId="2" applyBorder="1" applyAlignment="1">
      <alignment vertical="center"/>
    </xf>
    <xf numFmtId="38" fontId="16" fillId="12" borderId="137" xfId="2" applyFill="1" applyBorder="1" applyAlignment="1" applyProtection="1">
      <alignment vertical="center"/>
      <protection locked="0"/>
    </xf>
    <xf numFmtId="38" fontId="16" fillId="12" borderId="117" xfId="2" applyFill="1" applyBorder="1" applyAlignment="1" applyProtection="1">
      <alignment vertical="center"/>
      <protection locked="0"/>
    </xf>
    <xf numFmtId="38" fontId="16" fillId="0" borderId="132" xfId="2" applyBorder="1" applyAlignment="1">
      <alignment vertical="center"/>
    </xf>
    <xf numFmtId="38" fontId="16" fillId="0" borderId="132" xfId="2" applyBorder="1" applyAlignment="1">
      <alignment horizontal="right" vertical="center"/>
    </xf>
    <xf numFmtId="38" fontId="16" fillId="12" borderId="135" xfId="2" applyFill="1" applyBorder="1" applyAlignment="1" applyProtection="1">
      <alignment vertical="center"/>
      <protection locked="0"/>
    </xf>
    <xf numFmtId="38" fontId="16" fillId="12" borderId="168" xfId="2" applyFill="1" applyBorder="1" applyAlignment="1" applyProtection="1">
      <alignment vertical="center"/>
      <protection locked="0"/>
    </xf>
    <xf numFmtId="38" fontId="16" fillId="0" borderId="136" xfId="2" applyBorder="1" applyAlignment="1">
      <alignment horizontal="right" vertical="center"/>
    </xf>
    <xf numFmtId="38" fontId="16" fillId="12" borderId="184" xfId="2" applyFill="1" applyBorder="1" applyAlignment="1" applyProtection="1">
      <alignment vertical="center"/>
      <protection locked="0"/>
    </xf>
    <xf numFmtId="38" fontId="16" fillId="0" borderId="127" xfId="2" applyBorder="1" applyAlignment="1">
      <alignment horizontal="right" vertical="center"/>
    </xf>
    <xf numFmtId="38" fontId="16" fillId="18" borderId="180" xfId="2" applyFill="1" applyBorder="1" applyAlignment="1">
      <alignment vertical="center"/>
    </xf>
    <xf numFmtId="38" fontId="16" fillId="18" borderId="181" xfId="2" applyFill="1" applyBorder="1" applyAlignment="1">
      <alignment horizontal="right" vertical="center"/>
    </xf>
    <xf numFmtId="38" fontId="16" fillId="18" borderId="182" xfId="2" applyFill="1" applyBorder="1" applyAlignment="1">
      <alignment horizontal="right" vertical="center"/>
    </xf>
    <xf numFmtId="38" fontId="16" fillId="18" borderId="169" xfId="2" applyFill="1" applyBorder="1" applyAlignment="1">
      <alignment horizontal="right" vertical="center"/>
    </xf>
    <xf numFmtId="38" fontId="16" fillId="12" borderId="175" xfId="2" applyFill="1" applyBorder="1" applyAlignment="1" applyProtection="1">
      <alignment vertical="center"/>
      <protection locked="0"/>
    </xf>
    <xf numFmtId="38" fontId="16" fillId="12" borderId="185" xfId="2" applyFill="1" applyBorder="1" applyAlignment="1" applyProtection="1">
      <alignment vertical="center"/>
      <protection locked="0"/>
    </xf>
    <xf numFmtId="38" fontId="16" fillId="0" borderId="175" xfId="2" applyBorder="1" applyAlignment="1">
      <alignment vertical="center"/>
    </xf>
    <xf numFmtId="38" fontId="16" fillId="12" borderId="176" xfId="2" applyFill="1" applyBorder="1" applyAlignment="1" applyProtection="1">
      <alignment vertical="center"/>
      <protection locked="0"/>
    </xf>
    <xf numFmtId="38" fontId="16" fillId="12" borderId="186" xfId="2" applyFill="1" applyBorder="1" applyAlignment="1" applyProtection="1">
      <alignment vertical="center"/>
      <protection locked="0"/>
    </xf>
    <xf numFmtId="38" fontId="16" fillId="0" borderId="188" xfId="2" applyBorder="1" applyAlignment="1">
      <alignment vertical="center"/>
    </xf>
    <xf numFmtId="38" fontId="16" fillId="12" borderId="177" xfId="2" applyFill="1" applyBorder="1" applyAlignment="1" applyProtection="1">
      <alignment vertical="center"/>
      <protection locked="0"/>
    </xf>
    <xf numFmtId="38" fontId="16" fillId="12" borderId="187" xfId="2" applyFill="1" applyBorder="1" applyAlignment="1" applyProtection="1">
      <alignment vertical="center"/>
      <protection locked="0"/>
    </xf>
    <xf numFmtId="38" fontId="16" fillId="0" borderId="189" xfId="2" applyBorder="1" applyAlignment="1">
      <alignment vertical="center"/>
    </xf>
    <xf numFmtId="38" fontId="16" fillId="12" borderId="178" xfId="2" applyFill="1" applyBorder="1" applyAlignment="1" applyProtection="1">
      <alignment vertical="center"/>
      <protection locked="0"/>
    </xf>
    <xf numFmtId="38" fontId="16" fillId="12" borderId="126" xfId="2" applyFill="1" applyBorder="1" applyAlignment="1" applyProtection="1">
      <alignment vertical="center"/>
      <protection locked="0"/>
    </xf>
    <xf numFmtId="38" fontId="16" fillId="0" borderId="178" xfId="2" applyBorder="1" applyAlignment="1">
      <alignment vertical="center"/>
    </xf>
    <xf numFmtId="9" fontId="9" fillId="2" borderId="24" xfId="1" applyFont="1" applyFill="1" applyBorder="1" applyAlignment="1" applyProtection="1">
      <alignment vertical="center"/>
      <protection locked="0"/>
    </xf>
    <xf numFmtId="9" fontId="9" fillId="2" borderId="23" xfId="1" applyFont="1" applyFill="1" applyBorder="1" applyAlignment="1" applyProtection="1">
      <alignment vertical="center"/>
      <protection locked="0"/>
    </xf>
    <xf numFmtId="179" fontId="16" fillId="12" borderId="183" xfId="2" applyNumberFormat="1" applyFill="1" applyBorder="1" applyAlignment="1" applyProtection="1">
      <alignment vertical="center"/>
      <protection locked="0"/>
    </xf>
    <xf numFmtId="179" fontId="16" fillId="18" borderId="179" xfId="2" applyNumberFormat="1" applyFill="1" applyBorder="1" applyAlignment="1">
      <alignment vertical="center"/>
    </xf>
    <xf numFmtId="198" fontId="9" fillId="0" borderId="23" xfId="7" applyNumberFormat="1" applyFont="1" applyBorder="1" applyAlignment="1" applyProtection="1">
      <alignment vertical="center"/>
    </xf>
    <xf numFmtId="0" fontId="0" fillId="2" borderId="194" xfId="0" applyFill="1" applyBorder="1" applyAlignment="1" applyProtection="1">
      <alignment shrinkToFit="1"/>
      <protection locked="0"/>
    </xf>
    <xf numFmtId="0" fontId="0" fillId="0" borderId="0" xfId="0" applyAlignment="1">
      <alignment vertical="center" wrapText="1"/>
    </xf>
    <xf numFmtId="0" fontId="0" fillId="0" borderId="195" xfId="0" applyBorder="1"/>
    <xf numFmtId="0" fontId="0" fillId="0" borderId="196" xfId="0" applyBorder="1"/>
    <xf numFmtId="0" fontId="0" fillId="0" borderId="197" xfId="0" applyBorder="1"/>
    <xf numFmtId="0" fontId="0" fillId="0" borderId="134" xfId="0" applyBorder="1"/>
    <xf numFmtId="0" fontId="0" fillId="0" borderId="0" xfId="0" applyBorder="1"/>
    <xf numFmtId="0" fontId="0" fillId="0" borderId="129" xfId="0" applyBorder="1"/>
    <xf numFmtId="0" fontId="0" fillId="0" borderId="0" xfId="0" applyFill="1" applyBorder="1"/>
    <xf numFmtId="0" fontId="0" fillId="0" borderId="134" xfId="0" applyFill="1" applyBorder="1"/>
    <xf numFmtId="0" fontId="0" fillId="26" borderId="0" xfId="0" applyFill="1" applyBorder="1"/>
    <xf numFmtId="0" fontId="0" fillId="26" borderId="134" xfId="0" applyFill="1" applyBorder="1"/>
    <xf numFmtId="0" fontId="0" fillId="0" borderId="170" xfId="0" applyBorder="1"/>
    <xf numFmtId="0" fontId="0" fillId="0" borderId="169" xfId="0" applyBorder="1"/>
    <xf numFmtId="0" fontId="0" fillId="26" borderId="169" xfId="0" applyFill="1" applyBorder="1"/>
    <xf numFmtId="0" fontId="0" fillId="0" borderId="198" xfId="0" applyBorder="1"/>
    <xf numFmtId="0" fontId="38" fillId="0" borderId="0" xfId="0" applyFont="1"/>
    <xf numFmtId="0" fontId="0" fillId="0" borderId="0" xfId="0" applyAlignment="1">
      <alignment shrinkToFit="1"/>
    </xf>
    <xf numFmtId="57" fontId="0" fillId="0" borderId="0" xfId="0" applyNumberFormat="1"/>
    <xf numFmtId="3" fontId="0" fillId="0" borderId="0" xfId="0" applyNumberFormat="1"/>
    <xf numFmtId="191" fontId="0" fillId="0" borderId="0" xfId="0" applyNumberFormat="1"/>
    <xf numFmtId="0" fontId="0" fillId="0" borderId="118" xfId="0" applyBorder="1" applyAlignment="1">
      <alignment shrinkToFit="1"/>
    </xf>
    <xf numFmtId="191" fontId="0" fillId="0" borderId="120" xfId="0" applyNumberFormat="1" applyBorder="1"/>
    <xf numFmtId="191" fontId="21" fillId="0" borderId="120" xfId="0" applyNumberFormat="1" applyFont="1" applyBorder="1"/>
    <xf numFmtId="0" fontId="21" fillId="0" borderId="0" xfId="0" applyFont="1"/>
    <xf numFmtId="0" fontId="0" fillId="0" borderId="0" xfId="0" applyAlignment="1">
      <alignment horizontal="right"/>
    </xf>
    <xf numFmtId="0" fontId="0" fillId="0" borderId="0" xfId="0" applyFont="1" applyAlignment="1">
      <alignment horizontal="right"/>
    </xf>
    <xf numFmtId="0" fontId="21" fillId="0" borderId="0" xfId="0" applyFont="1" applyAlignment="1">
      <alignment horizontal="right"/>
    </xf>
    <xf numFmtId="196" fontId="0" fillId="0" borderId="0" xfId="0" applyNumberFormat="1" applyAlignment="1">
      <alignment horizontal="left"/>
    </xf>
    <xf numFmtId="0" fontId="0" fillId="0" borderId="0" xfId="0" quotePrefix="1"/>
    <xf numFmtId="203" fontId="0" fillId="0" borderId="0" xfId="0" applyNumberFormat="1"/>
    <xf numFmtId="0" fontId="7" fillId="0" borderId="199" xfId="4" applyFont="1" applyFill="1" applyBorder="1" applyAlignment="1"/>
    <xf numFmtId="0" fontId="23" fillId="25" borderId="195" xfId="3" applyNumberFormat="1" applyFont="1" applyFill="1" applyBorder="1" applyAlignment="1" applyProtection="1">
      <alignment horizontal="center" vertical="center"/>
    </xf>
    <xf numFmtId="0" fontId="12" fillId="2" borderId="200" xfId="3" applyNumberFormat="1" applyFont="1" applyFill="1" applyBorder="1" applyAlignment="1" applyProtection="1">
      <alignment horizontal="center" vertical="center"/>
    </xf>
    <xf numFmtId="0" fontId="12" fillId="2" borderId="201" xfId="3" applyNumberFormat="1" applyFont="1" applyFill="1" applyBorder="1" applyAlignment="1" applyProtection="1">
      <alignment horizontal="center" vertical="center"/>
    </xf>
    <xf numFmtId="0" fontId="12" fillId="3" borderId="201" xfId="3" applyNumberFormat="1" applyFont="1" applyFill="1" applyBorder="1" applyAlignment="1" applyProtection="1">
      <alignment horizontal="center" vertical="center"/>
    </xf>
    <xf numFmtId="200" fontId="12" fillId="2" borderId="201" xfId="3" applyNumberFormat="1" applyFont="1" applyFill="1" applyBorder="1" applyAlignment="1" applyProtection="1">
      <alignment horizontal="center" vertical="center"/>
    </xf>
    <xf numFmtId="0" fontId="27" fillId="2" borderId="201" xfId="3" applyNumberFormat="1" applyFont="1" applyFill="1" applyBorder="1" applyAlignment="1" applyProtection="1">
      <alignment horizontal="center" vertical="center" shrinkToFit="1"/>
    </xf>
    <xf numFmtId="0" fontId="12" fillId="0" borderId="202" xfId="3" applyNumberFormat="1" applyFont="1" applyFill="1" applyBorder="1" applyAlignment="1" applyProtection="1">
      <alignment horizontal="center" vertical="center"/>
    </xf>
    <xf numFmtId="38" fontId="28" fillId="4" borderId="201" xfId="2" applyFont="1" applyFill="1" applyBorder="1" applyAlignment="1" applyProtection="1">
      <alignment horizontal="center" vertical="center"/>
    </xf>
    <xf numFmtId="38" fontId="28" fillId="3" borderId="201" xfId="2" applyFont="1" applyFill="1" applyBorder="1" applyAlignment="1" applyProtection="1">
      <alignment horizontal="center" vertical="center"/>
    </xf>
    <xf numFmtId="38" fontId="29" fillId="10" borderId="201" xfId="2" applyFont="1" applyFill="1" applyBorder="1" applyAlignment="1" applyProtection="1">
      <alignment horizontal="center" vertical="center"/>
    </xf>
    <xf numFmtId="38" fontId="28" fillId="4" borderId="202" xfId="2" applyFont="1" applyFill="1" applyBorder="1" applyAlignment="1" applyProtection="1">
      <alignment horizontal="center" vertical="center"/>
    </xf>
    <xf numFmtId="9" fontId="28" fillId="4" borderId="203" xfId="1" applyFont="1" applyFill="1" applyBorder="1" applyAlignment="1" applyProtection="1">
      <alignment horizontal="center" vertical="center"/>
    </xf>
    <xf numFmtId="9" fontId="28" fillId="4" borderId="201" xfId="1" applyFont="1" applyFill="1" applyBorder="1" applyAlignment="1" applyProtection="1">
      <alignment horizontal="center" vertical="center"/>
    </xf>
    <xf numFmtId="9" fontId="28" fillId="4" borderId="204" xfId="1" applyFont="1" applyFill="1" applyBorder="1" applyAlignment="1" applyProtection="1">
      <alignment horizontal="center" vertical="center"/>
    </xf>
    <xf numFmtId="0" fontId="28" fillId="10" borderId="205" xfId="3" applyNumberFormat="1" applyFont="1" applyFill="1" applyBorder="1" applyAlignment="1" applyProtection="1">
      <alignment horizontal="center" vertical="center"/>
    </xf>
    <xf numFmtId="0" fontId="28" fillId="10" borderId="202" xfId="3" applyNumberFormat="1" applyFont="1" applyFill="1" applyBorder="1" applyAlignment="1" applyProtection="1">
      <alignment horizontal="center" vertical="center"/>
    </xf>
    <xf numFmtId="0" fontId="12" fillId="2" borderId="206" xfId="3" applyNumberFormat="1" applyFont="1" applyFill="1" applyBorder="1" applyAlignment="1" applyProtection="1">
      <alignment horizontal="center" vertical="center"/>
    </xf>
    <xf numFmtId="197" fontId="0" fillId="0" borderId="215" xfId="0" applyNumberFormat="1" applyBorder="1" applyAlignment="1">
      <alignment horizontal="center" vertical="center"/>
    </xf>
    <xf numFmtId="197" fontId="0" fillId="0" borderId="216" xfId="0" applyNumberFormat="1" applyFont="1" applyBorder="1" applyAlignment="1">
      <alignment horizontal="center" vertical="center" shrinkToFit="1"/>
    </xf>
    <xf numFmtId="197" fontId="0" fillId="0" borderId="218" xfId="0" applyNumberFormat="1" applyBorder="1" applyAlignment="1">
      <alignment horizontal="center" vertical="center"/>
    </xf>
    <xf numFmtId="0" fontId="0" fillId="3" borderId="38" xfId="0" applyFont="1" applyFill="1" applyBorder="1" applyAlignment="1" applyProtection="1">
      <alignment shrinkToFit="1"/>
      <protection locked="0"/>
    </xf>
    <xf numFmtId="0" fontId="0" fillId="3" borderId="2" xfId="0" applyFont="1" applyFill="1" applyBorder="1" applyAlignment="1" applyProtection="1">
      <alignment shrinkToFit="1"/>
      <protection locked="0"/>
    </xf>
    <xf numFmtId="0" fontId="0" fillId="7" borderId="15" xfId="0" applyFill="1" applyBorder="1" applyAlignment="1" applyProtection="1">
      <alignment shrinkToFit="1"/>
      <protection locked="0"/>
    </xf>
    <xf numFmtId="0" fontId="0" fillId="7" borderId="15" xfId="0" applyFont="1" applyFill="1" applyBorder="1" applyAlignment="1" applyProtection="1">
      <alignment shrinkToFit="1"/>
      <protection locked="0"/>
    </xf>
    <xf numFmtId="0" fontId="0" fillId="7" borderId="2" xfId="0" applyFill="1" applyBorder="1" applyAlignment="1" applyProtection="1">
      <alignment shrinkToFit="1"/>
      <protection locked="0"/>
    </xf>
    <xf numFmtId="0" fontId="0" fillId="7" borderId="2" xfId="0" applyFont="1" applyFill="1" applyBorder="1" applyAlignment="1" applyProtection="1">
      <alignment shrinkToFit="1"/>
      <protection locked="0"/>
    </xf>
    <xf numFmtId="0" fontId="21" fillId="7" borderId="2" xfId="0" applyFont="1" applyFill="1" applyBorder="1" applyAlignment="1" applyProtection="1">
      <alignment shrinkToFit="1"/>
      <protection locked="0"/>
    </xf>
    <xf numFmtId="0" fontId="0" fillId="14" borderId="38" xfId="0" applyFont="1" applyFill="1" applyBorder="1" applyAlignment="1" applyProtection="1">
      <alignment shrinkToFit="1"/>
      <protection locked="0"/>
    </xf>
    <xf numFmtId="0" fontId="0" fillId="14" borderId="2" xfId="0" applyFont="1" applyFill="1" applyBorder="1" applyAlignment="1" applyProtection="1">
      <alignment shrinkToFit="1"/>
      <protection locked="0"/>
    </xf>
    <xf numFmtId="0" fontId="0" fillId="3" borderId="82" xfId="0" applyFill="1" applyBorder="1" applyAlignment="1" applyProtection="1">
      <alignment shrinkToFit="1"/>
      <protection locked="0"/>
    </xf>
    <xf numFmtId="0" fontId="0" fillId="3" borderId="8" xfId="0" applyFill="1" applyBorder="1" applyAlignment="1" applyProtection="1">
      <alignment shrinkToFit="1"/>
      <protection locked="0"/>
    </xf>
    <xf numFmtId="0" fontId="0" fillId="7" borderId="8" xfId="0" applyFill="1" applyBorder="1" applyAlignment="1" applyProtection="1">
      <alignment shrinkToFit="1"/>
      <protection locked="0"/>
    </xf>
    <xf numFmtId="0" fontId="0" fillId="3" borderId="38" xfId="0" applyFill="1" applyBorder="1" applyAlignment="1" applyProtection="1">
      <alignment shrinkToFit="1"/>
      <protection locked="0"/>
    </xf>
    <xf numFmtId="0" fontId="0" fillId="3" borderId="2" xfId="0" applyFill="1" applyBorder="1" applyAlignment="1" applyProtection="1">
      <alignment shrinkToFit="1"/>
      <protection locked="0"/>
    </xf>
    <xf numFmtId="0" fontId="0" fillId="3" borderId="80" xfId="0" applyFill="1" applyBorder="1" applyAlignment="1" applyProtection="1">
      <alignment shrinkToFit="1"/>
      <protection locked="0"/>
    </xf>
    <xf numFmtId="0" fontId="0" fillId="3" borderId="74" xfId="0" applyFill="1" applyBorder="1" applyAlignment="1" applyProtection="1">
      <alignment shrinkToFit="1"/>
      <protection locked="0"/>
    </xf>
    <xf numFmtId="0" fontId="0" fillId="7" borderId="74" xfId="0" applyFill="1" applyBorder="1" applyAlignment="1" applyProtection="1">
      <alignment shrinkToFit="1"/>
      <protection locked="0"/>
    </xf>
    <xf numFmtId="178" fontId="23" fillId="0" borderId="22" xfId="7" applyNumberFormat="1" applyFont="1" applyBorder="1" applyAlignment="1" applyProtection="1">
      <alignment horizontal="center" vertical="center" shrinkToFit="1"/>
    </xf>
    <xf numFmtId="0" fontId="39" fillId="0" borderId="0" xfId="0" applyFont="1" applyProtection="1"/>
    <xf numFmtId="0" fontId="39" fillId="0" borderId="0" xfId="0" applyFont="1" applyAlignment="1" applyProtection="1">
      <alignment horizontal="center" vertical="center" wrapText="1"/>
    </xf>
    <xf numFmtId="0" fontId="7" fillId="5" borderId="220" xfId="5" applyFont="1" applyFill="1" applyBorder="1" applyAlignment="1">
      <alignment horizontal="center"/>
    </xf>
    <xf numFmtId="9" fontId="23" fillId="16" borderId="221" xfId="1" applyFont="1" applyFill="1" applyBorder="1" applyAlignment="1" applyProtection="1">
      <alignment vertical="center"/>
    </xf>
    <xf numFmtId="182" fontId="24" fillId="16" borderId="222" xfId="3" applyNumberFormat="1" applyFont="1" applyFill="1" applyBorder="1" applyAlignment="1" applyProtection="1">
      <alignment vertical="center"/>
    </xf>
    <xf numFmtId="0" fontId="0" fillId="0" borderId="169" xfId="0" applyBorder="1" applyAlignment="1">
      <alignment vertical="center"/>
    </xf>
    <xf numFmtId="0" fontId="0" fillId="0" borderId="169" xfId="0" applyFont="1" applyBorder="1" applyAlignment="1">
      <alignment vertical="center"/>
    </xf>
    <xf numFmtId="0" fontId="0" fillId="12" borderId="223" xfId="0" applyFont="1" applyFill="1" applyBorder="1" applyAlignment="1" applyProtection="1">
      <alignment vertical="center"/>
      <protection locked="0"/>
    </xf>
    <xf numFmtId="204" fontId="0" fillId="12" borderId="224" xfId="0" applyNumberFormat="1" applyFont="1" applyFill="1" applyBorder="1" applyAlignment="1" applyProtection="1">
      <alignment vertical="center"/>
      <protection locked="0"/>
    </xf>
    <xf numFmtId="0" fontId="0" fillId="0" borderId="0" xfId="0" applyAlignment="1">
      <alignment horizontal="center" vertical="center"/>
    </xf>
    <xf numFmtId="9" fontId="16" fillId="12" borderId="223" xfId="1" applyFill="1" applyBorder="1" applyAlignment="1" applyProtection="1">
      <alignment horizontal="center" vertical="center"/>
      <protection locked="0"/>
    </xf>
    <xf numFmtId="205" fontId="40" fillId="0" borderId="225" xfId="0" applyNumberFormat="1" applyFont="1" applyBorder="1" applyAlignment="1" applyProtection="1">
      <alignment vertical="center" shrinkToFit="1"/>
    </xf>
    <xf numFmtId="205" fontId="40" fillId="0" borderId="226" xfId="0" applyNumberFormat="1" applyFont="1" applyBorder="1" applyAlignment="1" applyProtection="1">
      <alignment vertical="center" shrinkToFit="1"/>
    </xf>
    <xf numFmtId="205" fontId="40" fillId="0" borderId="227" xfId="0" applyNumberFormat="1" applyFont="1" applyBorder="1" applyAlignment="1" applyProtection="1">
      <alignment vertical="center" shrinkToFit="1"/>
    </xf>
    <xf numFmtId="205" fontId="40" fillId="0" borderId="228" xfId="0" applyNumberFormat="1" applyFont="1" applyBorder="1" applyAlignment="1" applyProtection="1">
      <alignment vertical="center" shrinkToFit="1"/>
    </xf>
    <xf numFmtId="205" fontId="40" fillId="0" borderId="229" xfId="0" applyNumberFormat="1" applyFont="1" applyBorder="1" applyAlignment="1" applyProtection="1">
      <alignment vertical="center" shrinkToFit="1"/>
    </xf>
    <xf numFmtId="205" fontId="40" fillId="12" borderId="230" xfId="0" applyNumberFormat="1" applyFont="1" applyFill="1" applyBorder="1" applyAlignment="1" applyProtection="1">
      <alignment vertical="center" shrinkToFit="1"/>
      <protection locked="0"/>
    </xf>
    <xf numFmtId="205" fontId="40" fillId="12" borderId="231" xfId="0" applyNumberFormat="1" applyFont="1" applyFill="1" applyBorder="1" applyAlignment="1" applyProtection="1">
      <alignment vertical="center" shrinkToFit="1"/>
      <protection locked="0"/>
    </xf>
    <xf numFmtId="205" fontId="40" fillId="12" borderId="138" xfId="0" applyNumberFormat="1" applyFont="1" applyFill="1" applyBorder="1" applyAlignment="1" applyProtection="1">
      <alignment vertical="center" shrinkToFit="1"/>
      <protection locked="0"/>
    </xf>
    <xf numFmtId="205" fontId="40" fillId="12" borderId="232" xfId="0" applyNumberFormat="1" applyFont="1" applyFill="1" applyBorder="1" applyAlignment="1" applyProtection="1">
      <alignment vertical="center" shrinkToFit="1"/>
      <protection locked="0"/>
    </xf>
    <xf numFmtId="205" fontId="40" fillId="12" borderId="130" xfId="0" applyNumberFormat="1" applyFont="1" applyFill="1" applyBorder="1" applyAlignment="1" applyProtection="1">
      <alignment vertical="center" shrinkToFit="1"/>
      <protection locked="0"/>
    </xf>
    <xf numFmtId="205" fontId="40" fillId="12" borderId="131" xfId="0" applyNumberFormat="1" applyFont="1" applyFill="1" applyBorder="1" applyAlignment="1" applyProtection="1">
      <alignment vertical="center" shrinkToFit="1"/>
      <protection locked="0"/>
    </xf>
    <xf numFmtId="205" fontId="40" fillId="12" borderId="233" xfId="0" applyNumberFormat="1" applyFont="1" applyFill="1" applyBorder="1" applyAlignment="1" applyProtection="1">
      <alignment vertical="center" shrinkToFit="1"/>
      <protection locked="0"/>
    </xf>
    <xf numFmtId="205" fontId="40" fillId="12" borderId="234" xfId="0" applyNumberFormat="1" applyFont="1" applyFill="1" applyBorder="1" applyAlignment="1" applyProtection="1">
      <alignment vertical="center" shrinkToFit="1"/>
      <protection locked="0"/>
    </xf>
    <xf numFmtId="205" fontId="40" fillId="0" borderId="235" xfId="0" applyNumberFormat="1" applyFont="1" applyBorder="1" applyAlignment="1" applyProtection="1">
      <alignment vertical="center" shrinkToFit="1"/>
    </xf>
    <xf numFmtId="205" fontId="40" fillId="0" borderId="216" xfId="0" applyNumberFormat="1" applyFont="1" applyBorder="1" applyAlignment="1" applyProtection="1">
      <alignment vertical="center" shrinkToFit="1"/>
    </xf>
    <xf numFmtId="205" fontId="40" fillId="0" borderId="236" xfId="0" applyNumberFormat="1" applyFont="1" applyBorder="1" applyAlignment="1" applyProtection="1">
      <alignment vertical="center" shrinkToFit="1"/>
    </xf>
    <xf numFmtId="205" fontId="40" fillId="0" borderId="237" xfId="0" applyNumberFormat="1" applyFont="1" applyBorder="1" applyAlignment="1" applyProtection="1">
      <alignment vertical="center" shrinkToFit="1"/>
    </xf>
    <xf numFmtId="205" fontId="40" fillId="0" borderId="238" xfId="0" applyNumberFormat="1" applyFont="1" applyBorder="1" applyAlignment="1" applyProtection="1">
      <alignment vertical="center" shrinkToFit="1"/>
    </xf>
    <xf numFmtId="205" fontId="40" fillId="0" borderId="239" xfId="0" applyNumberFormat="1" applyFont="1" applyBorder="1" applyAlignment="1" applyProtection="1">
      <alignment vertical="center" shrinkToFit="1"/>
    </xf>
    <xf numFmtId="205" fontId="40" fillId="0" borderId="240" xfId="0" applyNumberFormat="1" applyFont="1" applyBorder="1" applyAlignment="1" applyProtection="1">
      <alignment vertical="center" shrinkToFit="1"/>
    </xf>
    <xf numFmtId="205" fontId="40" fillId="0" borderId="241" xfId="0" applyNumberFormat="1" applyFont="1" applyBorder="1" applyAlignment="1" applyProtection="1">
      <alignment vertical="center" shrinkToFit="1"/>
    </xf>
    <xf numFmtId="0" fontId="23" fillId="0" borderId="244" xfId="0" applyFont="1" applyBorder="1" applyAlignment="1" applyProtection="1">
      <alignment horizontal="center" vertical="center" shrinkToFit="1"/>
    </xf>
    <xf numFmtId="0" fontId="23" fillId="0" borderId="223" xfId="0" applyFont="1" applyBorder="1" applyAlignment="1" applyProtection="1">
      <alignment horizontal="center" shrinkToFit="1"/>
    </xf>
    <xf numFmtId="0" fontId="0" fillId="0" borderId="193" xfId="0" applyFont="1" applyBorder="1" applyAlignment="1" applyProtection="1">
      <alignment horizontal="center" vertical="center" shrinkToFit="1"/>
    </xf>
    <xf numFmtId="0" fontId="0" fillId="0" borderId="193" xfId="0" applyFont="1" applyBorder="1" applyAlignment="1" applyProtection="1">
      <alignment horizontal="left" vertical="center" shrinkToFit="1"/>
    </xf>
    <xf numFmtId="0" fontId="0" fillId="12" borderId="213" xfId="0" applyFont="1" applyFill="1" applyBorder="1" applyAlignment="1" applyProtection="1">
      <alignment shrinkToFit="1"/>
      <protection locked="0"/>
    </xf>
    <xf numFmtId="0" fontId="0" fillId="12" borderId="246" xfId="0" applyFont="1" applyFill="1" applyBorder="1" applyAlignment="1" applyProtection="1">
      <alignment shrinkToFit="1"/>
      <protection locked="0"/>
    </xf>
    <xf numFmtId="0" fontId="0" fillId="12" borderId="189" xfId="0" applyFont="1" applyFill="1" applyBorder="1" applyAlignment="1" applyProtection="1">
      <alignment shrinkToFit="1"/>
      <protection locked="0"/>
    </xf>
    <xf numFmtId="0" fontId="0" fillId="12" borderId="178" xfId="0" applyFill="1" applyBorder="1" applyAlignment="1" applyProtection="1">
      <alignment shrinkToFit="1"/>
      <protection locked="0"/>
    </xf>
    <xf numFmtId="0" fontId="0" fillId="18" borderId="182" xfId="0" applyFont="1" applyFill="1" applyBorder="1" applyAlignment="1" applyProtection="1">
      <alignment shrinkToFit="1"/>
      <protection locked="0"/>
    </xf>
    <xf numFmtId="181" fontId="23" fillId="0" borderId="247" xfId="3" applyNumberFormat="1" applyFont="1" applyFill="1" applyBorder="1" applyAlignment="1" applyProtection="1">
      <alignment vertical="center"/>
    </xf>
    <xf numFmtId="182" fontId="9" fillId="0" borderId="247" xfId="3" applyNumberFormat="1" applyFont="1" applyFill="1" applyBorder="1" applyAlignment="1" applyProtection="1">
      <alignment horizontal="center" vertical="center"/>
    </xf>
    <xf numFmtId="200" fontId="23" fillId="0" borderId="247" xfId="3" applyNumberFormat="1" applyFont="1" applyFill="1" applyBorder="1" applyAlignment="1" applyProtection="1">
      <alignment vertical="center"/>
    </xf>
    <xf numFmtId="3" fontId="23" fillId="0" borderId="247" xfId="3" applyNumberFormat="1" applyFont="1" applyFill="1" applyBorder="1" applyAlignment="1" applyProtection="1">
      <alignment horizontal="center" vertical="center"/>
    </xf>
    <xf numFmtId="9" fontId="23" fillId="0" borderId="247" xfId="1" applyNumberFormat="1" applyFont="1" applyFill="1" applyBorder="1" applyAlignment="1" applyProtection="1">
      <alignment horizontal="center" vertical="center"/>
    </xf>
    <xf numFmtId="4" fontId="23" fillId="0" borderId="247" xfId="3" applyNumberFormat="1" applyFont="1" applyFill="1" applyBorder="1" applyAlignment="1" applyProtection="1">
      <alignment vertical="center"/>
    </xf>
    <xf numFmtId="182" fontId="9" fillId="12" borderId="248" xfId="3" applyNumberFormat="1" applyFont="1" applyFill="1" applyBorder="1" applyAlignment="1" applyProtection="1">
      <alignment vertical="center"/>
      <protection locked="0"/>
    </xf>
    <xf numFmtId="181" fontId="23" fillId="12" borderId="248" xfId="3" applyNumberFormat="1" applyFont="1" applyFill="1" applyBorder="1" applyAlignment="1" applyProtection="1">
      <alignment vertical="center"/>
      <protection locked="0"/>
    </xf>
    <xf numFmtId="182" fontId="9" fillId="12" borderId="248" xfId="3" applyNumberFormat="1" applyFont="1" applyFill="1" applyBorder="1" applyAlignment="1" applyProtection="1">
      <alignment horizontal="center" vertical="center"/>
      <protection locked="0"/>
    </xf>
    <xf numFmtId="200" fontId="23" fillId="2" borderId="248" xfId="3" applyNumberFormat="1" applyFont="1" applyFill="1" applyBorder="1" applyAlignment="1" applyProtection="1">
      <alignment vertical="center"/>
      <protection locked="0"/>
    </xf>
    <xf numFmtId="3" fontId="23" fillId="2" borderId="248" xfId="3" applyNumberFormat="1" applyFont="1" applyFill="1" applyBorder="1" applyAlignment="1" applyProtection="1">
      <alignment horizontal="center" vertical="center"/>
      <protection locked="0"/>
    </xf>
    <xf numFmtId="9" fontId="23" fillId="2" borderId="248" xfId="1" applyNumberFormat="1" applyFont="1" applyFill="1" applyBorder="1" applyAlignment="1" applyProtection="1">
      <alignment horizontal="center" vertical="center"/>
      <protection locked="0"/>
    </xf>
    <xf numFmtId="182" fontId="9" fillId="12" borderId="47" xfId="3" applyNumberFormat="1" applyFont="1" applyFill="1" applyBorder="1" applyAlignment="1" applyProtection="1">
      <alignment vertical="center"/>
      <protection locked="0"/>
    </xf>
    <xf numFmtId="181" fontId="23" fillId="12" borderId="47" xfId="3" applyNumberFormat="1" applyFont="1" applyFill="1" applyBorder="1" applyAlignment="1" applyProtection="1">
      <alignment vertical="center"/>
      <protection locked="0"/>
    </xf>
    <xf numFmtId="182" fontId="9" fillId="12" borderId="47" xfId="3" applyNumberFormat="1" applyFont="1" applyFill="1" applyBorder="1" applyAlignment="1" applyProtection="1">
      <alignment horizontal="center" vertical="center"/>
      <protection locked="0"/>
    </xf>
    <xf numFmtId="4" fontId="23" fillId="2" borderId="47" xfId="3" applyNumberFormat="1" applyFont="1" applyFill="1" applyBorder="1" applyAlignment="1" applyProtection="1">
      <alignment vertical="center"/>
      <protection locked="0"/>
    </xf>
    <xf numFmtId="206" fontId="16" fillId="2" borderId="47" xfId="1" applyNumberFormat="1" applyFill="1" applyBorder="1" applyAlignment="1" applyProtection="1">
      <alignment vertical="center"/>
      <protection locked="0"/>
    </xf>
    <xf numFmtId="191" fontId="16" fillId="20" borderId="249" xfId="12" applyNumberFormat="1" applyFont="1" applyFill="1" applyBorder="1" applyProtection="1">
      <protection locked="0"/>
    </xf>
    <xf numFmtId="0" fontId="11" fillId="0" borderId="193" xfId="0" applyFont="1" applyBorder="1" applyAlignment="1" applyProtection="1">
      <alignment horizontal="left" shrinkToFit="1"/>
    </xf>
    <xf numFmtId="0" fontId="23" fillId="0" borderId="144" xfId="6" applyFont="1" applyFill="1" applyBorder="1" applyAlignment="1" applyProtection="1">
      <alignment vertical="center" shrinkToFit="1"/>
    </xf>
    <xf numFmtId="0" fontId="23" fillId="0" borderId="63" xfId="6" applyFont="1" applyFill="1" applyBorder="1" applyAlignment="1" applyProtection="1">
      <alignment vertical="center" shrinkToFit="1"/>
    </xf>
    <xf numFmtId="0" fontId="23" fillId="0" borderId="11" xfId="6" applyFont="1" applyFill="1" applyBorder="1" applyAlignment="1" applyProtection="1">
      <alignment vertical="center" shrinkToFit="1"/>
    </xf>
    <xf numFmtId="0" fontId="16" fillId="0" borderId="75" xfId="6" applyFont="1" applyBorder="1" applyAlignment="1" applyProtection="1">
      <alignment horizontal="center" vertical="center"/>
    </xf>
    <xf numFmtId="0" fontId="16" fillId="0" borderId="72" xfId="6" applyFont="1" applyBorder="1" applyAlignment="1" applyProtection="1">
      <alignment horizontal="center" vertical="center"/>
    </xf>
    <xf numFmtId="0" fontId="16" fillId="0" borderId="73" xfId="6" applyFont="1" applyBorder="1" applyAlignment="1" applyProtection="1">
      <alignment horizontal="center" vertical="center"/>
    </xf>
    <xf numFmtId="0" fontId="10" fillId="9" borderId="2" xfId="6" applyFont="1" applyFill="1" applyBorder="1" applyAlignment="1" applyProtection="1">
      <alignment horizontal="justify" vertical="center" indent="3"/>
    </xf>
    <xf numFmtId="0" fontId="16" fillId="0" borderId="31" xfId="6" applyFont="1" applyBorder="1" applyAlignment="1" applyProtection="1">
      <alignment horizontal="center" vertical="center" textRotation="255" wrapText="1"/>
    </xf>
    <xf numFmtId="0" fontId="16" fillId="0" borderId="17" xfId="6" applyFont="1" applyBorder="1" applyAlignment="1" applyProtection="1">
      <alignment horizontal="center" vertical="center" textRotation="255" wrapText="1"/>
    </xf>
    <xf numFmtId="0" fontId="16" fillId="0" borderId="155" xfId="6" applyFont="1" applyBorder="1" applyAlignment="1" applyProtection="1">
      <alignment horizontal="center" vertical="center" textRotation="255" wrapText="1"/>
    </xf>
    <xf numFmtId="0" fontId="16" fillId="0" borderId="20" xfId="6" applyFont="1" applyBorder="1" applyAlignment="1" applyProtection="1">
      <alignment horizontal="center" vertical="center" textRotation="255" wrapText="1"/>
    </xf>
    <xf numFmtId="0" fontId="16" fillId="0" borderId="154" xfId="6" applyFont="1" applyBorder="1" applyAlignment="1" applyProtection="1">
      <alignment horizontal="center" vertical="center" textRotation="255" wrapText="1"/>
    </xf>
    <xf numFmtId="0" fontId="16" fillId="0" borderId="19" xfId="6" applyFont="1" applyBorder="1" applyAlignment="1" applyProtection="1">
      <alignment horizontal="center" vertical="center" textRotation="255" wrapText="1"/>
    </xf>
    <xf numFmtId="0" fontId="16" fillId="0" borderId="15" xfId="6" applyFont="1" applyBorder="1" applyAlignment="1" applyProtection="1">
      <alignment horizontal="center" vertical="center" textRotation="255" wrapText="1"/>
    </xf>
    <xf numFmtId="0" fontId="0" fillId="0" borderId="139" xfId="6" applyFont="1" applyBorder="1" applyAlignment="1" applyProtection="1">
      <alignment horizontal="center" vertical="center" textRotation="255" wrapText="1"/>
    </xf>
    <xf numFmtId="0" fontId="16" fillId="0" borderId="139" xfId="6" applyFont="1" applyBorder="1" applyAlignment="1" applyProtection="1">
      <alignment horizontal="center" vertical="center" textRotation="255" wrapText="1"/>
    </xf>
    <xf numFmtId="0" fontId="16" fillId="0" borderId="140" xfId="6" applyFont="1" applyBorder="1" applyAlignment="1" applyProtection="1">
      <alignment horizontal="center" vertical="center" textRotation="255" wrapText="1"/>
    </xf>
    <xf numFmtId="0" fontId="0" fillId="0" borderId="138" xfId="6" applyFont="1" applyBorder="1" applyAlignment="1" applyProtection="1">
      <alignment horizontal="center" vertical="center" textRotation="255" wrapText="1"/>
    </xf>
    <xf numFmtId="0" fontId="16" fillId="0" borderId="4" xfId="6" applyFont="1" applyBorder="1" applyAlignment="1" applyProtection="1">
      <alignment horizontal="center" vertical="center"/>
    </xf>
    <xf numFmtId="0" fontId="16" fillId="0" borderId="22" xfId="6" applyFont="1" applyBorder="1" applyAlignment="1" applyProtection="1">
      <alignment horizontal="center" vertical="center"/>
    </xf>
    <xf numFmtId="0" fontId="16" fillId="0" borderId="8" xfId="6" applyFont="1" applyBorder="1" applyAlignment="1" applyProtection="1">
      <alignment horizontal="center" vertical="center" textRotation="255" wrapText="1"/>
    </xf>
    <xf numFmtId="0" fontId="16" fillId="0" borderId="157" xfId="6" applyFont="1" applyBorder="1" applyAlignment="1" applyProtection="1">
      <alignment horizontal="center" vertical="center" textRotation="255" wrapText="1"/>
    </xf>
    <xf numFmtId="0" fontId="10" fillId="9" borderId="2" xfId="6" applyFont="1" applyFill="1" applyBorder="1" applyAlignment="1" applyProtection="1">
      <alignment horizontal="center" vertical="center"/>
    </xf>
    <xf numFmtId="0" fontId="16" fillId="0" borderId="2" xfId="6" applyFont="1" applyBorder="1" applyAlignment="1" applyProtection="1">
      <alignment horizontal="center" vertical="center" textRotation="255"/>
    </xf>
    <xf numFmtId="0" fontId="16" fillId="0" borderId="190" xfId="6" applyFont="1" applyBorder="1" applyAlignment="1" applyProtection="1">
      <alignment horizontal="center" vertical="center" textRotation="255"/>
    </xf>
    <xf numFmtId="0" fontId="16" fillId="0" borderId="6" xfId="6" applyFont="1" applyBorder="1" applyAlignment="1" applyProtection="1">
      <alignment horizontal="justify" vertical="center" indent="1"/>
    </xf>
    <xf numFmtId="38" fontId="23" fillId="0" borderId="6" xfId="6" applyNumberFormat="1" applyFont="1" applyBorder="1" applyAlignment="1" applyProtection="1">
      <alignment vertical="center"/>
    </xf>
    <xf numFmtId="0" fontId="23" fillId="0" borderId="7" xfId="6" applyNumberFormat="1" applyFont="1" applyFill="1" applyBorder="1" applyAlignment="1" applyProtection="1">
      <alignment horizontal="left" vertical="center" shrinkToFit="1"/>
    </xf>
    <xf numFmtId="0" fontId="23" fillId="0" borderId="6" xfId="6" applyNumberFormat="1" applyFont="1" applyFill="1" applyBorder="1" applyAlignment="1" applyProtection="1">
      <alignment horizontal="left" vertical="center" shrinkToFit="1"/>
    </xf>
    <xf numFmtId="0" fontId="23" fillId="0" borderId="23" xfId="6" applyFont="1" applyBorder="1" applyAlignment="1" applyProtection="1">
      <alignment vertical="center" shrinkToFit="1"/>
    </xf>
    <xf numFmtId="0" fontId="23" fillId="0" borderId="24" xfId="6" applyFont="1" applyBorder="1" applyAlignment="1" applyProtection="1">
      <alignment vertical="center" shrinkToFit="1"/>
    </xf>
    <xf numFmtId="0" fontId="16" fillId="0" borderId="10" xfId="6" applyFont="1" applyBorder="1" applyAlignment="1" applyProtection="1">
      <alignment horizontal="justify" vertical="center" indent="1"/>
    </xf>
    <xf numFmtId="0" fontId="23" fillId="0" borderId="10" xfId="6" applyFont="1" applyBorder="1" applyAlignment="1" applyProtection="1">
      <alignment vertical="center" shrinkToFit="1"/>
    </xf>
    <xf numFmtId="0" fontId="16" fillId="0" borderId="12" xfId="6" applyFont="1" applyBorder="1" applyAlignment="1" applyProtection="1">
      <alignment horizontal="center" vertical="center"/>
    </xf>
    <xf numFmtId="0" fontId="16" fillId="0" borderId="68" xfId="6" applyFont="1" applyBorder="1" applyAlignment="1" applyProtection="1">
      <alignment horizontal="center" vertical="center"/>
    </xf>
    <xf numFmtId="0" fontId="23" fillId="0" borderId="12" xfId="6" applyFont="1" applyBorder="1" applyAlignment="1" applyProtection="1">
      <alignment vertical="center"/>
    </xf>
    <xf numFmtId="0" fontId="0" fillId="0" borderId="10" xfId="6" applyFont="1" applyBorder="1" applyAlignment="1" applyProtection="1">
      <alignment horizontal="justify" vertical="center" indent="1"/>
    </xf>
    <xf numFmtId="0" fontId="23" fillId="0" borderId="144" xfId="6" applyFont="1" applyBorder="1" applyAlignment="1" applyProtection="1">
      <alignment vertical="center" shrinkToFit="1"/>
    </xf>
    <xf numFmtId="0" fontId="23" fillId="0" borderId="63" xfId="6" applyFont="1" applyBorder="1" applyAlignment="1" applyProtection="1">
      <alignment vertical="center" shrinkToFit="1"/>
    </xf>
    <xf numFmtId="0" fontId="23" fillId="0" borderId="11" xfId="6" applyFont="1" applyBorder="1" applyAlignment="1" applyProtection="1">
      <alignment vertical="center" shrinkToFit="1"/>
    </xf>
    <xf numFmtId="202" fontId="4" fillId="0" borderId="9" xfId="0" applyNumberFormat="1" applyFont="1" applyFill="1" applyBorder="1" applyAlignment="1" applyProtection="1">
      <alignment vertical="center"/>
    </xf>
    <xf numFmtId="202" fontId="4" fillId="0" borderId="51" xfId="0" applyNumberFormat="1" applyFont="1" applyFill="1" applyBorder="1" applyAlignment="1" applyProtection="1">
      <alignment vertical="center"/>
    </xf>
    <xf numFmtId="202" fontId="4" fillId="0" borderId="151" xfId="0" applyNumberFormat="1" applyFont="1" applyFill="1" applyBorder="1" applyAlignment="1" applyProtection="1">
      <alignment vertical="center"/>
    </xf>
    <xf numFmtId="202" fontId="4" fillId="0" borderId="153" xfId="0" applyNumberFormat="1" applyFont="1" applyFill="1" applyBorder="1" applyAlignment="1" applyProtection="1">
      <alignment vertical="center"/>
    </xf>
    <xf numFmtId="183" fontId="4" fillId="0" borderId="52" xfId="0" applyNumberFormat="1" applyFont="1" applyBorder="1" applyAlignment="1" applyProtection="1">
      <alignment horizontal="center" vertical="center"/>
    </xf>
    <xf numFmtId="0" fontId="0" fillId="0" borderId="156" xfId="0" applyBorder="1" applyAlignment="1" applyProtection="1">
      <alignment horizontal="center" vertical="top"/>
    </xf>
    <xf numFmtId="0" fontId="0" fillId="0" borderId="55" xfId="0" applyBorder="1" applyProtection="1"/>
    <xf numFmtId="0" fontId="0" fillId="0" borderId="59" xfId="0" applyBorder="1" applyProtection="1"/>
    <xf numFmtId="0" fontId="4" fillId="0" borderId="3" xfId="0" applyFont="1" applyBorder="1" applyAlignment="1" applyProtection="1">
      <alignment horizontal="center" vertical="center"/>
    </xf>
    <xf numFmtId="183" fontId="4" fillId="0" borderId="77" xfId="0" applyNumberFormat="1" applyFont="1" applyBorder="1" applyAlignment="1" applyProtection="1">
      <alignment horizontal="center" vertical="center"/>
    </xf>
    <xf numFmtId="0" fontId="0" fillId="0" borderId="154" xfId="0" applyBorder="1" applyAlignment="1" applyProtection="1">
      <alignment horizontal="center"/>
    </xf>
    <xf numFmtId="0" fontId="0" fillId="0" borderId="155" xfId="0" applyBorder="1" applyProtection="1"/>
    <xf numFmtId="0" fontId="0" fillId="0" borderId="20" xfId="0" applyBorder="1" applyProtection="1"/>
    <xf numFmtId="0" fontId="4" fillId="0" borderId="2" xfId="0" applyFont="1" applyBorder="1" applyAlignment="1" applyProtection="1">
      <alignment horizontal="center" vertical="center"/>
    </xf>
    <xf numFmtId="183" fontId="4" fillId="0" borderId="54" xfId="0" applyNumberFormat="1" applyFont="1" applyBorder="1" applyAlignment="1" applyProtection="1">
      <alignment horizontal="center" vertical="center"/>
    </xf>
    <xf numFmtId="0" fontId="4" fillId="0" borderId="166" xfId="0" applyFont="1" applyBorder="1" applyAlignment="1" applyProtection="1">
      <alignment horizontal="center" vertical="center"/>
    </xf>
    <xf numFmtId="0" fontId="4" fillId="0" borderId="167" xfId="0" applyFont="1" applyBorder="1" applyAlignment="1" applyProtection="1">
      <alignment horizontal="center" vertical="center"/>
    </xf>
    <xf numFmtId="201" fontId="4" fillId="0" borderId="168" xfId="0" applyNumberFormat="1" applyFont="1" applyBorder="1" applyAlignment="1" applyProtection="1">
      <alignment horizontal="center"/>
    </xf>
    <xf numFmtId="201" fontId="4" fillId="0" borderId="136" xfId="0" applyNumberFormat="1" applyFont="1" applyBorder="1" applyAlignment="1" applyProtection="1">
      <alignment horizontal="center"/>
    </xf>
    <xf numFmtId="0" fontId="23" fillId="0" borderId="242" xfId="0" applyFont="1" applyBorder="1" applyAlignment="1" applyProtection="1">
      <alignment horizontal="center" vertical="center" wrapText="1" shrinkToFit="1"/>
    </xf>
    <xf numFmtId="0" fontId="23" fillId="0" borderId="243" xfId="0" applyFont="1" applyBorder="1" applyAlignment="1" applyProtection="1">
      <alignment horizontal="center" vertical="center" shrinkToFit="1"/>
    </xf>
    <xf numFmtId="0" fontId="4" fillId="0" borderId="77" xfId="0" applyFont="1" applyBorder="1" applyAlignment="1" applyProtection="1">
      <alignment horizontal="center" vertical="center"/>
    </xf>
    <xf numFmtId="0" fontId="23" fillId="0" borderId="128" xfId="0" applyFont="1" applyBorder="1" applyAlignment="1" applyProtection="1">
      <alignment horizontal="center" vertical="center" textRotation="255" shrinkToFit="1"/>
    </xf>
    <xf numFmtId="0" fontId="23" fillId="0" borderId="133" xfId="0" applyFont="1" applyBorder="1" applyAlignment="1" applyProtection="1">
      <alignment horizontal="center" vertical="center" textRotation="255" shrinkToFit="1"/>
    </xf>
    <xf numFmtId="0" fontId="23" fillId="0" borderId="170" xfId="0" applyFont="1" applyBorder="1" applyAlignment="1" applyProtection="1">
      <alignment horizontal="center" vertical="center" textRotation="255" shrinkToFit="1"/>
    </xf>
    <xf numFmtId="194" fontId="16" fillId="20" borderId="118" xfId="12" applyNumberFormat="1" applyFill="1" applyBorder="1" applyAlignment="1" applyProtection="1">
      <protection locked="0"/>
    </xf>
    <xf numFmtId="0" fontId="31" fillId="0" borderId="120" xfId="15" applyBorder="1" applyAlignment="1" applyProtection="1">
      <protection locked="0"/>
    </xf>
    <xf numFmtId="0" fontId="16" fillId="19" borderId="118" xfId="12" applyFill="1" applyBorder="1" applyAlignment="1" applyProtection="1">
      <alignment horizontal="center"/>
    </xf>
    <xf numFmtId="0" fontId="16" fillId="0" borderId="119" xfId="14" applyBorder="1" applyAlignment="1">
      <alignment horizontal="center"/>
    </xf>
    <xf numFmtId="0" fontId="31" fillId="0" borderId="120" xfId="15" applyBorder="1" applyAlignment="1"/>
    <xf numFmtId="0" fontId="0" fillId="20" borderId="118" xfId="12" applyFont="1" applyFill="1" applyBorder="1" applyAlignment="1" applyProtection="1">
      <protection locked="0"/>
    </xf>
    <xf numFmtId="0" fontId="16" fillId="0" borderId="119" xfId="14" applyBorder="1" applyAlignment="1" applyProtection="1">
      <protection locked="0"/>
    </xf>
    <xf numFmtId="0" fontId="16" fillId="20" borderId="118" xfId="12" applyFont="1" applyFill="1" applyBorder="1" applyAlignment="1" applyProtection="1">
      <protection locked="0"/>
    </xf>
    <xf numFmtId="0" fontId="16" fillId="0" borderId="121" xfId="12" applyFont="1" applyBorder="1" applyAlignment="1">
      <alignment vertical="top"/>
    </xf>
    <xf numFmtId="0" fontId="16" fillId="0" borderId="122" xfId="12" applyFont="1" applyBorder="1" applyAlignment="1">
      <alignment vertical="top"/>
    </xf>
    <xf numFmtId="0" fontId="31" fillId="0" borderId="123" xfId="15" applyBorder="1" applyAlignment="1">
      <alignment vertical="center"/>
    </xf>
    <xf numFmtId="0" fontId="0" fillId="20" borderId="121" xfId="12" applyFont="1" applyFill="1" applyBorder="1" applyAlignment="1" applyProtection="1">
      <alignment vertical="top" wrapText="1"/>
      <protection locked="0"/>
    </xf>
    <xf numFmtId="0" fontId="16" fillId="20" borderId="121" xfId="12" applyFont="1" applyFill="1" applyBorder="1" applyAlignment="1" applyProtection="1">
      <alignment vertical="top" wrapText="1"/>
      <protection locked="0"/>
    </xf>
    <xf numFmtId="0" fontId="31" fillId="0" borderId="121" xfId="15" applyBorder="1" applyAlignment="1" applyProtection="1">
      <alignment vertical="center" wrapText="1"/>
      <protection locked="0"/>
    </xf>
    <xf numFmtId="0" fontId="16" fillId="20" borderId="122" xfId="12" applyFont="1" applyFill="1" applyBorder="1" applyAlignment="1" applyProtection="1">
      <alignment vertical="top" wrapText="1"/>
      <protection locked="0"/>
    </xf>
    <xf numFmtId="0" fontId="31" fillId="0" borderId="122" xfId="15" applyBorder="1" applyAlignment="1" applyProtection="1">
      <alignment vertical="center" wrapText="1"/>
      <protection locked="0"/>
    </xf>
    <xf numFmtId="0" fontId="31" fillId="0" borderId="123" xfId="15" applyBorder="1" applyAlignment="1" applyProtection="1">
      <alignment vertical="center" wrapText="1"/>
      <protection locked="0"/>
    </xf>
    <xf numFmtId="0" fontId="3" fillId="20" borderId="118" xfId="12" applyFont="1" applyFill="1" applyBorder="1" applyAlignment="1" applyProtection="1">
      <protection locked="0"/>
    </xf>
    <xf numFmtId="0" fontId="16" fillId="20" borderId="118" xfId="12" applyFill="1" applyBorder="1" applyAlignment="1" applyProtection="1">
      <protection locked="0"/>
    </xf>
    <xf numFmtId="0" fontId="23" fillId="0" borderId="0" xfId="0" applyFont="1" applyBorder="1" applyAlignment="1" applyProtection="1">
      <alignment vertical="center"/>
    </xf>
    <xf numFmtId="0" fontId="23" fillId="0" borderId="18" xfId="0" applyFont="1" applyBorder="1" applyAlignment="1" applyProtection="1">
      <alignment vertical="center"/>
    </xf>
    <xf numFmtId="0" fontId="23" fillId="2" borderId="9" xfId="7" applyFont="1" applyFill="1" applyBorder="1" applyAlignment="1" applyProtection="1">
      <alignment vertical="center"/>
      <protection locked="0"/>
    </xf>
    <xf numFmtId="0" fontId="23" fillId="2" borderId="11" xfId="7" applyFont="1" applyFill="1" applyBorder="1" applyAlignment="1" applyProtection="1">
      <alignment vertical="center"/>
      <protection locked="0"/>
    </xf>
    <xf numFmtId="0" fontId="23" fillId="0" borderId="13" xfId="7" applyFont="1" applyBorder="1" applyAlignment="1" applyProtection="1">
      <alignment horizontal="center" vertical="center"/>
    </xf>
    <xf numFmtId="0" fontId="23" fillId="0" borderId="14" xfId="7" applyFont="1" applyBorder="1" applyAlignment="1" applyProtection="1">
      <alignment horizontal="center" vertical="center"/>
    </xf>
    <xf numFmtId="0" fontId="23" fillId="0" borderId="13" xfId="0" applyFont="1" applyBorder="1" applyAlignment="1" applyProtection="1">
      <alignment horizontal="center" vertical="center" textRotation="255"/>
    </xf>
    <xf numFmtId="0" fontId="23" fillId="0" borderId="14" xfId="0" applyFont="1" applyBorder="1" applyAlignment="1" applyProtection="1">
      <alignment horizontal="center" vertical="center" textRotation="255"/>
    </xf>
    <xf numFmtId="0" fontId="23" fillId="2" borderId="151" xfId="7" applyFont="1" applyFill="1" applyBorder="1" applyAlignment="1" applyProtection="1">
      <alignment vertical="center"/>
      <protection locked="0"/>
    </xf>
    <xf numFmtId="0" fontId="23" fillId="2" borderId="152" xfId="7" applyFont="1" applyFill="1" applyBorder="1" applyAlignment="1" applyProtection="1">
      <alignment vertical="center"/>
      <protection locked="0"/>
    </xf>
    <xf numFmtId="0" fontId="23" fillId="0" borderId="8" xfId="0" applyFont="1" applyBorder="1" applyAlignment="1" applyProtection="1">
      <alignment vertical="center" textRotation="255"/>
    </xf>
    <xf numFmtId="0" fontId="23" fillId="0" borderId="19" xfId="0" applyFont="1" applyBorder="1" applyAlignment="1" applyProtection="1">
      <alignment vertical="center" textRotation="255"/>
    </xf>
    <xf numFmtId="0" fontId="23" fillId="0" borderId="157" xfId="0" applyFont="1" applyBorder="1" applyAlignment="1" applyProtection="1">
      <alignment vertical="center" textRotation="255"/>
    </xf>
    <xf numFmtId="0" fontId="23" fillId="0" borderId="15" xfId="0" applyFont="1" applyBorder="1" applyAlignment="1" applyProtection="1">
      <alignment vertical="center" textRotation="255"/>
    </xf>
    <xf numFmtId="0" fontId="23" fillId="0" borderId="2" xfId="7" applyFont="1" applyBorder="1" applyAlignment="1" applyProtection="1">
      <alignment vertical="center" textRotation="255" wrapText="1"/>
    </xf>
    <xf numFmtId="0" fontId="23" fillId="2" borderId="6" xfId="7" applyFont="1" applyFill="1" applyBorder="1" applyAlignment="1" applyProtection="1">
      <alignment vertical="center"/>
      <protection locked="0"/>
    </xf>
    <xf numFmtId="0" fontId="23" fillId="2" borderId="10" xfId="0" applyFont="1" applyFill="1" applyBorder="1" applyAlignment="1" applyProtection="1">
      <alignment vertical="center"/>
      <protection locked="0"/>
    </xf>
    <xf numFmtId="0" fontId="23" fillId="9" borderId="2" xfId="7" applyFont="1" applyFill="1" applyBorder="1" applyAlignment="1" applyProtection="1">
      <alignment horizontal="center" vertical="top" textRotation="255" wrapText="1"/>
    </xf>
    <xf numFmtId="0" fontId="23" fillId="9" borderId="8" xfId="7" applyFont="1" applyFill="1" applyBorder="1" applyAlignment="1" applyProtection="1">
      <alignment horizontal="center" wrapText="1"/>
    </xf>
    <xf numFmtId="0" fontId="23" fillId="9" borderId="3" xfId="7" applyFont="1" applyFill="1" applyBorder="1" applyAlignment="1" applyProtection="1">
      <alignment horizontal="center" wrapText="1"/>
    </xf>
    <xf numFmtId="0" fontId="23" fillId="6" borderId="30" xfId="0" applyFont="1" applyFill="1" applyBorder="1" applyProtection="1"/>
    <xf numFmtId="0" fontId="23" fillId="6" borderId="4" xfId="0" applyFont="1" applyFill="1" applyBorder="1" applyProtection="1"/>
    <xf numFmtId="0" fontId="30" fillId="10" borderId="2" xfId="7" applyFont="1" applyFill="1" applyBorder="1" applyAlignment="1" applyProtection="1">
      <alignment horizontal="center" vertical="center" textRotation="255" wrapText="1"/>
    </xf>
    <xf numFmtId="0" fontId="23" fillId="9" borderId="2" xfId="7" applyFont="1" applyFill="1" applyBorder="1" applyAlignment="1" applyProtection="1">
      <alignment horizontal="center" vertical="center"/>
    </xf>
    <xf numFmtId="0" fontId="10" fillId="0" borderId="21" xfId="7" applyNumberFormat="1" applyFont="1" applyFill="1" applyBorder="1" applyAlignment="1" applyProtection="1">
      <alignment horizontal="right" shrinkToFit="1"/>
    </xf>
    <xf numFmtId="0" fontId="23" fillId="9" borderId="2" xfId="7" applyFont="1" applyFill="1" applyBorder="1" applyAlignment="1" applyProtection="1">
      <alignment horizontal="center" vertical="center" textRotation="255"/>
    </xf>
    <xf numFmtId="0" fontId="0" fillId="3" borderId="78" xfId="0" applyFont="1" applyFill="1" applyBorder="1" applyAlignment="1" applyProtection="1">
      <alignment horizontal="center" vertical="center" wrapText="1"/>
    </xf>
    <xf numFmtId="0" fontId="0" fillId="3" borderId="79" xfId="0" applyFont="1" applyFill="1" applyBorder="1" applyAlignment="1" applyProtection="1">
      <alignment horizontal="center" vertical="center" wrapText="1"/>
    </xf>
    <xf numFmtId="0" fontId="0" fillId="7" borderId="79" xfId="0" applyFont="1" applyFill="1" applyBorder="1" applyAlignment="1" applyProtection="1">
      <alignment horizontal="center" vertical="center" wrapText="1"/>
    </xf>
    <xf numFmtId="0" fontId="0" fillId="2" borderId="79" xfId="0" applyFill="1" applyBorder="1" applyAlignment="1" applyProtection="1">
      <alignment horizontal="center" vertical="center" wrapText="1"/>
    </xf>
    <xf numFmtId="0" fontId="0" fillId="2" borderId="79" xfId="0" applyFont="1" applyFill="1" applyBorder="1" applyAlignment="1" applyProtection="1">
      <alignment horizontal="center" vertical="center" wrapText="1"/>
    </xf>
    <xf numFmtId="0" fontId="0" fillId="2" borderId="37" xfId="0" applyFont="1" applyFill="1" applyBorder="1" applyAlignment="1" applyProtection="1">
      <alignment horizontal="center" vertical="center" shrinkToFit="1"/>
    </xf>
    <xf numFmtId="0" fontId="0" fillId="0" borderId="3" xfId="0" applyBorder="1" applyAlignment="1" applyProtection="1">
      <alignment horizontal="center" vertical="center" wrapText="1"/>
    </xf>
    <xf numFmtId="0" fontId="0" fillId="0" borderId="4" xfId="0" applyBorder="1" applyAlignment="1" applyProtection="1">
      <alignment horizontal="center" vertical="center" wrapText="1"/>
    </xf>
    <xf numFmtId="0" fontId="0" fillId="0" borderId="4" xfId="0" applyFont="1" applyBorder="1" applyAlignment="1" applyProtection="1">
      <alignment horizontal="center" vertical="center" wrapText="1"/>
    </xf>
    <xf numFmtId="40" fontId="0" fillId="0" borderId="8" xfId="2" applyNumberFormat="1" applyFont="1" applyFill="1" applyBorder="1" applyAlignment="1" applyProtection="1">
      <alignment horizontal="center" vertical="center" wrapText="1"/>
    </xf>
    <xf numFmtId="40" fontId="0" fillId="0" borderId="74" xfId="2" applyNumberFormat="1" applyFont="1" applyFill="1" applyBorder="1" applyAlignment="1" applyProtection="1">
      <alignment horizontal="center" vertical="center" wrapText="1"/>
    </xf>
    <xf numFmtId="0" fontId="0" fillId="7" borderId="8" xfId="0" applyFont="1" applyFill="1" applyBorder="1" applyAlignment="1" applyProtection="1">
      <alignment horizontal="center" vertical="center" wrapText="1"/>
    </xf>
    <xf numFmtId="0" fontId="0" fillId="0" borderId="74" xfId="0" applyBorder="1" applyProtection="1"/>
    <xf numFmtId="179" fontId="0" fillId="2" borderId="219" xfId="2" applyNumberFormat="1" applyFont="1" applyFill="1" applyBorder="1" applyAlignment="1" applyProtection="1">
      <alignment horizontal="center" vertical="center" wrapText="1"/>
    </xf>
    <xf numFmtId="179" fontId="0" fillId="2" borderId="74" xfId="2" applyNumberFormat="1" applyFont="1" applyFill="1" applyBorder="1" applyAlignment="1" applyProtection="1">
      <alignment horizontal="center" vertical="center" wrapText="1"/>
    </xf>
    <xf numFmtId="179" fontId="0" fillId="2" borderId="8" xfId="2" applyNumberFormat="1" applyFont="1" applyFill="1" applyBorder="1" applyAlignment="1" applyProtection="1">
      <alignment horizontal="center" vertical="center" wrapText="1"/>
    </xf>
    <xf numFmtId="40" fontId="0" fillId="0" borderId="83" xfId="2" applyNumberFormat="1" applyFont="1" applyFill="1" applyBorder="1" applyAlignment="1" applyProtection="1">
      <alignment horizontal="center" vertical="center" wrapText="1"/>
    </xf>
    <xf numFmtId="40" fontId="0" fillId="0" borderId="70" xfId="2" applyNumberFormat="1" applyFont="1" applyFill="1" applyBorder="1" applyAlignment="1" applyProtection="1">
      <alignment horizontal="center" vertical="center" wrapText="1"/>
    </xf>
    <xf numFmtId="0" fontId="0" fillId="0" borderId="67" xfId="0" applyBorder="1" applyAlignment="1" applyProtection="1">
      <alignment horizontal="center" vertical="center" wrapText="1"/>
    </xf>
    <xf numFmtId="0" fontId="0" fillId="0" borderId="67" xfId="0" applyFont="1" applyBorder="1" applyAlignment="1" applyProtection="1">
      <alignment horizontal="center" vertical="center" wrapText="1"/>
    </xf>
    <xf numFmtId="0" fontId="0" fillId="0" borderId="66" xfId="0" applyFont="1" applyBorder="1" applyAlignment="1" applyProtection="1">
      <alignment horizontal="center" vertical="center" wrapText="1"/>
    </xf>
    <xf numFmtId="197" fontId="0" fillId="0" borderId="213" xfId="0" applyNumberFormat="1" applyBorder="1" applyAlignment="1">
      <alignment horizontal="center" vertical="center" wrapText="1"/>
    </xf>
    <xf numFmtId="197" fontId="0" fillId="0" borderId="217" xfId="0" applyNumberFormat="1" applyFont="1" applyBorder="1" applyAlignment="1">
      <alignment horizontal="center" vertical="center"/>
    </xf>
    <xf numFmtId="197" fontId="22" fillId="0" borderId="210" xfId="0" applyNumberFormat="1" applyFont="1" applyBorder="1" applyAlignment="1">
      <alignment horizontal="center" vertical="center"/>
    </xf>
    <xf numFmtId="197" fontId="22" fillId="0" borderId="211" xfId="0" applyNumberFormat="1" applyFont="1" applyBorder="1" applyAlignment="1">
      <alignment horizontal="center" vertical="center"/>
    </xf>
    <xf numFmtId="197" fontId="22" fillId="0" borderId="212" xfId="0" applyNumberFormat="1" applyFont="1" applyBorder="1" applyAlignment="1">
      <alignment horizontal="center" vertical="center"/>
    </xf>
    <xf numFmtId="197" fontId="0" fillId="0" borderId="214" xfId="0" applyNumberFormat="1" applyBorder="1" applyAlignment="1">
      <alignment horizontal="center" vertical="center" wrapText="1"/>
    </xf>
    <xf numFmtId="197" fontId="0" fillId="0" borderId="131" xfId="0" applyNumberFormat="1" applyFont="1" applyBorder="1" applyAlignment="1">
      <alignment horizontal="center" vertical="center"/>
    </xf>
    <xf numFmtId="197" fontId="0" fillId="0" borderId="213" xfId="0" applyNumberFormat="1" applyBorder="1" applyAlignment="1">
      <alignment horizontal="center" vertical="center"/>
    </xf>
    <xf numFmtId="197" fontId="0" fillId="0" borderId="245" xfId="0" applyNumberFormat="1" applyFont="1" applyBorder="1" applyAlignment="1">
      <alignment horizontal="center" vertical="center"/>
    </xf>
    <xf numFmtId="0" fontId="9" fillId="25" borderId="84" xfId="3" applyFont="1" applyFill="1" applyBorder="1" applyAlignment="1" applyProtection="1">
      <alignment horizontal="center" vertical="center" textRotation="255" wrapText="1"/>
    </xf>
    <xf numFmtId="0" fontId="9" fillId="25" borderId="91" xfId="3" applyFont="1" applyFill="1" applyBorder="1" applyAlignment="1" applyProtection="1">
      <alignment horizontal="center" vertical="center" textRotation="255"/>
    </xf>
    <xf numFmtId="0" fontId="9" fillId="25" borderId="93" xfId="3" applyFont="1" applyFill="1" applyBorder="1" applyAlignment="1" applyProtection="1">
      <alignment horizontal="center" vertical="center" textRotation="255"/>
    </xf>
    <xf numFmtId="0" fontId="23" fillId="25" borderId="111" xfId="3" applyFont="1" applyFill="1" applyBorder="1" applyAlignment="1" applyProtection="1">
      <alignment horizontal="center" vertical="center" textRotation="255"/>
    </xf>
    <xf numFmtId="0" fontId="23" fillId="25" borderId="112" xfId="3" applyFont="1" applyFill="1" applyBorder="1" applyAlignment="1" applyProtection="1">
      <alignment horizontal="center" vertical="center" textRotation="255"/>
    </xf>
    <xf numFmtId="0" fontId="23" fillId="25" borderId="179" xfId="3" applyFont="1" applyFill="1" applyBorder="1" applyAlignment="1" applyProtection="1">
      <alignment horizontal="center" vertical="center" textRotation="255"/>
    </xf>
    <xf numFmtId="0" fontId="23" fillId="25" borderId="84" xfId="3" applyFont="1" applyFill="1" applyBorder="1" applyAlignment="1" applyProtection="1">
      <alignment horizontal="center" vertical="center" textRotation="255"/>
    </xf>
    <xf numFmtId="0" fontId="23" fillId="25" borderId="91" xfId="3" applyFont="1" applyFill="1" applyBorder="1" applyAlignment="1" applyProtection="1">
      <alignment horizontal="center" vertical="center" textRotation="255"/>
    </xf>
    <xf numFmtId="0" fontId="23" fillId="25" borderId="93" xfId="3" applyFont="1" applyFill="1" applyBorder="1" applyAlignment="1" applyProtection="1">
      <alignment horizontal="center" vertical="center" textRotation="255"/>
    </xf>
    <xf numFmtId="0" fontId="23" fillId="25" borderId="208" xfId="3" applyFont="1" applyFill="1" applyBorder="1" applyAlignment="1" applyProtection="1">
      <alignment horizontal="center" vertical="center" textRotation="255"/>
    </xf>
    <xf numFmtId="0" fontId="23" fillId="25" borderId="133" xfId="3" applyFont="1" applyFill="1" applyBorder="1" applyAlignment="1" applyProtection="1">
      <alignment horizontal="center" vertical="center" textRotation="255"/>
    </xf>
    <xf numFmtId="0" fontId="23" fillId="25" borderId="209" xfId="3" applyFont="1" applyFill="1" applyBorder="1" applyAlignment="1" applyProtection="1">
      <alignment horizontal="center" vertical="center" textRotation="255"/>
    </xf>
    <xf numFmtId="0" fontId="23" fillId="25" borderId="84" xfId="3" applyFont="1" applyFill="1" applyBorder="1" applyAlignment="1" applyProtection="1">
      <alignment horizontal="center" vertical="center" textRotation="255" wrapText="1"/>
    </xf>
    <xf numFmtId="0" fontId="9" fillId="25" borderId="207" xfId="3" applyFont="1" applyFill="1" applyBorder="1" applyAlignment="1" applyProtection="1">
      <alignment horizontal="center" vertical="center" textRotation="255" wrapText="1"/>
    </xf>
    <xf numFmtId="0" fontId="26" fillId="0" borderId="0" xfId="3" applyNumberFormat="1" applyFont="1" applyBorder="1" applyAlignment="1" applyProtection="1">
      <alignment horizontal="center"/>
    </xf>
    <xf numFmtId="0" fontId="23" fillId="25" borderId="207" xfId="3" applyFont="1" applyFill="1" applyBorder="1" applyAlignment="1" applyProtection="1">
      <alignment horizontal="center" vertical="center" textRotation="255"/>
    </xf>
    <xf numFmtId="0" fontId="0" fillId="0" borderId="0" xfId="0" applyAlignment="1">
      <alignment horizontal="left"/>
    </xf>
    <xf numFmtId="0" fontId="0" fillId="0" borderId="0" xfId="0" applyAlignment="1">
      <alignment horizontal="left" vertical="center" wrapText="1"/>
    </xf>
    <xf numFmtId="0" fontId="21" fillId="0" borderId="0" xfId="0" applyFont="1" applyAlignment="1">
      <alignment horizontal="left"/>
    </xf>
  </cellXfs>
  <cellStyles count="30">
    <cellStyle name="パーセント" xfId="1" builtinId="5"/>
    <cellStyle name="パーセント 2" xfId="10"/>
    <cellStyle name="桁区切り" xfId="2" builtinId="6"/>
    <cellStyle name="桁区切り 2" xfId="11"/>
    <cellStyle name="桁区切り 2 2" xfId="16"/>
    <cellStyle name="桁区切り 2 3" xfId="17"/>
    <cellStyle name="桁区切り 3" xfId="18"/>
    <cellStyle name="標準" xfId="0" builtinId="0"/>
    <cellStyle name="標準 10" xfId="19"/>
    <cellStyle name="標準 11" xfId="20"/>
    <cellStyle name="標準 2" xfId="8"/>
    <cellStyle name="標準 2 2" xfId="21"/>
    <cellStyle name="標準 2 3" xfId="22"/>
    <cellStyle name="標準 3" xfId="9"/>
    <cellStyle name="標準 4" xfId="23"/>
    <cellStyle name="標準 5" xfId="24"/>
    <cellStyle name="標準 6" xfId="25"/>
    <cellStyle name="標準 7" xfId="26"/>
    <cellStyle name="標準 8" xfId="27"/>
    <cellStyle name="標準 8 2" xfId="15"/>
    <cellStyle name="標準 9" xfId="28"/>
    <cellStyle name="標準_4.物財費" xfId="3"/>
    <cellStyle name="標準_Bfm" xfId="13"/>
    <cellStyle name="標準_BFM_1_Bfm_1 2" xfId="12"/>
    <cellStyle name="標準_Sheet1" xfId="4"/>
    <cellStyle name="標準_Sheet3" xfId="5"/>
    <cellStyle name="標準_経済性" xfId="6"/>
    <cellStyle name="標準_指標編集・営農条件シート_修正案_Bfm 2" xfId="14"/>
    <cellStyle name="標準_施設機械装備" xfId="7"/>
    <cellStyle name="未定義" xfId="29"/>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0"/>
      <rgbColor rgb="00CCFFFF"/>
      <rgbColor rgb="00660066"/>
      <rgbColor rgb="00FF8080"/>
      <rgbColor rgb="000066CC"/>
      <rgbColor rgb="00E3E3E3"/>
      <rgbColor rgb="00000080"/>
      <rgbColor rgb="00FF00FF"/>
      <rgbColor rgb="00FFFF00"/>
      <rgbColor rgb="0000FFFF"/>
      <rgbColor rgb="00800080"/>
      <rgbColor rgb="00800000"/>
      <rgbColor rgb="00008080"/>
      <rgbColor rgb="000000FF"/>
      <rgbColor rgb="0000CCFF"/>
      <rgbColor rgb="00CCFFFF"/>
      <rgbColor rgb="00CCFFCC"/>
      <rgbColor rgb="00FFFF99"/>
      <rgbColor rgb="0069FF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CCFFCC"/>
      <color rgb="FF99FF66"/>
      <color rgb="FFCCFF99"/>
      <color rgb="FF99FF99"/>
      <color rgb="FF99FFCC"/>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9525</xdr:colOff>
      <xdr:row>2</xdr:row>
      <xdr:rowOff>133350</xdr:rowOff>
    </xdr:from>
    <xdr:to>
      <xdr:col>3</xdr:col>
      <xdr:colOff>9525</xdr:colOff>
      <xdr:row>8</xdr:row>
      <xdr:rowOff>0</xdr:rowOff>
    </xdr:to>
    <xdr:sp macro="" textlink="">
      <xdr:nvSpPr>
        <xdr:cNvPr id="5235" name="Line 3"/>
        <xdr:cNvSpPr>
          <a:spLocks noChangeShapeType="1"/>
        </xdr:cNvSpPr>
      </xdr:nvSpPr>
      <xdr:spPr bwMode="auto">
        <a:xfrm>
          <a:off x="209550" y="504825"/>
          <a:ext cx="1485900" cy="800100"/>
        </a:xfrm>
        <a:prstGeom prst="line">
          <a:avLst/>
        </a:prstGeom>
        <a:noFill/>
        <a:ln w="9360">
          <a:solidFill>
            <a:srgbClr val="000000"/>
          </a:solidFill>
          <a:miter lim="800000"/>
          <a:headEnd/>
          <a:tailEnd/>
        </a:ln>
      </xdr:spPr>
    </xdr:sp>
    <xdr:clientData/>
  </xdr:twoCellAnchor>
  <xdr:twoCellAnchor>
    <xdr:from>
      <xdr:col>32</xdr:col>
      <xdr:colOff>28575</xdr:colOff>
      <xdr:row>38</xdr:row>
      <xdr:rowOff>38099</xdr:rowOff>
    </xdr:from>
    <xdr:to>
      <xdr:col>36</xdr:col>
      <xdr:colOff>457200</xdr:colOff>
      <xdr:row>50</xdr:row>
      <xdr:rowOff>76200</xdr:rowOff>
    </xdr:to>
    <xdr:sp macro="" textlink="">
      <xdr:nvSpPr>
        <xdr:cNvPr id="4" name="テキスト ボックス 3"/>
        <xdr:cNvSpPr txBox="1"/>
      </xdr:nvSpPr>
      <xdr:spPr>
        <a:xfrm>
          <a:off x="15897225" y="7667624"/>
          <a:ext cx="2333625" cy="22860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100"/>
            <a:t>○経産牛導入</a:t>
          </a:r>
          <a:endParaRPr kumimoji="1" lang="en-US" altLang="ja-JP" sz="1100"/>
        </a:p>
        <a:p>
          <a:r>
            <a:rPr kumimoji="1" lang="en-US" altLang="ja-JP" sz="1100"/>
            <a:t>…</a:t>
          </a:r>
          <a:r>
            <a:rPr kumimoji="1" lang="ja-JP" altLang="en-US" sz="1100"/>
            <a:t>放牧馴致期間</a:t>
          </a:r>
          <a:endParaRPr kumimoji="1" lang="en-US" altLang="ja-JP" sz="1100"/>
        </a:p>
        <a:p>
          <a:r>
            <a:rPr kumimoji="1" lang="en-US" altLang="ja-JP" sz="1100"/>
            <a:t>―</a:t>
          </a:r>
          <a:r>
            <a:rPr kumimoji="1" lang="ja-JP" altLang="en-US" sz="1100"/>
            <a:t>放牧期間</a:t>
          </a:r>
        </a:p>
        <a:p>
          <a:r>
            <a:rPr kumimoji="1" lang="ja-JP" altLang="en-US" sz="1100"/>
            <a:t>◎入牧</a:t>
          </a:r>
        </a:p>
        <a:p>
          <a:r>
            <a:rPr kumimoji="1" lang="ja-JP" altLang="en-US" sz="1100"/>
            <a:t>◇転牧</a:t>
          </a:r>
        </a:p>
        <a:p>
          <a:r>
            <a:rPr kumimoji="1" lang="ja-JP" altLang="en-US" sz="1100"/>
            <a:t>◆退牧・出荷</a:t>
          </a:r>
        </a:p>
        <a:p>
          <a:endParaRPr kumimoji="1" lang="ja-JP" altLang="en-US" sz="1100"/>
        </a:p>
        <a:p>
          <a:r>
            <a:rPr kumimoji="1" lang="ja-JP" altLang="en-US" sz="1100"/>
            <a:t>∩下草刈り</a:t>
          </a:r>
        </a:p>
        <a:p>
          <a:r>
            <a:rPr kumimoji="1" lang="ja-JP" altLang="en-US" sz="1100"/>
            <a:t>≠施設設置</a:t>
          </a:r>
        </a:p>
        <a:p>
          <a:r>
            <a:rPr kumimoji="1" lang="ja-JP" altLang="en-US" sz="1100"/>
            <a:t>☆放牧管理</a:t>
          </a:r>
        </a:p>
        <a:p>
          <a:r>
            <a:rPr kumimoji="1" lang="ja-JP" altLang="en-US" sz="1100"/>
            <a:t>△化粧刈</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361949</xdr:colOff>
      <xdr:row>21</xdr:row>
      <xdr:rowOff>104775</xdr:rowOff>
    </xdr:from>
    <xdr:to>
      <xdr:col>3</xdr:col>
      <xdr:colOff>676275</xdr:colOff>
      <xdr:row>22</xdr:row>
      <xdr:rowOff>158165</xdr:rowOff>
    </xdr:to>
    <xdr:sp macro="" textlink="">
      <xdr:nvSpPr>
        <xdr:cNvPr id="2" name="フリーフォーム 1"/>
        <xdr:cNvSpPr/>
      </xdr:nvSpPr>
      <xdr:spPr bwMode="auto">
        <a:xfrm flipH="1">
          <a:off x="1990724" y="3200400"/>
          <a:ext cx="314326" cy="224840"/>
        </a:xfrm>
        <a:custGeom>
          <a:avLst/>
          <a:gdLst>
            <a:gd name="connsiteX0" fmla="*/ 4531360 w 9579686"/>
            <a:gd name="connsiteY0" fmla="*/ 711200 h 6177280"/>
            <a:gd name="connsiteX1" fmla="*/ 2722880 w 9579686"/>
            <a:gd name="connsiteY1" fmla="*/ 711200 h 6177280"/>
            <a:gd name="connsiteX2" fmla="*/ 2661920 w 9579686"/>
            <a:gd name="connsiteY2" fmla="*/ 690880 h 6177280"/>
            <a:gd name="connsiteX3" fmla="*/ 2540000 w 9579686"/>
            <a:gd name="connsiteY3" fmla="*/ 670560 h 6177280"/>
            <a:gd name="connsiteX4" fmla="*/ 2479040 w 9579686"/>
            <a:gd name="connsiteY4" fmla="*/ 650240 h 6177280"/>
            <a:gd name="connsiteX5" fmla="*/ 2316480 w 9579686"/>
            <a:gd name="connsiteY5" fmla="*/ 629920 h 6177280"/>
            <a:gd name="connsiteX6" fmla="*/ 2113280 w 9579686"/>
            <a:gd name="connsiteY6" fmla="*/ 589280 h 6177280"/>
            <a:gd name="connsiteX7" fmla="*/ 1341120 w 9579686"/>
            <a:gd name="connsiteY7" fmla="*/ 548640 h 6177280"/>
            <a:gd name="connsiteX8" fmla="*/ 1076960 w 9579686"/>
            <a:gd name="connsiteY8" fmla="*/ 568960 h 6177280"/>
            <a:gd name="connsiteX9" fmla="*/ 1016000 w 9579686"/>
            <a:gd name="connsiteY9" fmla="*/ 609600 h 6177280"/>
            <a:gd name="connsiteX10" fmla="*/ 955040 w 9579686"/>
            <a:gd name="connsiteY10" fmla="*/ 629920 h 6177280"/>
            <a:gd name="connsiteX11" fmla="*/ 833120 w 9579686"/>
            <a:gd name="connsiteY11" fmla="*/ 711200 h 6177280"/>
            <a:gd name="connsiteX12" fmla="*/ 711200 w 9579686"/>
            <a:gd name="connsiteY12" fmla="*/ 792480 h 6177280"/>
            <a:gd name="connsiteX13" fmla="*/ 650240 w 9579686"/>
            <a:gd name="connsiteY13" fmla="*/ 833120 h 6177280"/>
            <a:gd name="connsiteX14" fmla="*/ 548640 w 9579686"/>
            <a:gd name="connsiteY14" fmla="*/ 914400 h 6177280"/>
            <a:gd name="connsiteX15" fmla="*/ 487680 w 9579686"/>
            <a:gd name="connsiteY15" fmla="*/ 975360 h 6177280"/>
            <a:gd name="connsiteX16" fmla="*/ 426720 w 9579686"/>
            <a:gd name="connsiteY16" fmla="*/ 1016000 h 6177280"/>
            <a:gd name="connsiteX17" fmla="*/ 365760 w 9579686"/>
            <a:gd name="connsiteY17" fmla="*/ 1158240 h 6177280"/>
            <a:gd name="connsiteX18" fmla="*/ 325120 w 9579686"/>
            <a:gd name="connsiteY18" fmla="*/ 1219200 h 6177280"/>
            <a:gd name="connsiteX19" fmla="*/ 264160 w 9579686"/>
            <a:gd name="connsiteY19" fmla="*/ 1341120 h 6177280"/>
            <a:gd name="connsiteX20" fmla="*/ 203200 w 9579686"/>
            <a:gd name="connsiteY20" fmla="*/ 1483360 h 6177280"/>
            <a:gd name="connsiteX21" fmla="*/ 162560 w 9579686"/>
            <a:gd name="connsiteY21" fmla="*/ 1605280 h 6177280"/>
            <a:gd name="connsiteX22" fmla="*/ 182880 w 9579686"/>
            <a:gd name="connsiteY22" fmla="*/ 1849120 h 6177280"/>
            <a:gd name="connsiteX23" fmla="*/ 203200 w 9579686"/>
            <a:gd name="connsiteY23" fmla="*/ 1930400 h 6177280"/>
            <a:gd name="connsiteX24" fmla="*/ 223520 w 9579686"/>
            <a:gd name="connsiteY24" fmla="*/ 2052320 h 6177280"/>
            <a:gd name="connsiteX25" fmla="*/ 243840 w 9579686"/>
            <a:gd name="connsiteY25" fmla="*/ 2153920 h 6177280"/>
            <a:gd name="connsiteX26" fmla="*/ 243840 w 9579686"/>
            <a:gd name="connsiteY26" fmla="*/ 2824480 h 6177280"/>
            <a:gd name="connsiteX27" fmla="*/ 284480 w 9579686"/>
            <a:gd name="connsiteY27" fmla="*/ 2926080 h 6177280"/>
            <a:gd name="connsiteX28" fmla="*/ 264160 w 9579686"/>
            <a:gd name="connsiteY28" fmla="*/ 3251200 h 6177280"/>
            <a:gd name="connsiteX29" fmla="*/ 203200 w 9579686"/>
            <a:gd name="connsiteY29" fmla="*/ 3434080 h 6177280"/>
            <a:gd name="connsiteX30" fmla="*/ 182880 w 9579686"/>
            <a:gd name="connsiteY30" fmla="*/ 3535680 h 6177280"/>
            <a:gd name="connsiteX31" fmla="*/ 142240 w 9579686"/>
            <a:gd name="connsiteY31" fmla="*/ 3657600 h 6177280"/>
            <a:gd name="connsiteX32" fmla="*/ 121920 w 9579686"/>
            <a:gd name="connsiteY32" fmla="*/ 3759200 h 6177280"/>
            <a:gd name="connsiteX33" fmla="*/ 81280 w 9579686"/>
            <a:gd name="connsiteY33" fmla="*/ 3881120 h 6177280"/>
            <a:gd name="connsiteX34" fmla="*/ 40640 w 9579686"/>
            <a:gd name="connsiteY34" fmla="*/ 4003040 h 6177280"/>
            <a:gd name="connsiteX35" fmla="*/ 20320 w 9579686"/>
            <a:gd name="connsiteY35" fmla="*/ 4064000 h 6177280"/>
            <a:gd name="connsiteX36" fmla="*/ 0 w 9579686"/>
            <a:gd name="connsiteY36" fmla="*/ 4145280 h 6177280"/>
            <a:gd name="connsiteX37" fmla="*/ 60960 w 9579686"/>
            <a:gd name="connsiteY37" fmla="*/ 4409440 h 6177280"/>
            <a:gd name="connsiteX38" fmla="*/ 121920 w 9579686"/>
            <a:gd name="connsiteY38" fmla="*/ 4450080 h 6177280"/>
            <a:gd name="connsiteX39" fmla="*/ 162560 w 9579686"/>
            <a:gd name="connsiteY39" fmla="*/ 4389120 h 6177280"/>
            <a:gd name="connsiteX40" fmla="*/ 203200 w 9579686"/>
            <a:gd name="connsiteY40" fmla="*/ 4267200 h 6177280"/>
            <a:gd name="connsiteX41" fmla="*/ 243840 w 9579686"/>
            <a:gd name="connsiteY41" fmla="*/ 3962400 h 6177280"/>
            <a:gd name="connsiteX42" fmla="*/ 284480 w 9579686"/>
            <a:gd name="connsiteY42" fmla="*/ 3840480 h 6177280"/>
            <a:gd name="connsiteX43" fmla="*/ 304800 w 9579686"/>
            <a:gd name="connsiteY43" fmla="*/ 3738880 h 6177280"/>
            <a:gd name="connsiteX44" fmla="*/ 345440 w 9579686"/>
            <a:gd name="connsiteY44" fmla="*/ 3616960 h 6177280"/>
            <a:gd name="connsiteX45" fmla="*/ 365760 w 9579686"/>
            <a:gd name="connsiteY45" fmla="*/ 3434080 h 6177280"/>
            <a:gd name="connsiteX46" fmla="*/ 386080 w 9579686"/>
            <a:gd name="connsiteY46" fmla="*/ 3373120 h 6177280"/>
            <a:gd name="connsiteX47" fmla="*/ 406400 w 9579686"/>
            <a:gd name="connsiteY47" fmla="*/ 3271520 h 6177280"/>
            <a:gd name="connsiteX48" fmla="*/ 447040 w 9579686"/>
            <a:gd name="connsiteY48" fmla="*/ 3149600 h 6177280"/>
            <a:gd name="connsiteX49" fmla="*/ 487680 w 9579686"/>
            <a:gd name="connsiteY49" fmla="*/ 2885440 h 6177280"/>
            <a:gd name="connsiteX50" fmla="*/ 528320 w 9579686"/>
            <a:gd name="connsiteY50" fmla="*/ 2621280 h 6177280"/>
            <a:gd name="connsiteX51" fmla="*/ 650240 w 9579686"/>
            <a:gd name="connsiteY51" fmla="*/ 2844800 h 6177280"/>
            <a:gd name="connsiteX52" fmla="*/ 690880 w 9579686"/>
            <a:gd name="connsiteY52" fmla="*/ 2966720 h 6177280"/>
            <a:gd name="connsiteX53" fmla="*/ 711200 w 9579686"/>
            <a:gd name="connsiteY53" fmla="*/ 3048000 h 6177280"/>
            <a:gd name="connsiteX54" fmla="*/ 751840 w 9579686"/>
            <a:gd name="connsiteY54" fmla="*/ 3108960 h 6177280"/>
            <a:gd name="connsiteX55" fmla="*/ 792480 w 9579686"/>
            <a:gd name="connsiteY55" fmla="*/ 3230880 h 6177280"/>
            <a:gd name="connsiteX56" fmla="*/ 812800 w 9579686"/>
            <a:gd name="connsiteY56" fmla="*/ 3291840 h 6177280"/>
            <a:gd name="connsiteX57" fmla="*/ 833120 w 9579686"/>
            <a:gd name="connsiteY57" fmla="*/ 3352800 h 6177280"/>
            <a:gd name="connsiteX58" fmla="*/ 873760 w 9579686"/>
            <a:gd name="connsiteY58" fmla="*/ 3535680 h 6177280"/>
            <a:gd name="connsiteX59" fmla="*/ 812800 w 9579686"/>
            <a:gd name="connsiteY59" fmla="*/ 4064000 h 6177280"/>
            <a:gd name="connsiteX60" fmla="*/ 772160 w 9579686"/>
            <a:gd name="connsiteY60" fmla="*/ 4124960 h 6177280"/>
            <a:gd name="connsiteX61" fmla="*/ 731520 w 9579686"/>
            <a:gd name="connsiteY61" fmla="*/ 4246880 h 6177280"/>
            <a:gd name="connsiteX62" fmla="*/ 751840 w 9579686"/>
            <a:gd name="connsiteY62" fmla="*/ 4490720 h 6177280"/>
            <a:gd name="connsiteX63" fmla="*/ 792480 w 9579686"/>
            <a:gd name="connsiteY63" fmla="*/ 4612640 h 6177280"/>
            <a:gd name="connsiteX64" fmla="*/ 833120 w 9579686"/>
            <a:gd name="connsiteY64" fmla="*/ 4856480 h 6177280"/>
            <a:gd name="connsiteX65" fmla="*/ 853440 w 9579686"/>
            <a:gd name="connsiteY65" fmla="*/ 5567680 h 6177280"/>
            <a:gd name="connsiteX66" fmla="*/ 955040 w 9579686"/>
            <a:gd name="connsiteY66" fmla="*/ 5791200 h 6177280"/>
            <a:gd name="connsiteX67" fmla="*/ 975360 w 9579686"/>
            <a:gd name="connsiteY67" fmla="*/ 5852160 h 6177280"/>
            <a:gd name="connsiteX68" fmla="*/ 1320800 w 9579686"/>
            <a:gd name="connsiteY68" fmla="*/ 5872480 h 6177280"/>
            <a:gd name="connsiteX69" fmla="*/ 1402080 w 9579686"/>
            <a:gd name="connsiteY69" fmla="*/ 5892800 h 6177280"/>
            <a:gd name="connsiteX70" fmla="*/ 1463040 w 9579686"/>
            <a:gd name="connsiteY70" fmla="*/ 5913120 h 6177280"/>
            <a:gd name="connsiteX71" fmla="*/ 1584960 w 9579686"/>
            <a:gd name="connsiteY71" fmla="*/ 5892800 h 6177280"/>
            <a:gd name="connsiteX72" fmla="*/ 1645920 w 9579686"/>
            <a:gd name="connsiteY72" fmla="*/ 5852160 h 6177280"/>
            <a:gd name="connsiteX73" fmla="*/ 1605280 w 9579686"/>
            <a:gd name="connsiteY73" fmla="*/ 5730240 h 6177280"/>
            <a:gd name="connsiteX74" fmla="*/ 1544320 w 9579686"/>
            <a:gd name="connsiteY74" fmla="*/ 5466080 h 6177280"/>
            <a:gd name="connsiteX75" fmla="*/ 1524000 w 9579686"/>
            <a:gd name="connsiteY75" fmla="*/ 5405120 h 6177280"/>
            <a:gd name="connsiteX76" fmla="*/ 1402080 w 9579686"/>
            <a:gd name="connsiteY76" fmla="*/ 5323840 h 6177280"/>
            <a:gd name="connsiteX77" fmla="*/ 1280160 w 9579686"/>
            <a:gd name="connsiteY77" fmla="*/ 5222240 h 6177280"/>
            <a:gd name="connsiteX78" fmla="*/ 1239520 w 9579686"/>
            <a:gd name="connsiteY78" fmla="*/ 5100320 h 6177280"/>
            <a:gd name="connsiteX79" fmla="*/ 1137920 w 9579686"/>
            <a:gd name="connsiteY79" fmla="*/ 4917440 h 6177280"/>
            <a:gd name="connsiteX80" fmla="*/ 1158240 w 9579686"/>
            <a:gd name="connsiteY80" fmla="*/ 4734560 h 6177280"/>
            <a:gd name="connsiteX81" fmla="*/ 1219200 w 9579686"/>
            <a:gd name="connsiteY81" fmla="*/ 4592320 h 6177280"/>
            <a:gd name="connsiteX82" fmla="*/ 1280160 w 9579686"/>
            <a:gd name="connsiteY82" fmla="*/ 4531360 h 6177280"/>
            <a:gd name="connsiteX83" fmla="*/ 1300480 w 9579686"/>
            <a:gd name="connsiteY83" fmla="*/ 4348480 h 6177280"/>
            <a:gd name="connsiteX84" fmla="*/ 1361440 w 9579686"/>
            <a:gd name="connsiteY84" fmla="*/ 4429760 h 6177280"/>
            <a:gd name="connsiteX85" fmla="*/ 1442720 w 9579686"/>
            <a:gd name="connsiteY85" fmla="*/ 4612640 h 6177280"/>
            <a:gd name="connsiteX86" fmla="*/ 1503680 w 9579686"/>
            <a:gd name="connsiteY86" fmla="*/ 5303520 h 6177280"/>
            <a:gd name="connsiteX87" fmla="*/ 1524000 w 9579686"/>
            <a:gd name="connsiteY87" fmla="*/ 5364480 h 6177280"/>
            <a:gd name="connsiteX88" fmla="*/ 1584960 w 9579686"/>
            <a:gd name="connsiteY88" fmla="*/ 5425440 h 6177280"/>
            <a:gd name="connsiteX89" fmla="*/ 1605280 w 9579686"/>
            <a:gd name="connsiteY89" fmla="*/ 5527040 h 6177280"/>
            <a:gd name="connsiteX90" fmla="*/ 1645920 w 9579686"/>
            <a:gd name="connsiteY90" fmla="*/ 5648960 h 6177280"/>
            <a:gd name="connsiteX91" fmla="*/ 1666240 w 9579686"/>
            <a:gd name="connsiteY91" fmla="*/ 5750560 h 6177280"/>
            <a:gd name="connsiteX92" fmla="*/ 1727200 w 9579686"/>
            <a:gd name="connsiteY92" fmla="*/ 5791200 h 6177280"/>
            <a:gd name="connsiteX93" fmla="*/ 1991360 w 9579686"/>
            <a:gd name="connsiteY93" fmla="*/ 5770880 h 6177280"/>
            <a:gd name="connsiteX94" fmla="*/ 2113280 w 9579686"/>
            <a:gd name="connsiteY94" fmla="*/ 5750560 h 6177280"/>
            <a:gd name="connsiteX95" fmla="*/ 2092960 w 9579686"/>
            <a:gd name="connsiteY95" fmla="*/ 5648960 h 6177280"/>
            <a:gd name="connsiteX96" fmla="*/ 1971040 w 9579686"/>
            <a:gd name="connsiteY96" fmla="*/ 5405120 h 6177280"/>
            <a:gd name="connsiteX97" fmla="*/ 1971040 w 9579686"/>
            <a:gd name="connsiteY97" fmla="*/ 5405120 h 6177280"/>
            <a:gd name="connsiteX98" fmla="*/ 1889760 w 9579686"/>
            <a:gd name="connsiteY98" fmla="*/ 5222240 h 6177280"/>
            <a:gd name="connsiteX99" fmla="*/ 1869440 w 9579686"/>
            <a:gd name="connsiteY99" fmla="*/ 5140960 h 6177280"/>
            <a:gd name="connsiteX100" fmla="*/ 1849120 w 9579686"/>
            <a:gd name="connsiteY100" fmla="*/ 5080000 h 6177280"/>
            <a:gd name="connsiteX101" fmla="*/ 1788160 w 9579686"/>
            <a:gd name="connsiteY101" fmla="*/ 4734560 h 6177280"/>
            <a:gd name="connsiteX102" fmla="*/ 1828800 w 9579686"/>
            <a:gd name="connsiteY102" fmla="*/ 4084320 h 6177280"/>
            <a:gd name="connsiteX103" fmla="*/ 1849120 w 9579686"/>
            <a:gd name="connsiteY103" fmla="*/ 3982720 h 6177280"/>
            <a:gd name="connsiteX104" fmla="*/ 1930400 w 9579686"/>
            <a:gd name="connsiteY104" fmla="*/ 3860800 h 6177280"/>
            <a:gd name="connsiteX105" fmla="*/ 2052320 w 9579686"/>
            <a:gd name="connsiteY105" fmla="*/ 3779520 h 6177280"/>
            <a:gd name="connsiteX106" fmla="*/ 2113280 w 9579686"/>
            <a:gd name="connsiteY106" fmla="*/ 3738880 h 6177280"/>
            <a:gd name="connsiteX107" fmla="*/ 2235200 w 9579686"/>
            <a:gd name="connsiteY107" fmla="*/ 3637280 h 6177280"/>
            <a:gd name="connsiteX108" fmla="*/ 2296160 w 9579686"/>
            <a:gd name="connsiteY108" fmla="*/ 3616960 h 6177280"/>
            <a:gd name="connsiteX109" fmla="*/ 2621280 w 9579686"/>
            <a:gd name="connsiteY109" fmla="*/ 3657600 h 6177280"/>
            <a:gd name="connsiteX110" fmla="*/ 2743200 w 9579686"/>
            <a:gd name="connsiteY110" fmla="*/ 3698240 h 6177280"/>
            <a:gd name="connsiteX111" fmla="*/ 2804160 w 9579686"/>
            <a:gd name="connsiteY111" fmla="*/ 3718560 h 6177280"/>
            <a:gd name="connsiteX112" fmla="*/ 2865120 w 9579686"/>
            <a:gd name="connsiteY112" fmla="*/ 3759200 h 6177280"/>
            <a:gd name="connsiteX113" fmla="*/ 2987040 w 9579686"/>
            <a:gd name="connsiteY113" fmla="*/ 3799840 h 6177280"/>
            <a:gd name="connsiteX114" fmla="*/ 3108960 w 9579686"/>
            <a:gd name="connsiteY114" fmla="*/ 3840480 h 6177280"/>
            <a:gd name="connsiteX115" fmla="*/ 3169920 w 9579686"/>
            <a:gd name="connsiteY115" fmla="*/ 3860800 h 6177280"/>
            <a:gd name="connsiteX116" fmla="*/ 3271520 w 9579686"/>
            <a:gd name="connsiteY116" fmla="*/ 3881120 h 6177280"/>
            <a:gd name="connsiteX117" fmla="*/ 3454400 w 9579686"/>
            <a:gd name="connsiteY117" fmla="*/ 4023360 h 6177280"/>
            <a:gd name="connsiteX118" fmla="*/ 3515360 w 9579686"/>
            <a:gd name="connsiteY118" fmla="*/ 3982720 h 6177280"/>
            <a:gd name="connsiteX119" fmla="*/ 3515360 w 9579686"/>
            <a:gd name="connsiteY119" fmla="*/ 3860800 h 6177280"/>
            <a:gd name="connsiteX120" fmla="*/ 3759200 w 9579686"/>
            <a:gd name="connsiteY120" fmla="*/ 3840480 h 6177280"/>
            <a:gd name="connsiteX121" fmla="*/ 3820160 w 9579686"/>
            <a:gd name="connsiteY121" fmla="*/ 3820160 h 6177280"/>
            <a:gd name="connsiteX122" fmla="*/ 4450080 w 9579686"/>
            <a:gd name="connsiteY122" fmla="*/ 3860800 h 6177280"/>
            <a:gd name="connsiteX123" fmla="*/ 4693920 w 9579686"/>
            <a:gd name="connsiteY123" fmla="*/ 3840480 h 6177280"/>
            <a:gd name="connsiteX124" fmla="*/ 4897120 w 9579686"/>
            <a:gd name="connsiteY124" fmla="*/ 3799840 h 6177280"/>
            <a:gd name="connsiteX125" fmla="*/ 5120640 w 9579686"/>
            <a:gd name="connsiteY125" fmla="*/ 3779520 h 6177280"/>
            <a:gd name="connsiteX126" fmla="*/ 5181600 w 9579686"/>
            <a:gd name="connsiteY126" fmla="*/ 3921760 h 6177280"/>
            <a:gd name="connsiteX127" fmla="*/ 5140960 w 9579686"/>
            <a:gd name="connsiteY127" fmla="*/ 4348480 h 6177280"/>
            <a:gd name="connsiteX128" fmla="*/ 5140960 w 9579686"/>
            <a:gd name="connsiteY128" fmla="*/ 4734560 h 6177280"/>
            <a:gd name="connsiteX129" fmla="*/ 5222240 w 9579686"/>
            <a:gd name="connsiteY129" fmla="*/ 4856480 h 6177280"/>
            <a:gd name="connsiteX130" fmla="*/ 5181600 w 9579686"/>
            <a:gd name="connsiteY130" fmla="*/ 5222240 h 6177280"/>
            <a:gd name="connsiteX131" fmla="*/ 5161280 w 9579686"/>
            <a:gd name="connsiteY131" fmla="*/ 5364480 h 6177280"/>
            <a:gd name="connsiteX132" fmla="*/ 5201920 w 9579686"/>
            <a:gd name="connsiteY132" fmla="*/ 5791200 h 6177280"/>
            <a:gd name="connsiteX133" fmla="*/ 5161280 w 9579686"/>
            <a:gd name="connsiteY133" fmla="*/ 5933440 h 6177280"/>
            <a:gd name="connsiteX134" fmla="*/ 5181600 w 9579686"/>
            <a:gd name="connsiteY134" fmla="*/ 5994400 h 6177280"/>
            <a:gd name="connsiteX135" fmla="*/ 5323840 w 9579686"/>
            <a:gd name="connsiteY135" fmla="*/ 6136640 h 6177280"/>
            <a:gd name="connsiteX136" fmla="*/ 5588000 w 9579686"/>
            <a:gd name="connsiteY136" fmla="*/ 6156960 h 6177280"/>
            <a:gd name="connsiteX137" fmla="*/ 5730240 w 9579686"/>
            <a:gd name="connsiteY137" fmla="*/ 6177280 h 6177280"/>
            <a:gd name="connsiteX138" fmla="*/ 5831840 w 9579686"/>
            <a:gd name="connsiteY138" fmla="*/ 6156960 h 6177280"/>
            <a:gd name="connsiteX139" fmla="*/ 5852160 w 9579686"/>
            <a:gd name="connsiteY139" fmla="*/ 6096000 h 6177280"/>
            <a:gd name="connsiteX140" fmla="*/ 5872480 w 9579686"/>
            <a:gd name="connsiteY140" fmla="*/ 5953760 h 6177280"/>
            <a:gd name="connsiteX141" fmla="*/ 5933440 w 9579686"/>
            <a:gd name="connsiteY141" fmla="*/ 5933440 h 6177280"/>
            <a:gd name="connsiteX142" fmla="*/ 5974080 w 9579686"/>
            <a:gd name="connsiteY142" fmla="*/ 5872480 h 6177280"/>
            <a:gd name="connsiteX143" fmla="*/ 5913120 w 9579686"/>
            <a:gd name="connsiteY143" fmla="*/ 5709920 h 6177280"/>
            <a:gd name="connsiteX144" fmla="*/ 5852160 w 9579686"/>
            <a:gd name="connsiteY144" fmla="*/ 5648960 h 6177280"/>
            <a:gd name="connsiteX145" fmla="*/ 5811520 w 9579686"/>
            <a:gd name="connsiteY145" fmla="*/ 5567680 h 6177280"/>
            <a:gd name="connsiteX146" fmla="*/ 5770880 w 9579686"/>
            <a:gd name="connsiteY146" fmla="*/ 5303520 h 6177280"/>
            <a:gd name="connsiteX147" fmla="*/ 5730240 w 9579686"/>
            <a:gd name="connsiteY147" fmla="*/ 5181600 h 6177280"/>
            <a:gd name="connsiteX148" fmla="*/ 5770880 w 9579686"/>
            <a:gd name="connsiteY148" fmla="*/ 4978400 h 6177280"/>
            <a:gd name="connsiteX149" fmla="*/ 5791200 w 9579686"/>
            <a:gd name="connsiteY149" fmla="*/ 4876800 h 6177280"/>
            <a:gd name="connsiteX150" fmla="*/ 5831840 w 9579686"/>
            <a:gd name="connsiteY150" fmla="*/ 4754880 h 6177280"/>
            <a:gd name="connsiteX151" fmla="*/ 5872480 w 9579686"/>
            <a:gd name="connsiteY151" fmla="*/ 4693920 h 6177280"/>
            <a:gd name="connsiteX152" fmla="*/ 5913120 w 9579686"/>
            <a:gd name="connsiteY152" fmla="*/ 4572000 h 6177280"/>
            <a:gd name="connsiteX153" fmla="*/ 5953760 w 9579686"/>
            <a:gd name="connsiteY153" fmla="*/ 4409440 h 6177280"/>
            <a:gd name="connsiteX154" fmla="*/ 6014720 w 9579686"/>
            <a:gd name="connsiteY154" fmla="*/ 4165600 h 6177280"/>
            <a:gd name="connsiteX155" fmla="*/ 6055360 w 9579686"/>
            <a:gd name="connsiteY155" fmla="*/ 4104640 h 6177280"/>
            <a:gd name="connsiteX156" fmla="*/ 6278880 w 9579686"/>
            <a:gd name="connsiteY156" fmla="*/ 4043680 h 6177280"/>
            <a:gd name="connsiteX157" fmla="*/ 6360160 w 9579686"/>
            <a:gd name="connsiteY157" fmla="*/ 4023360 h 6177280"/>
            <a:gd name="connsiteX158" fmla="*/ 6543040 w 9579686"/>
            <a:gd name="connsiteY158" fmla="*/ 3982720 h 6177280"/>
            <a:gd name="connsiteX159" fmla="*/ 6624320 w 9579686"/>
            <a:gd name="connsiteY159" fmla="*/ 3860800 h 6177280"/>
            <a:gd name="connsiteX160" fmla="*/ 6705600 w 9579686"/>
            <a:gd name="connsiteY160" fmla="*/ 3738880 h 6177280"/>
            <a:gd name="connsiteX161" fmla="*/ 6746240 w 9579686"/>
            <a:gd name="connsiteY161" fmla="*/ 3677920 h 6177280"/>
            <a:gd name="connsiteX162" fmla="*/ 6786880 w 9579686"/>
            <a:gd name="connsiteY162" fmla="*/ 3556000 h 6177280"/>
            <a:gd name="connsiteX163" fmla="*/ 6827520 w 9579686"/>
            <a:gd name="connsiteY163" fmla="*/ 3495040 h 6177280"/>
            <a:gd name="connsiteX164" fmla="*/ 6847840 w 9579686"/>
            <a:gd name="connsiteY164" fmla="*/ 3434080 h 6177280"/>
            <a:gd name="connsiteX165" fmla="*/ 6888480 w 9579686"/>
            <a:gd name="connsiteY165" fmla="*/ 3373120 h 6177280"/>
            <a:gd name="connsiteX166" fmla="*/ 6908800 w 9579686"/>
            <a:gd name="connsiteY166" fmla="*/ 3312160 h 6177280"/>
            <a:gd name="connsiteX167" fmla="*/ 7030720 w 9579686"/>
            <a:gd name="connsiteY167" fmla="*/ 3271520 h 6177280"/>
            <a:gd name="connsiteX168" fmla="*/ 7112000 w 9579686"/>
            <a:gd name="connsiteY168" fmla="*/ 3068320 h 6177280"/>
            <a:gd name="connsiteX169" fmla="*/ 7213600 w 9579686"/>
            <a:gd name="connsiteY169" fmla="*/ 2885440 h 6177280"/>
            <a:gd name="connsiteX170" fmla="*/ 7254240 w 9579686"/>
            <a:gd name="connsiteY170" fmla="*/ 2824480 h 6177280"/>
            <a:gd name="connsiteX171" fmla="*/ 7437120 w 9579686"/>
            <a:gd name="connsiteY171" fmla="*/ 2702560 h 6177280"/>
            <a:gd name="connsiteX172" fmla="*/ 7498080 w 9579686"/>
            <a:gd name="connsiteY172" fmla="*/ 2661920 h 6177280"/>
            <a:gd name="connsiteX173" fmla="*/ 7620000 w 9579686"/>
            <a:gd name="connsiteY173" fmla="*/ 2621280 h 6177280"/>
            <a:gd name="connsiteX174" fmla="*/ 7701280 w 9579686"/>
            <a:gd name="connsiteY174" fmla="*/ 2560320 h 6177280"/>
            <a:gd name="connsiteX175" fmla="*/ 7823200 w 9579686"/>
            <a:gd name="connsiteY175" fmla="*/ 2479040 h 6177280"/>
            <a:gd name="connsiteX176" fmla="*/ 7884160 w 9579686"/>
            <a:gd name="connsiteY176" fmla="*/ 2418080 h 6177280"/>
            <a:gd name="connsiteX177" fmla="*/ 8453120 w 9579686"/>
            <a:gd name="connsiteY177" fmla="*/ 2438400 h 6177280"/>
            <a:gd name="connsiteX178" fmla="*/ 8514080 w 9579686"/>
            <a:gd name="connsiteY178" fmla="*/ 2458720 h 6177280"/>
            <a:gd name="connsiteX179" fmla="*/ 8575040 w 9579686"/>
            <a:gd name="connsiteY179" fmla="*/ 2499360 h 6177280"/>
            <a:gd name="connsiteX180" fmla="*/ 8818880 w 9579686"/>
            <a:gd name="connsiteY180" fmla="*/ 2479040 h 6177280"/>
            <a:gd name="connsiteX181" fmla="*/ 8940800 w 9579686"/>
            <a:gd name="connsiteY181" fmla="*/ 2519680 h 6177280"/>
            <a:gd name="connsiteX182" fmla="*/ 9184640 w 9579686"/>
            <a:gd name="connsiteY182" fmla="*/ 2479040 h 6177280"/>
            <a:gd name="connsiteX183" fmla="*/ 9326880 w 9579686"/>
            <a:gd name="connsiteY183" fmla="*/ 2438400 h 6177280"/>
            <a:gd name="connsiteX184" fmla="*/ 9408160 w 9579686"/>
            <a:gd name="connsiteY184" fmla="*/ 2418080 h 6177280"/>
            <a:gd name="connsiteX185" fmla="*/ 9428480 w 9579686"/>
            <a:gd name="connsiteY185" fmla="*/ 2255520 h 6177280"/>
            <a:gd name="connsiteX186" fmla="*/ 9570720 w 9579686"/>
            <a:gd name="connsiteY186" fmla="*/ 2235200 h 6177280"/>
            <a:gd name="connsiteX187" fmla="*/ 9550400 w 9579686"/>
            <a:gd name="connsiteY187" fmla="*/ 2113280 h 6177280"/>
            <a:gd name="connsiteX188" fmla="*/ 9530080 w 9579686"/>
            <a:gd name="connsiteY188" fmla="*/ 1950720 h 6177280"/>
            <a:gd name="connsiteX189" fmla="*/ 9428480 w 9579686"/>
            <a:gd name="connsiteY189" fmla="*/ 1767840 h 6177280"/>
            <a:gd name="connsiteX190" fmla="*/ 9387840 w 9579686"/>
            <a:gd name="connsiteY190" fmla="*/ 1706880 h 6177280"/>
            <a:gd name="connsiteX191" fmla="*/ 9347200 w 9579686"/>
            <a:gd name="connsiteY191" fmla="*/ 1645920 h 6177280"/>
            <a:gd name="connsiteX192" fmla="*/ 9326880 w 9579686"/>
            <a:gd name="connsiteY192" fmla="*/ 1584960 h 6177280"/>
            <a:gd name="connsiteX193" fmla="*/ 9184640 w 9579686"/>
            <a:gd name="connsiteY193" fmla="*/ 1402080 h 6177280"/>
            <a:gd name="connsiteX194" fmla="*/ 9144000 w 9579686"/>
            <a:gd name="connsiteY194" fmla="*/ 1178560 h 6177280"/>
            <a:gd name="connsiteX195" fmla="*/ 9123680 w 9579686"/>
            <a:gd name="connsiteY195" fmla="*/ 1117600 h 6177280"/>
            <a:gd name="connsiteX196" fmla="*/ 9103360 w 9579686"/>
            <a:gd name="connsiteY196" fmla="*/ 1036320 h 6177280"/>
            <a:gd name="connsiteX197" fmla="*/ 9001760 w 9579686"/>
            <a:gd name="connsiteY197" fmla="*/ 914400 h 6177280"/>
            <a:gd name="connsiteX198" fmla="*/ 8879840 w 9579686"/>
            <a:gd name="connsiteY198" fmla="*/ 670560 h 6177280"/>
            <a:gd name="connsiteX199" fmla="*/ 8859520 w 9579686"/>
            <a:gd name="connsiteY199" fmla="*/ 609600 h 6177280"/>
            <a:gd name="connsiteX200" fmla="*/ 8900160 w 9579686"/>
            <a:gd name="connsiteY200" fmla="*/ 406400 h 6177280"/>
            <a:gd name="connsiteX201" fmla="*/ 9062720 w 9579686"/>
            <a:gd name="connsiteY201" fmla="*/ 345440 h 6177280"/>
            <a:gd name="connsiteX202" fmla="*/ 9245600 w 9579686"/>
            <a:gd name="connsiteY202" fmla="*/ 264160 h 6177280"/>
            <a:gd name="connsiteX203" fmla="*/ 9306560 w 9579686"/>
            <a:gd name="connsiteY203" fmla="*/ 142240 h 6177280"/>
            <a:gd name="connsiteX204" fmla="*/ 9245600 w 9579686"/>
            <a:gd name="connsiteY204" fmla="*/ 101600 h 6177280"/>
            <a:gd name="connsiteX205" fmla="*/ 9164320 w 9579686"/>
            <a:gd name="connsiteY205" fmla="*/ 121920 h 6177280"/>
            <a:gd name="connsiteX206" fmla="*/ 9042400 w 9579686"/>
            <a:gd name="connsiteY206" fmla="*/ 142240 h 6177280"/>
            <a:gd name="connsiteX207" fmla="*/ 8859520 w 9579686"/>
            <a:gd name="connsiteY207" fmla="*/ 223520 h 6177280"/>
            <a:gd name="connsiteX208" fmla="*/ 8798560 w 9579686"/>
            <a:gd name="connsiteY208" fmla="*/ 243840 h 6177280"/>
            <a:gd name="connsiteX209" fmla="*/ 8737600 w 9579686"/>
            <a:gd name="connsiteY209" fmla="*/ 284480 h 6177280"/>
            <a:gd name="connsiteX210" fmla="*/ 8676640 w 9579686"/>
            <a:gd name="connsiteY210" fmla="*/ 345440 h 6177280"/>
            <a:gd name="connsiteX211" fmla="*/ 8554720 w 9579686"/>
            <a:gd name="connsiteY211" fmla="*/ 386080 h 6177280"/>
            <a:gd name="connsiteX212" fmla="*/ 8432800 w 9579686"/>
            <a:gd name="connsiteY212" fmla="*/ 345440 h 6177280"/>
            <a:gd name="connsiteX213" fmla="*/ 8453120 w 9579686"/>
            <a:gd name="connsiteY213" fmla="*/ 223520 h 6177280"/>
            <a:gd name="connsiteX214" fmla="*/ 8575040 w 9579686"/>
            <a:gd name="connsiteY214" fmla="*/ 142240 h 6177280"/>
            <a:gd name="connsiteX215" fmla="*/ 8595360 w 9579686"/>
            <a:gd name="connsiteY215" fmla="*/ 81280 h 6177280"/>
            <a:gd name="connsiteX216" fmla="*/ 8636000 w 9579686"/>
            <a:gd name="connsiteY216" fmla="*/ 20320 h 6177280"/>
            <a:gd name="connsiteX217" fmla="*/ 8575040 w 9579686"/>
            <a:gd name="connsiteY217" fmla="*/ 0 h 6177280"/>
            <a:gd name="connsiteX218" fmla="*/ 8310880 w 9579686"/>
            <a:gd name="connsiteY218" fmla="*/ 20320 h 6177280"/>
            <a:gd name="connsiteX219" fmla="*/ 8168640 w 9579686"/>
            <a:gd name="connsiteY219" fmla="*/ 182880 h 6177280"/>
            <a:gd name="connsiteX220" fmla="*/ 8128000 w 9579686"/>
            <a:gd name="connsiteY220" fmla="*/ 243840 h 6177280"/>
            <a:gd name="connsiteX221" fmla="*/ 8087360 w 9579686"/>
            <a:gd name="connsiteY221" fmla="*/ 386080 h 6177280"/>
            <a:gd name="connsiteX222" fmla="*/ 7884160 w 9579686"/>
            <a:gd name="connsiteY222" fmla="*/ 365760 h 6177280"/>
            <a:gd name="connsiteX223" fmla="*/ 7823200 w 9579686"/>
            <a:gd name="connsiteY223" fmla="*/ 345440 h 6177280"/>
            <a:gd name="connsiteX224" fmla="*/ 7416800 w 9579686"/>
            <a:gd name="connsiteY224" fmla="*/ 365760 h 6177280"/>
            <a:gd name="connsiteX225" fmla="*/ 7355840 w 9579686"/>
            <a:gd name="connsiteY225" fmla="*/ 386080 h 6177280"/>
            <a:gd name="connsiteX226" fmla="*/ 7335520 w 9579686"/>
            <a:gd name="connsiteY226" fmla="*/ 447040 h 6177280"/>
            <a:gd name="connsiteX227" fmla="*/ 7315200 w 9579686"/>
            <a:gd name="connsiteY227" fmla="*/ 609600 h 6177280"/>
            <a:gd name="connsiteX228" fmla="*/ 7254240 w 9579686"/>
            <a:gd name="connsiteY228" fmla="*/ 629920 h 6177280"/>
            <a:gd name="connsiteX229" fmla="*/ 7112000 w 9579686"/>
            <a:gd name="connsiteY229" fmla="*/ 650240 h 6177280"/>
            <a:gd name="connsiteX230" fmla="*/ 6664960 w 9579686"/>
            <a:gd name="connsiteY230" fmla="*/ 629920 h 6177280"/>
            <a:gd name="connsiteX231" fmla="*/ 6522720 w 9579686"/>
            <a:gd name="connsiteY231" fmla="*/ 568960 h 6177280"/>
            <a:gd name="connsiteX232" fmla="*/ 6421120 w 9579686"/>
            <a:gd name="connsiteY232" fmla="*/ 548640 h 6177280"/>
            <a:gd name="connsiteX233" fmla="*/ 6339840 w 9579686"/>
            <a:gd name="connsiteY233" fmla="*/ 528320 h 6177280"/>
            <a:gd name="connsiteX234" fmla="*/ 6278880 w 9579686"/>
            <a:gd name="connsiteY234" fmla="*/ 508000 h 6177280"/>
            <a:gd name="connsiteX235" fmla="*/ 5770880 w 9579686"/>
            <a:gd name="connsiteY235" fmla="*/ 487680 h 6177280"/>
            <a:gd name="connsiteX236" fmla="*/ 5547360 w 9579686"/>
            <a:gd name="connsiteY236" fmla="*/ 508000 h 6177280"/>
            <a:gd name="connsiteX237" fmla="*/ 5384800 w 9579686"/>
            <a:gd name="connsiteY237" fmla="*/ 568960 h 6177280"/>
            <a:gd name="connsiteX238" fmla="*/ 4978400 w 9579686"/>
            <a:gd name="connsiteY238" fmla="*/ 589280 h 6177280"/>
            <a:gd name="connsiteX239" fmla="*/ 4897120 w 9579686"/>
            <a:gd name="connsiteY239" fmla="*/ 609600 h 6177280"/>
            <a:gd name="connsiteX240" fmla="*/ 4612640 w 9579686"/>
            <a:gd name="connsiteY240" fmla="*/ 650240 h 6177280"/>
            <a:gd name="connsiteX241" fmla="*/ 4490720 w 9579686"/>
            <a:gd name="connsiteY241" fmla="*/ 690880 h 6177280"/>
            <a:gd name="connsiteX242" fmla="*/ 4287520 w 9579686"/>
            <a:gd name="connsiteY242" fmla="*/ 731520 h 6177280"/>
            <a:gd name="connsiteX243" fmla="*/ 4226560 w 9579686"/>
            <a:gd name="connsiteY243" fmla="*/ 751840 h 61772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 ang="0">
              <a:pos x="connsiteX87" y="connsiteY87"/>
            </a:cxn>
            <a:cxn ang="0">
              <a:pos x="connsiteX88" y="connsiteY88"/>
            </a:cxn>
            <a:cxn ang="0">
              <a:pos x="connsiteX89" y="connsiteY89"/>
            </a:cxn>
            <a:cxn ang="0">
              <a:pos x="connsiteX90" y="connsiteY90"/>
            </a:cxn>
            <a:cxn ang="0">
              <a:pos x="connsiteX91" y="connsiteY91"/>
            </a:cxn>
            <a:cxn ang="0">
              <a:pos x="connsiteX92" y="connsiteY92"/>
            </a:cxn>
            <a:cxn ang="0">
              <a:pos x="connsiteX93" y="connsiteY93"/>
            </a:cxn>
            <a:cxn ang="0">
              <a:pos x="connsiteX94" y="connsiteY94"/>
            </a:cxn>
            <a:cxn ang="0">
              <a:pos x="connsiteX95" y="connsiteY95"/>
            </a:cxn>
            <a:cxn ang="0">
              <a:pos x="connsiteX96" y="connsiteY96"/>
            </a:cxn>
            <a:cxn ang="0">
              <a:pos x="connsiteX97" y="connsiteY97"/>
            </a:cxn>
            <a:cxn ang="0">
              <a:pos x="connsiteX98" y="connsiteY98"/>
            </a:cxn>
            <a:cxn ang="0">
              <a:pos x="connsiteX99" y="connsiteY99"/>
            </a:cxn>
            <a:cxn ang="0">
              <a:pos x="connsiteX100" y="connsiteY100"/>
            </a:cxn>
            <a:cxn ang="0">
              <a:pos x="connsiteX101" y="connsiteY101"/>
            </a:cxn>
            <a:cxn ang="0">
              <a:pos x="connsiteX102" y="connsiteY102"/>
            </a:cxn>
            <a:cxn ang="0">
              <a:pos x="connsiteX103" y="connsiteY103"/>
            </a:cxn>
            <a:cxn ang="0">
              <a:pos x="connsiteX104" y="connsiteY104"/>
            </a:cxn>
            <a:cxn ang="0">
              <a:pos x="connsiteX105" y="connsiteY105"/>
            </a:cxn>
            <a:cxn ang="0">
              <a:pos x="connsiteX106" y="connsiteY106"/>
            </a:cxn>
            <a:cxn ang="0">
              <a:pos x="connsiteX107" y="connsiteY107"/>
            </a:cxn>
            <a:cxn ang="0">
              <a:pos x="connsiteX108" y="connsiteY108"/>
            </a:cxn>
            <a:cxn ang="0">
              <a:pos x="connsiteX109" y="connsiteY109"/>
            </a:cxn>
            <a:cxn ang="0">
              <a:pos x="connsiteX110" y="connsiteY110"/>
            </a:cxn>
            <a:cxn ang="0">
              <a:pos x="connsiteX111" y="connsiteY111"/>
            </a:cxn>
            <a:cxn ang="0">
              <a:pos x="connsiteX112" y="connsiteY112"/>
            </a:cxn>
            <a:cxn ang="0">
              <a:pos x="connsiteX113" y="connsiteY113"/>
            </a:cxn>
            <a:cxn ang="0">
              <a:pos x="connsiteX114" y="connsiteY114"/>
            </a:cxn>
            <a:cxn ang="0">
              <a:pos x="connsiteX115" y="connsiteY115"/>
            </a:cxn>
            <a:cxn ang="0">
              <a:pos x="connsiteX116" y="connsiteY116"/>
            </a:cxn>
            <a:cxn ang="0">
              <a:pos x="connsiteX117" y="connsiteY117"/>
            </a:cxn>
            <a:cxn ang="0">
              <a:pos x="connsiteX118" y="connsiteY118"/>
            </a:cxn>
            <a:cxn ang="0">
              <a:pos x="connsiteX119" y="connsiteY119"/>
            </a:cxn>
            <a:cxn ang="0">
              <a:pos x="connsiteX120" y="connsiteY120"/>
            </a:cxn>
            <a:cxn ang="0">
              <a:pos x="connsiteX121" y="connsiteY121"/>
            </a:cxn>
            <a:cxn ang="0">
              <a:pos x="connsiteX122" y="connsiteY122"/>
            </a:cxn>
            <a:cxn ang="0">
              <a:pos x="connsiteX123" y="connsiteY123"/>
            </a:cxn>
            <a:cxn ang="0">
              <a:pos x="connsiteX124" y="connsiteY124"/>
            </a:cxn>
            <a:cxn ang="0">
              <a:pos x="connsiteX125" y="connsiteY125"/>
            </a:cxn>
            <a:cxn ang="0">
              <a:pos x="connsiteX126" y="connsiteY126"/>
            </a:cxn>
            <a:cxn ang="0">
              <a:pos x="connsiteX127" y="connsiteY127"/>
            </a:cxn>
            <a:cxn ang="0">
              <a:pos x="connsiteX128" y="connsiteY128"/>
            </a:cxn>
            <a:cxn ang="0">
              <a:pos x="connsiteX129" y="connsiteY129"/>
            </a:cxn>
            <a:cxn ang="0">
              <a:pos x="connsiteX130" y="connsiteY130"/>
            </a:cxn>
            <a:cxn ang="0">
              <a:pos x="connsiteX131" y="connsiteY131"/>
            </a:cxn>
            <a:cxn ang="0">
              <a:pos x="connsiteX132" y="connsiteY132"/>
            </a:cxn>
            <a:cxn ang="0">
              <a:pos x="connsiteX133" y="connsiteY133"/>
            </a:cxn>
            <a:cxn ang="0">
              <a:pos x="connsiteX134" y="connsiteY134"/>
            </a:cxn>
            <a:cxn ang="0">
              <a:pos x="connsiteX135" y="connsiteY135"/>
            </a:cxn>
            <a:cxn ang="0">
              <a:pos x="connsiteX136" y="connsiteY136"/>
            </a:cxn>
            <a:cxn ang="0">
              <a:pos x="connsiteX137" y="connsiteY137"/>
            </a:cxn>
            <a:cxn ang="0">
              <a:pos x="connsiteX138" y="connsiteY138"/>
            </a:cxn>
            <a:cxn ang="0">
              <a:pos x="connsiteX139" y="connsiteY139"/>
            </a:cxn>
            <a:cxn ang="0">
              <a:pos x="connsiteX140" y="connsiteY140"/>
            </a:cxn>
            <a:cxn ang="0">
              <a:pos x="connsiteX141" y="connsiteY141"/>
            </a:cxn>
            <a:cxn ang="0">
              <a:pos x="connsiteX142" y="connsiteY142"/>
            </a:cxn>
            <a:cxn ang="0">
              <a:pos x="connsiteX143" y="connsiteY143"/>
            </a:cxn>
            <a:cxn ang="0">
              <a:pos x="connsiteX144" y="connsiteY144"/>
            </a:cxn>
            <a:cxn ang="0">
              <a:pos x="connsiteX145" y="connsiteY145"/>
            </a:cxn>
            <a:cxn ang="0">
              <a:pos x="connsiteX146" y="connsiteY146"/>
            </a:cxn>
            <a:cxn ang="0">
              <a:pos x="connsiteX147" y="connsiteY147"/>
            </a:cxn>
            <a:cxn ang="0">
              <a:pos x="connsiteX148" y="connsiteY148"/>
            </a:cxn>
            <a:cxn ang="0">
              <a:pos x="connsiteX149" y="connsiteY149"/>
            </a:cxn>
            <a:cxn ang="0">
              <a:pos x="connsiteX150" y="connsiteY150"/>
            </a:cxn>
            <a:cxn ang="0">
              <a:pos x="connsiteX151" y="connsiteY151"/>
            </a:cxn>
            <a:cxn ang="0">
              <a:pos x="connsiteX152" y="connsiteY152"/>
            </a:cxn>
            <a:cxn ang="0">
              <a:pos x="connsiteX153" y="connsiteY153"/>
            </a:cxn>
            <a:cxn ang="0">
              <a:pos x="connsiteX154" y="connsiteY154"/>
            </a:cxn>
            <a:cxn ang="0">
              <a:pos x="connsiteX155" y="connsiteY155"/>
            </a:cxn>
            <a:cxn ang="0">
              <a:pos x="connsiteX156" y="connsiteY156"/>
            </a:cxn>
            <a:cxn ang="0">
              <a:pos x="connsiteX157" y="connsiteY157"/>
            </a:cxn>
            <a:cxn ang="0">
              <a:pos x="connsiteX158" y="connsiteY158"/>
            </a:cxn>
            <a:cxn ang="0">
              <a:pos x="connsiteX159" y="connsiteY159"/>
            </a:cxn>
            <a:cxn ang="0">
              <a:pos x="connsiteX160" y="connsiteY160"/>
            </a:cxn>
            <a:cxn ang="0">
              <a:pos x="connsiteX161" y="connsiteY161"/>
            </a:cxn>
            <a:cxn ang="0">
              <a:pos x="connsiteX162" y="connsiteY162"/>
            </a:cxn>
            <a:cxn ang="0">
              <a:pos x="connsiteX163" y="connsiteY163"/>
            </a:cxn>
            <a:cxn ang="0">
              <a:pos x="connsiteX164" y="connsiteY164"/>
            </a:cxn>
            <a:cxn ang="0">
              <a:pos x="connsiteX165" y="connsiteY165"/>
            </a:cxn>
            <a:cxn ang="0">
              <a:pos x="connsiteX166" y="connsiteY166"/>
            </a:cxn>
            <a:cxn ang="0">
              <a:pos x="connsiteX167" y="connsiteY167"/>
            </a:cxn>
            <a:cxn ang="0">
              <a:pos x="connsiteX168" y="connsiteY168"/>
            </a:cxn>
            <a:cxn ang="0">
              <a:pos x="connsiteX169" y="connsiteY169"/>
            </a:cxn>
            <a:cxn ang="0">
              <a:pos x="connsiteX170" y="connsiteY170"/>
            </a:cxn>
            <a:cxn ang="0">
              <a:pos x="connsiteX171" y="connsiteY171"/>
            </a:cxn>
            <a:cxn ang="0">
              <a:pos x="connsiteX172" y="connsiteY172"/>
            </a:cxn>
            <a:cxn ang="0">
              <a:pos x="connsiteX173" y="connsiteY173"/>
            </a:cxn>
            <a:cxn ang="0">
              <a:pos x="connsiteX174" y="connsiteY174"/>
            </a:cxn>
            <a:cxn ang="0">
              <a:pos x="connsiteX175" y="connsiteY175"/>
            </a:cxn>
            <a:cxn ang="0">
              <a:pos x="connsiteX176" y="connsiteY176"/>
            </a:cxn>
            <a:cxn ang="0">
              <a:pos x="connsiteX177" y="connsiteY177"/>
            </a:cxn>
            <a:cxn ang="0">
              <a:pos x="connsiteX178" y="connsiteY178"/>
            </a:cxn>
            <a:cxn ang="0">
              <a:pos x="connsiteX179" y="connsiteY179"/>
            </a:cxn>
            <a:cxn ang="0">
              <a:pos x="connsiteX180" y="connsiteY180"/>
            </a:cxn>
            <a:cxn ang="0">
              <a:pos x="connsiteX181" y="connsiteY181"/>
            </a:cxn>
            <a:cxn ang="0">
              <a:pos x="connsiteX182" y="connsiteY182"/>
            </a:cxn>
            <a:cxn ang="0">
              <a:pos x="connsiteX183" y="connsiteY183"/>
            </a:cxn>
            <a:cxn ang="0">
              <a:pos x="connsiteX184" y="connsiteY184"/>
            </a:cxn>
            <a:cxn ang="0">
              <a:pos x="connsiteX185" y="connsiteY185"/>
            </a:cxn>
            <a:cxn ang="0">
              <a:pos x="connsiteX186" y="connsiteY186"/>
            </a:cxn>
            <a:cxn ang="0">
              <a:pos x="connsiteX187" y="connsiteY187"/>
            </a:cxn>
            <a:cxn ang="0">
              <a:pos x="connsiteX188" y="connsiteY188"/>
            </a:cxn>
            <a:cxn ang="0">
              <a:pos x="connsiteX189" y="connsiteY189"/>
            </a:cxn>
            <a:cxn ang="0">
              <a:pos x="connsiteX190" y="connsiteY190"/>
            </a:cxn>
            <a:cxn ang="0">
              <a:pos x="connsiteX191" y="connsiteY191"/>
            </a:cxn>
            <a:cxn ang="0">
              <a:pos x="connsiteX192" y="connsiteY192"/>
            </a:cxn>
            <a:cxn ang="0">
              <a:pos x="connsiteX193" y="connsiteY193"/>
            </a:cxn>
            <a:cxn ang="0">
              <a:pos x="connsiteX194" y="connsiteY194"/>
            </a:cxn>
            <a:cxn ang="0">
              <a:pos x="connsiteX195" y="connsiteY195"/>
            </a:cxn>
            <a:cxn ang="0">
              <a:pos x="connsiteX196" y="connsiteY196"/>
            </a:cxn>
            <a:cxn ang="0">
              <a:pos x="connsiteX197" y="connsiteY197"/>
            </a:cxn>
            <a:cxn ang="0">
              <a:pos x="connsiteX198" y="connsiteY198"/>
            </a:cxn>
            <a:cxn ang="0">
              <a:pos x="connsiteX199" y="connsiteY199"/>
            </a:cxn>
            <a:cxn ang="0">
              <a:pos x="connsiteX200" y="connsiteY200"/>
            </a:cxn>
            <a:cxn ang="0">
              <a:pos x="connsiteX201" y="connsiteY201"/>
            </a:cxn>
            <a:cxn ang="0">
              <a:pos x="connsiteX202" y="connsiteY202"/>
            </a:cxn>
            <a:cxn ang="0">
              <a:pos x="connsiteX203" y="connsiteY203"/>
            </a:cxn>
            <a:cxn ang="0">
              <a:pos x="connsiteX204" y="connsiteY204"/>
            </a:cxn>
            <a:cxn ang="0">
              <a:pos x="connsiteX205" y="connsiteY205"/>
            </a:cxn>
            <a:cxn ang="0">
              <a:pos x="connsiteX206" y="connsiteY206"/>
            </a:cxn>
            <a:cxn ang="0">
              <a:pos x="connsiteX207" y="connsiteY207"/>
            </a:cxn>
            <a:cxn ang="0">
              <a:pos x="connsiteX208" y="connsiteY208"/>
            </a:cxn>
            <a:cxn ang="0">
              <a:pos x="connsiteX209" y="connsiteY209"/>
            </a:cxn>
            <a:cxn ang="0">
              <a:pos x="connsiteX210" y="connsiteY210"/>
            </a:cxn>
            <a:cxn ang="0">
              <a:pos x="connsiteX211" y="connsiteY211"/>
            </a:cxn>
            <a:cxn ang="0">
              <a:pos x="connsiteX212" y="connsiteY212"/>
            </a:cxn>
            <a:cxn ang="0">
              <a:pos x="connsiteX213" y="connsiteY213"/>
            </a:cxn>
            <a:cxn ang="0">
              <a:pos x="connsiteX214" y="connsiteY214"/>
            </a:cxn>
            <a:cxn ang="0">
              <a:pos x="connsiteX215" y="connsiteY215"/>
            </a:cxn>
            <a:cxn ang="0">
              <a:pos x="connsiteX216" y="connsiteY216"/>
            </a:cxn>
            <a:cxn ang="0">
              <a:pos x="connsiteX217" y="connsiteY217"/>
            </a:cxn>
            <a:cxn ang="0">
              <a:pos x="connsiteX218" y="connsiteY218"/>
            </a:cxn>
            <a:cxn ang="0">
              <a:pos x="connsiteX219" y="connsiteY219"/>
            </a:cxn>
            <a:cxn ang="0">
              <a:pos x="connsiteX220" y="connsiteY220"/>
            </a:cxn>
            <a:cxn ang="0">
              <a:pos x="connsiteX221" y="connsiteY221"/>
            </a:cxn>
            <a:cxn ang="0">
              <a:pos x="connsiteX222" y="connsiteY222"/>
            </a:cxn>
            <a:cxn ang="0">
              <a:pos x="connsiteX223" y="connsiteY223"/>
            </a:cxn>
            <a:cxn ang="0">
              <a:pos x="connsiteX224" y="connsiteY224"/>
            </a:cxn>
            <a:cxn ang="0">
              <a:pos x="connsiteX225" y="connsiteY225"/>
            </a:cxn>
            <a:cxn ang="0">
              <a:pos x="connsiteX226" y="connsiteY226"/>
            </a:cxn>
            <a:cxn ang="0">
              <a:pos x="connsiteX227" y="connsiteY227"/>
            </a:cxn>
            <a:cxn ang="0">
              <a:pos x="connsiteX228" y="connsiteY228"/>
            </a:cxn>
            <a:cxn ang="0">
              <a:pos x="connsiteX229" y="connsiteY229"/>
            </a:cxn>
            <a:cxn ang="0">
              <a:pos x="connsiteX230" y="connsiteY230"/>
            </a:cxn>
            <a:cxn ang="0">
              <a:pos x="connsiteX231" y="connsiteY231"/>
            </a:cxn>
            <a:cxn ang="0">
              <a:pos x="connsiteX232" y="connsiteY232"/>
            </a:cxn>
            <a:cxn ang="0">
              <a:pos x="connsiteX233" y="connsiteY233"/>
            </a:cxn>
            <a:cxn ang="0">
              <a:pos x="connsiteX234" y="connsiteY234"/>
            </a:cxn>
            <a:cxn ang="0">
              <a:pos x="connsiteX235" y="connsiteY235"/>
            </a:cxn>
            <a:cxn ang="0">
              <a:pos x="connsiteX236" y="connsiteY236"/>
            </a:cxn>
            <a:cxn ang="0">
              <a:pos x="connsiteX237" y="connsiteY237"/>
            </a:cxn>
            <a:cxn ang="0">
              <a:pos x="connsiteX238" y="connsiteY238"/>
            </a:cxn>
            <a:cxn ang="0">
              <a:pos x="connsiteX239" y="connsiteY239"/>
            </a:cxn>
            <a:cxn ang="0">
              <a:pos x="connsiteX240" y="connsiteY240"/>
            </a:cxn>
            <a:cxn ang="0">
              <a:pos x="connsiteX241" y="connsiteY241"/>
            </a:cxn>
            <a:cxn ang="0">
              <a:pos x="connsiteX242" y="connsiteY242"/>
            </a:cxn>
            <a:cxn ang="0">
              <a:pos x="connsiteX243" y="connsiteY243"/>
            </a:cxn>
          </a:cxnLst>
          <a:rect l="l" t="t" r="r" b="b"/>
          <a:pathLst>
            <a:path w="9579686" h="6177280">
              <a:moveTo>
                <a:pt x="4531360" y="711200"/>
              </a:moveTo>
              <a:cubicBezTo>
                <a:pt x="3679735" y="733037"/>
                <a:pt x="3644815" y="745990"/>
                <a:pt x="2722880" y="711200"/>
              </a:cubicBezTo>
              <a:cubicBezTo>
                <a:pt x="2701476" y="710392"/>
                <a:pt x="2682829" y="695526"/>
                <a:pt x="2661920" y="690880"/>
              </a:cubicBezTo>
              <a:cubicBezTo>
                <a:pt x="2621701" y="681942"/>
                <a:pt x="2580219" y="679498"/>
                <a:pt x="2540000" y="670560"/>
              </a:cubicBezTo>
              <a:cubicBezTo>
                <a:pt x="2519091" y="665914"/>
                <a:pt x="2500114" y="654072"/>
                <a:pt x="2479040" y="650240"/>
              </a:cubicBezTo>
              <a:cubicBezTo>
                <a:pt x="2425312" y="640471"/>
                <a:pt x="2370345" y="638898"/>
                <a:pt x="2316480" y="629920"/>
              </a:cubicBezTo>
              <a:cubicBezTo>
                <a:pt x="2248345" y="618564"/>
                <a:pt x="2182259" y="592910"/>
                <a:pt x="2113280" y="589280"/>
              </a:cubicBezTo>
              <a:lnTo>
                <a:pt x="1341120" y="548640"/>
              </a:lnTo>
              <a:cubicBezTo>
                <a:pt x="1253067" y="555413"/>
                <a:pt x="1163761" y="552685"/>
                <a:pt x="1076960" y="568960"/>
              </a:cubicBezTo>
              <a:cubicBezTo>
                <a:pt x="1052957" y="573461"/>
                <a:pt x="1037843" y="598678"/>
                <a:pt x="1016000" y="609600"/>
              </a:cubicBezTo>
              <a:cubicBezTo>
                <a:pt x="996842" y="619179"/>
                <a:pt x="973764" y="619518"/>
                <a:pt x="955040" y="629920"/>
              </a:cubicBezTo>
              <a:cubicBezTo>
                <a:pt x="912343" y="653640"/>
                <a:pt x="873760" y="684107"/>
                <a:pt x="833120" y="711200"/>
              </a:cubicBezTo>
              <a:lnTo>
                <a:pt x="711200" y="792480"/>
              </a:lnTo>
              <a:lnTo>
                <a:pt x="650240" y="833120"/>
              </a:lnTo>
              <a:cubicBezTo>
                <a:pt x="559350" y="969454"/>
                <a:pt x="666420" y="835880"/>
                <a:pt x="548640" y="914400"/>
              </a:cubicBezTo>
              <a:cubicBezTo>
                <a:pt x="524730" y="930340"/>
                <a:pt x="509756" y="956963"/>
                <a:pt x="487680" y="975360"/>
              </a:cubicBezTo>
              <a:cubicBezTo>
                <a:pt x="468919" y="990994"/>
                <a:pt x="447040" y="1002453"/>
                <a:pt x="426720" y="1016000"/>
              </a:cubicBezTo>
              <a:cubicBezTo>
                <a:pt x="324691" y="1169044"/>
                <a:pt x="444489" y="974538"/>
                <a:pt x="365760" y="1158240"/>
              </a:cubicBezTo>
              <a:cubicBezTo>
                <a:pt x="356140" y="1180687"/>
                <a:pt x="336042" y="1197357"/>
                <a:pt x="325120" y="1219200"/>
              </a:cubicBezTo>
              <a:cubicBezTo>
                <a:pt x="240992" y="1387457"/>
                <a:pt x="380629" y="1166417"/>
                <a:pt x="264160" y="1341120"/>
              </a:cubicBezTo>
              <a:cubicBezTo>
                <a:pt x="210408" y="1556130"/>
                <a:pt x="283387" y="1302938"/>
                <a:pt x="203200" y="1483360"/>
              </a:cubicBezTo>
              <a:cubicBezTo>
                <a:pt x="185802" y="1522506"/>
                <a:pt x="162560" y="1605280"/>
                <a:pt x="162560" y="1605280"/>
              </a:cubicBezTo>
              <a:cubicBezTo>
                <a:pt x="169333" y="1686560"/>
                <a:pt x="172764" y="1768188"/>
                <a:pt x="182880" y="1849120"/>
              </a:cubicBezTo>
              <a:cubicBezTo>
                <a:pt x="186344" y="1876832"/>
                <a:pt x="197723" y="1903015"/>
                <a:pt x="203200" y="1930400"/>
              </a:cubicBezTo>
              <a:cubicBezTo>
                <a:pt x="211280" y="1970800"/>
                <a:pt x="216150" y="2011784"/>
                <a:pt x="223520" y="2052320"/>
              </a:cubicBezTo>
              <a:cubicBezTo>
                <a:pt x="229698" y="2086300"/>
                <a:pt x="237067" y="2120053"/>
                <a:pt x="243840" y="2153920"/>
              </a:cubicBezTo>
              <a:cubicBezTo>
                <a:pt x="219966" y="2440410"/>
                <a:pt x="205199" y="2489590"/>
                <a:pt x="243840" y="2824480"/>
              </a:cubicBezTo>
              <a:cubicBezTo>
                <a:pt x="248021" y="2860715"/>
                <a:pt x="270933" y="2892213"/>
                <a:pt x="284480" y="2926080"/>
              </a:cubicBezTo>
              <a:cubicBezTo>
                <a:pt x="277707" y="3034453"/>
                <a:pt x="278831" y="3143611"/>
                <a:pt x="264160" y="3251200"/>
              </a:cubicBezTo>
              <a:cubicBezTo>
                <a:pt x="246743" y="3378926"/>
                <a:pt x="222069" y="3339737"/>
                <a:pt x="203200" y="3434080"/>
              </a:cubicBezTo>
              <a:cubicBezTo>
                <a:pt x="196427" y="3467947"/>
                <a:pt x="191967" y="3502360"/>
                <a:pt x="182880" y="3535680"/>
              </a:cubicBezTo>
              <a:cubicBezTo>
                <a:pt x="171608" y="3577009"/>
                <a:pt x="150641" y="3615594"/>
                <a:pt x="142240" y="3657600"/>
              </a:cubicBezTo>
              <a:cubicBezTo>
                <a:pt x="135467" y="3691467"/>
                <a:pt x="131007" y="3725880"/>
                <a:pt x="121920" y="3759200"/>
              </a:cubicBezTo>
              <a:cubicBezTo>
                <a:pt x="110648" y="3800529"/>
                <a:pt x="94827" y="3840480"/>
                <a:pt x="81280" y="3881120"/>
              </a:cubicBezTo>
              <a:lnTo>
                <a:pt x="40640" y="4003040"/>
              </a:lnTo>
              <a:cubicBezTo>
                <a:pt x="33867" y="4023360"/>
                <a:pt x="25515" y="4043220"/>
                <a:pt x="20320" y="4064000"/>
              </a:cubicBezTo>
              <a:lnTo>
                <a:pt x="0" y="4145280"/>
              </a:lnTo>
              <a:cubicBezTo>
                <a:pt x="10610" y="4251378"/>
                <a:pt x="-13084" y="4335396"/>
                <a:pt x="60960" y="4409440"/>
              </a:cubicBezTo>
              <a:cubicBezTo>
                <a:pt x="78229" y="4426709"/>
                <a:pt x="101600" y="4436533"/>
                <a:pt x="121920" y="4450080"/>
              </a:cubicBezTo>
              <a:cubicBezTo>
                <a:pt x="135467" y="4429760"/>
                <a:pt x="152641" y="4411437"/>
                <a:pt x="162560" y="4389120"/>
              </a:cubicBezTo>
              <a:cubicBezTo>
                <a:pt x="179958" y="4349974"/>
                <a:pt x="203200" y="4267200"/>
                <a:pt x="203200" y="4267200"/>
              </a:cubicBezTo>
              <a:cubicBezTo>
                <a:pt x="212986" y="4169342"/>
                <a:pt x="217259" y="4059865"/>
                <a:pt x="243840" y="3962400"/>
              </a:cubicBezTo>
              <a:cubicBezTo>
                <a:pt x="255112" y="3921071"/>
                <a:pt x="276079" y="3882486"/>
                <a:pt x="284480" y="3840480"/>
              </a:cubicBezTo>
              <a:cubicBezTo>
                <a:pt x="291253" y="3806613"/>
                <a:pt x="295713" y="3772200"/>
                <a:pt x="304800" y="3738880"/>
              </a:cubicBezTo>
              <a:cubicBezTo>
                <a:pt x="316072" y="3697551"/>
                <a:pt x="345440" y="3616960"/>
                <a:pt x="345440" y="3616960"/>
              </a:cubicBezTo>
              <a:cubicBezTo>
                <a:pt x="352213" y="3556000"/>
                <a:pt x="355677" y="3494581"/>
                <a:pt x="365760" y="3434080"/>
              </a:cubicBezTo>
              <a:cubicBezTo>
                <a:pt x="369281" y="3412952"/>
                <a:pt x="380885" y="3393900"/>
                <a:pt x="386080" y="3373120"/>
              </a:cubicBezTo>
              <a:cubicBezTo>
                <a:pt x="394457" y="3339614"/>
                <a:pt x="397313" y="3304840"/>
                <a:pt x="406400" y="3271520"/>
              </a:cubicBezTo>
              <a:cubicBezTo>
                <a:pt x="417672" y="3230191"/>
                <a:pt x="447040" y="3149600"/>
                <a:pt x="447040" y="3149600"/>
              </a:cubicBezTo>
              <a:cubicBezTo>
                <a:pt x="505961" y="2737151"/>
                <a:pt x="431292" y="3251960"/>
                <a:pt x="487680" y="2885440"/>
              </a:cubicBezTo>
              <a:cubicBezTo>
                <a:pt x="539973" y="2545534"/>
                <a:pt x="477634" y="2925396"/>
                <a:pt x="528320" y="2621280"/>
              </a:cubicBezTo>
              <a:cubicBezTo>
                <a:pt x="577787" y="2695480"/>
                <a:pt x="619506" y="2752598"/>
                <a:pt x="650240" y="2844800"/>
              </a:cubicBezTo>
              <a:cubicBezTo>
                <a:pt x="663787" y="2885440"/>
                <a:pt x="680490" y="2925161"/>
                <a:pt x="690880" y="2966720"/>
              </a:cubicBezTo>
              <a:cubicBezTo>
                <a:pt x="697653" y="2993813"/>
                <a:pt x="700199" y="3022331"/>
                <a:pt x="711200" y="3048000"/>
              </a:cubicBezTo>
              <a:cubicBezTo>
                <a:pt x="720820" y="3070447"/>
                <a:pt x="741921" y="3086643"/>
                <a:pt x="751840" y="3108960"/>
              </a:cubicBezTo>
              <a:cubicBezTo>
                <a:pt x="769238" y="3148106"/>
                <a:pt x="778933" y="3190240"/>
                <a:pt x="792480" y="3230880"/>
              </a:cubicBezTo>
              <a:lnTo>
                <a:pt x="812800" y="3291840"/>
              </a:lnTo>
              <a:cubicBezTo>
                <a:pt x="819573" y="3312160"/>
                <a:pt x="828474" y="3331891"/>
                <a:pt x="833120" y="3352800"/>
              </a:cubicBezTo>
              <a:lnTo>
                <a:pt x="873760" y="3535680"/>
              </a:lnTo>
              <a:cubicBezTo>
                <a:pt x="872745" y="3555977"/>
                <a:pt x="889559" y="3948862"/>
                <a:pt x="812800" y="4064000"/>
              </a:cubicBezTo>
              <a:cubicBezTo>
                <a:pt x="799253" y="4084320"/>
                <a:pt x="782079" y="4102643"/>
                <a:pt x="772160" y="4124960"/>
              </a:cubicBezTo>
              <a:cubicBezTo>
                <a:pt x="754762" y="4164106"/>
                <a:pt x="731520" y="4246880"/>
                <a:pt x="731520" y="4246880"/>
              </a:cubicBezTo>
              <a:cubicBezTo>
                <a:pt x="738293" y="4328160"/>
                <a:pt x="738431" y="4410268"/>
                <a:pt x="751840" y="4490720"/>
              </a:cubicBezTo>
              <a:cubicBezTo>
                <a:pt x="758883" y="4532975"/>
                <a:pt x="784079" y="4570634"/>
                <a:pt x="792480" y="4612640"/>
              </a:cubicBezTo>
              <a:cubicBezTo>
                <a:pt x="822193" y="4761205"/>
                <a:pt x="807916" y="4680050"/>
                <a:pt x="833120" y="4856480"/>
              </a:cubicBezTo>
              <a:cubicBezTo>
                <a:pt x="839893" y="5093547"/>
                <a:pt x="841597" y="5330812"/>
                <a:pt x="853440" y="5567680"/>
              </a:cubicBezTo>
              <a:cubicBezTo>
                <a:pt x="863224" y="5763360"/>
                <a:pt x="883049" y="5575227"/>
                <a:pt x="955040" y="5791200"/>
              </a:cubicBezTo>
              <a:cubicBezTo>
                <a:pt x="961813" y="5811520"/>
                <a:pt x="954451" y="5847514"/>
                <a:pt x="975360" y="5852160"/>
              </a:cubicBezTo>
              <a:cubicBezTo>
                <a:pt x="1087959" y="5877182"/>
                <a:pt x="1205653" y="5865707"/>
                <a:pt x="1320800" y="5872480"/>
              </a:cubicBezTo>
              <a:cubicBezTo>
                <a:pt x="1347893" y="5879253"/>
                <a:pt x="1375227" y="5885128"/>
                <a:pt x="1402080" y="5892800"/>
              </a:cubicBezTo>
              <a:cubicBezTo>
                <a:pt x="1422675" y="5898684"/>
                <a:pt x="1441621" y="5913120"/>
                <a:pt x="1463040" y="5913120"/>
              </a:cubicBezTo>
              <a:cubicBezTo>
                <a:pt x="1504241" y="5913120"/>
                <a:pt x="1544320" y="5899573"/>
                <a:pt x="1584960" y="5892800"/>
              </a:cubicBezTo>
              <a:cubicBezTo>
                <a:pt x="1605280" y="5879253"/>
                <a:pt x="1642891" y="5876393"/>
                <a:pt x="1645920" y="5852160"/>
              </a:cubicBezTo>
              <a:cubicBezTo>
                <a:pt x="1651233" y="5809652"/>
                <a:pt x="1605280" y="5730240"/>
                <a:pt x="1605280" y="5730240"/>
              </a:cubicBezTo>
              <a:cubicBezTo>
                <a:pt x="1578902" y="5545592"/>
                <a:pt x="1600106" y="5633437"/>
                <a:pt x="1544320" y="5466080"/>
              </a:cubicBezTo>
              <a:cubicBezTo>
                <a:pt x="1537547" y="5445760"/>
                <a:pt x="1541822" y="5417001"/>
                <a:pt x="1524000" y="5405120"/>
              </a:cubicBezTo>
              <a:cubicBezTo>
                <a:pt x="1483360" y="5378027"/>
                <a:pt x="1436617" y="5358377"/>
                <a:pt x="1402080" y="5323840"/>
              </a:cubicBezTo>
              <a:cubicBezTo>
                <a:pt x="1323851" y="5245611"/>
                <a:pt x="1365030" y="5278820"/>
                <a:pt x="1280160" y="5222240"/>
              </a:cubicBezTo>
              <a:cubicBezTo>
                <a:pt x="1266613" y="5181600"/>
                <a:pt x="1263282" y="5135964"/>
                <a:pt x="1239520" y="5100320"/>
              </a:cubicBezTo>
              <a:cubicBezTo>
                <a:pt x="1146359" y="4960578"/>
                <a:pt x="1173686" y="5024737"/>
                <a:pt x="1137920" y="4917440"/>
              </a:cubicBezTo>
              <a:cubicBezTo>
                <a:pt x="1144693" y="4856480"/>
                <a:pt x="1148157" y="4795061"/>
                <a:pt x="1158240" y="4734560"/>
              </a:cubicBezTo>
              <a:cubicBezTo>
                <a:pt x="1164008" y="4699953"/>
                <a:pt x="1203108" y="4614849"/>
                <a:pt x="1219200" y="4592320"/>
              </a:cubicBezTo>
              <a:cubicBezTo>
                <a:pt x="1235903" y="4568936"/>
                <a:pt x="1259840" y="4551680"/>
                <a:pt x="1280160" y="4531360"/>
              </a:cubicBezTo>
              <a:cubicBezTo>
                <a:pt x="1286933" y="4470400"/>
                <a:pt x="1262164" y="4396375"/>
                <a:pt x="1300480" y="4348480"/>
              </a:cubicBezTo>
              <a:cubicBezTo>
                <a:pt x="1321636" y="4322035"/>
                <a:pt x="1346294" y="4399469"/>
                <a:pt x="1361440" y="4429760"/>
              </a:cubicBezTo>
              <a:cubicBezTo>
                <a:pt x="1506528" y="4719937"/>
                <a:pt x="1323176" y="4433323"/>
                <a:pt x="1442720" y="4612640"/>
              </a:cubicBezTo>
              <a:cubicBezTo>
                <a:pt x="1453748" y="4899355"/>
                <a:pt x="1423922" y="5064245"/>
                <a:pt x="1503680" y="5303520"/>
              </a:cubicBezTo>
              <a:cubicBezTo>
                <a:pt x="1510453" y="5323840"/>
                <a:pt x="1512119" y="5346658"/>
                <a:pt x="1524000" y="5364480"/>
              </a:cubicBezTo>
              <a:cubicBezTo>
                <a:pt x="1539940" y="5388390"/>
                <a:pt x="1564640" y="5405120"/>
                <a:pt x="1584960" y="5425440"/>
              </a:cubicBezTo>
              <a:cubicBezTo>
                <a:pt x="1591733" y="5459307"/>
                <a:pt x="1596193" y="5493720"/>
                <a:pt x="1605280" y="5527040"/>
              </a:cubicBezTo>
              <a:cubicBezTo>
                <a:pt x="1616552" y="5568369"/>
                <a:pt x="1637519" y="5606954"/>
                <a:pt x="1645920" y="5648960"/>
              </a:cubicBezTo>
              <a:cubicBezTo>
                <a:pt x="1652693" y="5682827"/>
                <a:pt x="1649105" y="5720573"/>
                <a:pt x="1666240" y="5750560"/>
              </a:cubicBezTo>
              <a:cubicBezTo>
                <a:pt x="1678357" y="5771764"/>
                <a:pt x="1706880" y="5777653"/>
                <a:pt x="1727200" y="5791200"/>
              </a:cubicBezTo>
              <a:cubicBezTo>
                <a:pt x="1815253" y="5784427"/>
                <a:pt x="1903532" y="5780125"/>
                <a:pt x="1991360" y="5770880"/>
              </a:cubicBezTo>
              <a:cubicBezTo>
                <a:pt x="2032334" y="5766567"/>
                <a:pt x="2086904" y="5782211"/>
                <a:pt x="2113280" y="5750560"/>
              </a:cubicBezTo>
              <a:cubicBezTo>
                <a:pt x="2135390" y="5724028"/>
                <a:pt x="2102047" y="5682280"/>
                <a:pt x="2092960" y="5648960"/>
              </a:cubicBezTo>
              <a:cubicBezTo>
                <a:pt x="2054132" y="5506589"/>
                <a:pt x="2056406" y="5533169"/>
                <a:pt x="1971040" y="5405120"/>
              </a:cubicBezTo>
              <a:lnTo>
                <a:pt x="1971040" y="5405120"/>
              </a:lnTo>
              <a:cubicBezTo>
                <a:pt x="1922677" y="5260032"/>
                <a:pt x="1954162" y="5318844"/>
                <a:pt x="1889760" y="5222240"/>
              </a:cubicBezTo>
              <a:cubicBezTo>
                <a:pt x="1882987" y="5195147"/>
                <a:pt x="1877112" y="5167813"/>
                <a:pt x="1869440" y="5140960"/>
              </a:cubicBezTo>
              <a:cubicBezTo>
                <a:pt x="1863556" y="5120365"/>
                <a:pt x="1853936" y="5100871"/>
                <a:pt x="1849120" y="5080000"/>
              </a:cubicBezTo>
              <a:cubicBezTo>
                <a:pt x="1811595" y="4917393"/>
                <a:pt x="1809576" y="4884470"/>
                <a:pt x="1788160" y="4734560"/>
              </a:cubicBezTo>
              <a:cubicBezTo>
                <a:pt x="1819069" y="3869099"/>
                <a:pt x="1761041" y="4389234"/>
                <a:pt x="1828800" y="4084320"/>
              </a:cubicBezTo>
              <a:cubicBezTo>
                <a:pt x="1836292" y="4050605"/>
                <a:pt x="1834828" y="4014162"/>
                <a:pt x="1849120" y="3982720"/>
              </a:cubicBezTo>
              <a:cubicBezTo>
                <a:pt x="1869331" y="3938255"/>
                <a:pt x="1889760" y="3887893"/>
                <a:pt x="1930400" y="3860800"/>
              </a:cubicBezTo>
              <a:lnTo>
                <a:pt x="2052320" y="3779520"/>
              </a:lnTo>
              <a:cubicBezTo>
                <a:pt x="2072640" y="3765973"/>
                <a:pt x="2096011" y="3756149"/>
                <a:pt x="2113280" y="3738880"/>
              </a:cubicBezTo>
              <a:cubicBezTo>
                <a:pt x="2158220" y="3693940"/>
                <a:pt x="2178620" y="3665570"/>
                <a:pt x="2235200" y="3637280"/>
              </a:cubicBezTo>
              <a:cubicBezTo>
                <a:pt x="2254358" y="3627701"/>
                <a:pt x="2275840" y="3623733"/>
                <a:pt x="2296160" y="3616960"/>
              </a:cubicBezTo>
              <a:cubicBezTo>
                <a:pt x="2402477" y="3626625"/>
                <a:pt x="2516303" y="3628970"/>
                <a:pt x="2621280" y="3657600"/>
              </a:cubicBezTo>
              <a:cubicBezTo>
                <a:pt x="2662609" y="3668872"/>
                <a:pt x="2702560" y="3684693"/>
                <a:pt x="2743200" y="3698240"/>
              </a:cubicBezTo>
              <a:cubicBezTo>
                <a:pt x="2763520" y="3705013"/>
                <a:pt x="2786338" y="3706679"/>
                <a:pt x="2804160" y="3718560"/>
              </a:cubicBezTo>
              <a:cubicBezTo>
                <a:pt x="2824480" y="3732107"/>
                <a:pt x="2842803" y="3749281"/>
                <a:pt x="2865120" y="3759200"/>
              </a:cubicBezTo>
              <a:cubicBezTo>
                <a:pt x="2904266" y="3776598"/>
                <a:pt x="2946400" y="3786293"/>
                <a:pt x="2987040" y="3799840"/>
              </a:cubicBezTo>
              <a:lnTo>
                <a:pt x="3108960" y="3840480"/>
              </a:lnTo>
              <a:cubicBezTo>
                <a:pt x="3129280" y="3847253"/>
                <a:pt x="3148917" y="3856599"/>
                <a:pt x="3169920" y="3860800"/>
              </a:cubicBezTo>
              <a:lnTo>
                <a:pt x="3271520" y="3881120"/>
              </a:lnTo>
              <a:cubicBezTo>
                <a:pt x="3417350" y="3978340"/>
                <a:pt x="3358903" y="3927863"/>
                <a:pt x="3454400" y="4023360"/>
              </a:cubicBezTo>
              <a:cubicBezTo>
                <a:pt x="3474720" y="4009813"/>
                <a:pt x="3506290" y="4005395"/>
                <a:pt x="3515360" y="3982720"/>
              </a:cubicBezTo>
              <a:cubicBezTo>
                <a:pt x="3522965" y="3963707"/>
                <a:pt x="3453568" y="3879813"/>
                <a:pt x="3515360" y="3860800"/>
              </a:cubicBezTo>
              <a:cubicBezTo>
                <a:pt x="3593315" y="3836814"/>
                <a:pt x="3677920" y="3847253"/>
                <a:pt x="3759200" y="3840480"/>
              </a:cubicBezTo>
              <a:cubicBezTo>
                <a:pt x="3779520" y="3833707"/>
                <a:pt x="3798750" y="3819530"/>
                <a:pt x="3820160" y="3820160"/>
              </a:cubicBezTo>
              <a:cubicBezTo>
                <a:pt x="4030479" y="3826346"/>
                <a:pt x="4450080" y="3860800"/>
                <a:pt x="4450080" y="3860800"/>
              </a:cubicBezTo>
              <a:cubicBezTo>
                <a:pt x="4531360" y="3854027"/>
                <a:pt x="4613106" y="3851500"/>
                <a:pt x="4693920" y="3840480"/>
              </a:cubicBezTo>
              <a:cubicBezTo>
                <a:pt x="4762361" y="3831147"/>
                <a:pt x="4828329" y="3806094"/>
                <a:pt x="4897120" y="3799840"/>
              </a:cubicBezTo>
              <a:lnTo>
                <a:pt x="5120640" y="3779520"/>
              </a:lnTo>
              <a:cubicBezTo>
                <a:pt x="5128575" y="3795391"/>
                <a:pt x="5181600" y="3891861"/>
                <a:pt x="5181600" y="3921760"/>
              </a:cubicBezTo>
              <a:cubicBezTo>
                <a:pt x="5181600" y="4207239"/>
                <a:pt x="5183939" y="4176566"/>
                <a:pt x="5140960" y="4348480"/>
              </a:cubicBezTo>
              <a:cubicBezTo>
                <a:pt x="5126393" y="4479583"/>
                <a:pt x="5099809" y="4602878"/>
                <a:pt x="5140960" y="4734560"/>
              </a:cubicBezTo>
              <a:cubicBezTo>
                <a:pt x="5155529" y="4781180"/>
                <a:pt x="5222240" y="4856480"/>
                <a:pt x="5222240" y="4856480"/>
              </a:cubicBezTo>
              <a:cubicBezTo>
                <a:pt x="5208693" y="4978400"/>
                <a:pt x="5196216" y="5100444"/>
                <a:pt x="5181600" y="5222240"/>
              </a:cubicBezTo>
              <a:cubicBezTo>
                <a:pt x="5175894" y="5269794"/>
                <a:pt x="5161280" y="5316585"/>
                <a:pt x="5161280" y="5364480"/>
              </a:cubicBezTo>
              <a:cubicBezTo>
                <a:pt x="5161280" y="5687102"/>
                <a:pt x="5146759" y="5625716"/>
                <a:pt x="5201920" y="5791200"/>
              </a:cubicBezTo>
              <a:cubicBezTo>
                <a:pt x="5192338" y="5819947"/>
                <a:pt x="5161280" y="5907925"/>
                <a:pt x="5161280" y="5933440"/>
              </a:cubicBezTo>
              <a:cubicBezTo>
                <a:pt x="5161280" y="5954859"/>
                <a:pt x="5171198" y="5975676"/>
                <a:pt x="5181600" y="5994400"/>
              </a:cubicBezTo>
              <a:cubicBezTo>
                <a:pt x="5227644" y="6077278"/>
                <a:pt x="5237206" y="6125811"/>
                <a:pt x="5323840" y="6136640"/>
              </a:cubicBezTo>
              <a:cubicBezTo>
                <a:pt x="5411471" y="6147594"/>
                <a:pt x="5500125" y="6148172"/>
                <a:pt x="5588000" y="6156960"/>
              </a:cubicBezTo>
              <a:cubicBezTo>
                <a:pt x="5635657" y="6161726"/>
                <a:pt x="5682827" y="6170507"/>
                <a:pt x="5730240" y="6177280"/>
              </a:cubicBezTo>
              <a:cubicBezTo>
                <a:pt x="5764107" y="6170507"/>
                <a:pt x="5803103" y="6176118"/>
                <a:pt x="5831840" y="6156960"/>
              </a:cubicBezTo>
              <a:cubicBezTo>
                <a:pt x="5849662" y="6145079"/>
                <a:pt x="5847959" y="6117003"/>
                <a:pt x="5852160" y="6096000"/>
              </a:cubicBezTo>
              <a:cubicBezTo>
                <a:pt x="5861553" y="6049035"/>
                <a:pt x="5851061" y="5996598"/>
                <a:pt x="5872480" y="5953760"/>
              </a:cubicBezTo>
              <a:cubicBezTo>
                <a:pt x="5882059" y="5934602"/>
                <a:pt x="5913120" y="5940213"/>
                <a:pt x="5933440" y="5933440"/>
              </a:cubicBezTo>
              <a:cubicBezTo>
                <a:pt x="5946987" y="5913120"/>
                <a:pt x="5971051" y="5896713"/>
                <a:pt x="5974080" y="5872480"/>
              </a:cubicBezTo>
              <a:cubicBezTo>
                <a:pt x="5981694" y="5811571"/>
                <a:pt x="5949779" y="5753911"/>
                <a:pt x="5913120" y="5709920"/>
              </a:cubicBezTo>
              <a:cubicBezTo>
                <a:pt x="5894723" y="5687844"/>
                <a:pt x="5868863" y="5672344"/>
                <a:pt x="5852160" y="5648960"/>
              </a:cubicBezTo>
              <a:cubicBezTo>
                <a:pt x="5834554" y="5624311"/>
                <a:pt x="5825067" y="5594773"/>
                <a:pt x="5811520" y="5567680"/>
              </a:cubicBezTo>
              <a:cubicBezTo>
                <a:pt x="5797210" y="5438890"/>
                <a:pt x="5801935" y="5407038"/>
                <a:pt x="5770880" y="5303520"/>
              </a:cubicBezTo>
              <a:cubicBezTo>
                <a:pt x="5758570" y="5262488"/>
                <a:pt x="5730240" y="5181600"/>
                <a:pt x="5730240" y="5181600"/>
              </a:cubicBezTo>
              <a:cubicBezTo>
                <a:pt x="5770058" y="4942693"/>
                <a:pt x="5730463" y="5160276"/>
                <a:pt x="5770880" y="4978400"/>
              </a:cubicBezTo>
              <a:cubicBezTo>
                <a:pt x="5778372" y="4944685"/>
                <a:pt x="5782113" y="4910120"/>
                <a:pt x="5791200" y="4876800"/>
              </a:cubicBezTo>
              <a:cubicBezTo>
                <a:pt x="5802472" y="4835471"/>
                <a:pt x="5808078" y="4790524"/>
                <a:pt x="5831840" y="4754880"/>
              </a:cubicBezTo>
              <a:cubicBezTo>
                <a:pt x="5845387" y="4734560"/>
                <a:pt x="5862561" y="4716237"/>
                <a:pt x="5872480" y="4693920"/>
              </a:cubicBezTo>
              <a:cubicBezTo>
                <a:pt x="5889878" y="4654774"/>
                <a:pt x="5899573" y="4612640"/>
                <a:pt x="5913120" y="4572000"/>
              </a:cubicBezTo>
              <a:cubicBezTo>
                <a:pt x="5941320" y="4487399"/>
                <a:pt x="5934143" y="4517331"/>
                <a:pt x="5953760" y="4409440"/>
              </a:cubicBezTo>
              <a:cubicBezTo>
                <a:pt x="5965187" y="4346594"/>
                <a:pt x="5977621" y="4221249"/>
                <a:pt x="6014720" y="4165600"/>
              </a:cubicBezTo>
              <a:cubicBezTo>
                <a:pt x="6028267" y="4145280"/>
                <a:pt x="6034651" y="4117583"/>
                <a:pt x="6055360" y="4104640"/>
              </a:cubicBezTo>
              <a:cubicBezTo>
                <a:pt x="6107859" y="4071828"/>
                <a:pt x="6217658" y="4057285"/>
                <a:pt x="6278880" y="4043680"/>
              </a:cubicBezTo>
              <a:cubicBezTo>
                <a:pt x="6306142" y="4037622"/>
                <a:pt x="6332775" y="4028837"/>
                <a:pt x="6360160" y="4023360"/>
              </a:cubicBezTo>
              <a:cubicBezTo>
                <a:pt x="6538970" y="3987598"/>
                <a:pt x="6424402" y="4022266"/>
                <a:pt x="6543040" y="3982720"/>
              </a:cubicBezTo>
              <a:cubicBezTo>
                <a:pt x="6678327" y="3847433"/>
                <a:pt x="6550802" y="3993133"/>
                <a:pt x="6624320" y="3860800"/>
              </a:cubicBezTo>
              <a:cubicBezTo>
                <a:pt x="6648040" y="3818103"/>
                <a:pt x="6678507" y="3779520"/>
                <a:pt x="6705600" y="3738880"/>
              </a:cubicBezTo>
              <a:cubicBezTo>
                <a:pt x="6719147" y="3718560"/>
                <a:pt x="6738517" y="3701088"/>
                <a:pt x="6746240" y="3677920"/>
              </a:cubicBezTo>
              <a:cubicBezTo>
                <a:pt x="6759787" y="3637280"/>
                <a:pt x="6763118" y="3591644"/>
                <a:pt x="6786880" y="3556000"/>
              </a:cubicBezTo>
              <a:cubicBezTo>
                <a:pt x="6800427" y="3535680"/>
                <a:pt x="6816598" y="3516883"/>
                <a:pt x="6827520" y="3495040"/>
              </a:cubicBezTo>
              <a:cubicBezTo>
                <a:pt x="6837099" y="3475882"/>
                <a:pt x="6838261" y="3453238"/>
                <a:pt x="6847840" y="3434080"/>
              </a:cubicBezTo>
              <a:cubicBezTo>
                <a:pt x="6858762" y="3412237"/>
                <a:pt x="6877558" y="3394963"/>
                <a:pt x="6888480" y="3373120"/>
              </a:cubicBezTo>
              <a:cubicBezTo>
                <a:pt x="6898059" y="3353962"/>
                <a:pt x="6891371" y="3324610"/>
                <a:pt x="6908800" y="3312160"/>
              </a:cubicBezTo>
              <a:cubicBezTo>
                <a:pt x="6943659" y="3287261"/>
                <a:pt x="7030720" y="3271520"/>
                <a:pt x="7030720" y="3271520"/>
              </a:cubicBezTo>
              <a:cubicBezTo>
                <a:pt x="7137251" y="3164989"/>
                <a:pt x="7068109" y="3258515"/>
                <a:pt x="7112000" y="3068320"/>
              </a:cubicBezTo>
              <a:cubicBezTo>
                <a:pt x="7149250" y="2906905"/>
                <a:pt x="7130719" y="2984897"/>
                <a:pt x="7213600" y="2885440"/>
              </a:cubicBezTo>
              <a:cubicBezTo>
                <a:pt x="7229234" y="2866679"/>
                <a:pt x="7235861" y="2840562"/>
                <a:pt x="7254240" y="2824480"/>
              </a:cubicBezTo>
              <a:lnTo>
                <a:pt x="7437120" y="2702560"/>
              </a:lnTo>
              <a:cubicBezTo>
                <a:pt x="7457440" y="2689013"/>
                <a:pt x="7474912" y="2669643"/>
                <a:pt x="7498080" y="2661920"/>
              </a:cubicBezTo>
              <a:lnTo>
                <a:pt x="7620000" y="2621280"/>
              </a:lnTo>
              <a:cubicBezTo>
                <a:pt x="7647093" y="2600960"/>
                <a:pt x="7673535" y="2579741"/>
                <a:pt x="7701280" y="2560320"/>
              </a:cubicBezTo>
              <a:cubicBezTo>
                <a:pt x="7741294" y="2532310"/>
                <a:pt x="7788663" y="2513577"/>
                <a:pt x="7823200" y="2479040"/>
              </a:cubicBezTo>
              <a:lnTo>
                <a:pt x="7884160" y="2418080"/>
              </a:lnTo>
              <a:cubicBezTo>
                <a:pt x="8073813" y="2424853"/>
                <a:pt x="8263739" y="2426182"/>
                <a:pt x="8453120" y="2438400"/>
              </a:cubicBezTo>
              <a:cubicBezTo>
                <a:pt x="8474495" y="2439779"/>
                <a:pt x="8494922" y="2449141"/>
                <a:pt x="8514080" y="2458720"/>
              </a:cubicBezTo>
              <a:cubicBezTo>
                <a:pt x="8535923" y="2469642"/>
                <a:pt x="8554720" y="2485813"/>
                <a:pt x="8575040" y="2499360"/>
              </a:cubicBezTo>
              <a:cubicBezTo>
                <a:pt x="8678574" y="2430337"/>
                <a:pt x="8632974" y="2441859"/>
                <a:pt x="8818880" y="2479040"/>
              </a:cubicBezTo>
              <a:cubicBezTo>
                <a:pt x="8860886" y="2487441"/>
                <a:pt x="8940800" y="2519680"/>
                <a:pt x="8940800" y="2519680"/>
              </a:cubicBezTo>
              <a:cubicBezTo>
                <a:pt x="9059544" y="2502717"/>
                <a:pt x="9077673" y="2502810"/>
                <a:pt x="9184640" y="2479040"/>
              </a:cubicBezTo>
              <a:cubicBezTo>
                <a:pt x="9327568" y="2447278"/>
                <a:pt x="9208081" y="2472342"/>
                <a:pt x="9326880" y="2438400"/>
              </a:cubicBezTo>
              <a:cubicBezTo>
                <a:pt x="9353733" y="2430728"/>
                <a:pt x="9381067" y="2424853"/>
                <a:pt x="9408160" y="2418080"/>
              </a:cubicBezTo>
              <a:cubicBezTo>
                <a:pt x="9414933" y="2363893"/>
                <a:pt x="9392200" y="2296335"/>
                <a:pt x="9428480" y="2255520"/>
              </a:cubicBezTo>
              <a:cubicBezTo>
                <a:pt x="9460300" y="2219723"/>
                <a:pt x="9539551" y="2271564"/>
                <a:pt x="9570720" y="2235200"/>
              </a:cubicBezTo>
              <a:cubicBezTo>
                <a:pt x="9597533" y="2203918"/>
                <a:pt x="9556227" y="2154066"/>
                <a:pt x="9550400" y="2113280"/>
              </a:cubicBezTo>
              <a:cubicBezTo>
                <a:pt x="9542677" y="2059220"/>
                <a:pt x="9539849" y="2004448"/>
                <a:pt x="9530080" y="1950720"/>
              </a:cubicBezTo>
              <a:cubicBezTo>
                <a:pt x="9516668" y="1876953"/>
                <a:pt x="9470667" y="1831121"/>
                <a:pt x="9428480" y="1767840"/>
              </a:cubicBezTo>
              <a:lnTo>
                <a:pt x="9387840" y="1706880"/>
              </a:lnTo>
              <a:cubicBezTo>
                <a:pt x="9374293" y="1686560"/>
                <a:pt x="9354923" y="1669088"/>
                <a:pt x="9347200" y="1645920"/>
              </a:cubicBezTo>
              <a:cubicBezTo>
                <a:pt x="9340427" y="1625600"/>
                <a:pt x="9337282" y="1603684"/>
                <a:pt x="9326880" y="1584960"/>
              </a:cubicBezTo>
              <a:cubicBezTo>
                <a:pt x="9266117" y="1475587"/>
                <a:pt x="9258688" y="1476128"/>
                <a:pt x="9184640" y="1402080"/>
              </a:cubicBezTo>
              <a:cubicBezTo>
                <a:pt x="9124401" y="1161124"/>
                <a:pt x="9216808" y="1542602"/>
                <a:pt x="9144000" y="1178560"/>
              </a:cubicBezTo>
              <a:cubicBezTo>
                <a:pt x="9139799" y="1157557"/>
                <a:pt x="9129564" y="1138195"/>
                <a:pt x="9123680" y="1117600"/>
              </a:cubicBezTo>
              <a:cubicBezTo>
                <a:pt x="9116008" y="1090747"/>
                <a:pt x="9114361" y="1061989"/>
                <a:pt x="9103360" y="1036320"/>
              </a:cubicBezTo>
              <a:cubicBezTo>
                <a:pt x="9073655" y="967009"/>
                <a:pt x="9048364" y="974320"/>
                <a:pt x="9001760" y="914400"/>
              </a:cubicBezTo>
              <a:cubicBezTo>
                <a:pt x="8909848" y="796227"/>
                <a:pt x="8924410" y="804269"/>
                <a:pt x="8879840" y="670560"/>
              </a:cubicBezTo>
              <a:lnTo>
                <a:pt x="8859520" y="609600"/>
              </a:lnTo>
              <a:cubicBezTo>
                <a:pt x="8873067" y="541867"/>
                <a:pt x="8834630" y="428243"/>
                <a:pt x="8900160" y="406400"/>
              </a:cubicBezTo>
              <a:cubicBezTo>
                <a:pt x="9081331" y="346010"/>
                <a:pt x="8795448" y="442630"/>
                <a:pt x="9062720" y="345440"/>
              </a:cubicBezTo>
              <a:cubicBezTo>
                <a:pt x="9222317" y="287405"/>
                <a:pt x="9140725" y="334077"/>
                <a:pt x="9245600" y="264160"/>
              </a:cubicBezTo>
              <a:cubicBezTo>
                <a:pt x="9254157" y="251324"/>
                <a:pt x="9317076" y="168530"/>
                <a:pt x="9306560" y="142240"/>
              </a:cubicBezTo>
              <a:cubicBezTo>
                <a:pt x="9297490" y="119565"/>
                <a:pt x="9265920" y="115147"/>
                <a:pt x="9245600" y="101600"/>
              </a:cubicBezTo>
              <a:cubicBezTo>
                <a:pt x="9218507" y="108373"/>
                <a:pt x="9191705" y="116443"/>
                <a:pt x="9164320" y="121920"/>
              </a:cubicBezTo>
              <a:cubicBezTo>
                <a:pt x="9123920" y="130000"/>
                <a:pt x="9082370" y="132247"/>
                <a:pt x="9042400" y="142240"/>
              </a:cubicBezTo>
              <a:cubicBezTo>
                <a:pt x="8832705" y="194664"/>
                <a:pt x="8992955" y="156802"/>
                <a:pt x="8859520" y="223520"/>
              </a:cubicBezTo>
              <a:cubicBezTo>
                <a:pt x="8840362" y="233099"/>
                <a:pt x="8817718" y="234261"/>
                <a:pt x="8798560" y="243840"/>
              </a:cubicBezTo>
              <a:cubicBezTo>
                <a:pt x="8776717" y="254762"/>
                <a:pt x="8756361" y="268846"/>
                <a:pt x="8737600" y="284480"/>
              </a:cubicBezTo>
              <a:cubicBezTo>
                <a:pt x="8715524" y="302877"/>
                <a:pt x="8701760" y="331484"/>
                <a:pt x="8676640" y="345440"/>
              </a:cubicBezTo>
              <a:cubicBezTo>
                <a:pt x="8639193" y="366244"/>
                <a:pt x="8554720" y="386080"/>
                <a:pt x="8554720" y="386080"/>
              </a:cubicBezTo>
              <a:cubicBezTo>
                <a:pt x="8514080" y="372533"/>
                <a:pt x="8425757" y="387695"/>
                <a:pt x="8432800" y="345440"/>
              </a:cubicBezTo>
              <a:cubicBezTo>
                <a:pt x="8439573" y="304800"/>
                <a:pt x="8429493" y="257273"/>
                <a:pt x="8453120" y="223520"/>
              </a:cubicBezTo>
              <a:cubicBezTo>
                <a:pt x="8481130" y="183506"/>
                <a:pt x="8575040" y="142240"/>
                <a:pt x="8575040" y="142240"/>
              </a:cubicBezTo>
              <a:cubicBezTo>
                <a:pt x="8581813" y="121920"/>
                <a:pt x="8585781" y="100438"/>
                <a:pt x="8595360" y="81280"/>
              </a:cubicBezTo>
              <a:cubicBezTo>
                <a:pt x="8606282" y="59437"/>
                <a:pt x="8641923" y="44012"/>
                <a:pt x="8636000" y="20320"/>
              </a:cubicBezTo>
              <a:cubicBezTo>
                <a:pt x="8630805" y="-460"/>
                <a:pt x="8595360" y="6773"/>
                <a:pt x="8575040" y="0"/>
              </a:cubicBezTo>
              <a:cubicBezTo>
                <a:pt x="8486987" y="6773"/>
                <a:pt x="8397681" y="4045"/>
                <a:pt x="8310880" y="20320"/>
              </a:cubicBezTo>
              <a:cubicBezTo>
                <a:pt x="8246372" y="32415"/>
                <a:pt x="8189283" y="151916"/>
                <a:pt x="8168640" y="182880"/>
              </a:cubicBezTo>
              <a:cubicBezTo>
                <a:pt x="8155093" y="203200"/>
                <a:pt x="8135723" y="220672"/>
                <a:pt x="8128000" y="243840"/>
              </a:cubicBezTo>
              <a:cubicBezTo>
                <a:pt x="8098849" y="331294"/>
                <a:pt x="8112875" y="284020"/>
                <a:pt x="8087360" y="386080"/>
              </a:cubicBezTo>
              <a:cubicBezTo>
                <a:pt x="8019627" y="379307"/>
                <a:pt x="7951440" y="376111"/>
                <a:pt x="7884160" y="365760"/>
              </a:cubicBezTo>
              <a:cubicBezTo>
                <a:pt x="7862990" y="362503"/>
                <a:pt x="7844619" y="345440"/>
                <a:pt x="7823200" y="345440"/>
              </a:cubicBezTo>
              <a:cubicBezTo>
                <a:pt x="7687564" y="345440"/>
                <a:pt x="7552267" y="358987"/>
                <a:pt x="7416800" y="365760"/>
              </a:cubicBezTo>
              <a:cubicBezTo>
                <a:pt x="7396480" y="372533"/>
                <a:pt x="7370986" y="370934"/>
                <a:pt x="7355840" y="386080"/>
              </a:cubicBezTo>
              <a:cubicBezTo>
                <a:pt x="7340694" y="401226"/>
                <a:pt x="7339352" y="425966"/>
                <a:pt x="7335520" y="447040"/>
              </a:cubicBezTo>
              <a:cubicBezTo>
                <a:pt x="7325751" y="500768"/>
                <a:pt x="7337379" y="559698"/>
                <a:pt x="7315200" y="609600"/>
              </a:cubicBezTo>
              <a:cubicBezTo>
                <a:pt x="7306501" y="629173"/>
                <a:pt x="7275243" y="625719"/>
                <a:pt x="7254240" y="629920"/>
              </a:cubicBezTo>
              <a:cubicBezTo>
                <a:pt x="7207275" y="639313"/>
                <a:pt x="7159413" y="643467"/>
                <a:pt x="7112000" y="650240"/>
              </a:cubicBezTo>
              <a:cubicBezTo>
                <a:pt x="6962987" y="643467"/>
                <a:pt x="6813652" y="641815"/>
                <a:pt x="6664960" y="629920"/>
              </a:cubicBezTo>
              <a:cubicBezTo>
                <a:pt x="6618236" y="626182"/>
                <a:pt x="6562385" y="582182"/>
                <a:pt x="6522720" y="568960"/>
              </a:cubicBezTo>
              <a:cubicBezTo>
                <a:pt x="6489955" y="558038"/>
                <a:pt x="6454835" y="556132"/>
                <a:pt x="6421120" y="548640"/>
              </a:cubicBezTo>
              <a:cubicBezTo>
                <a:pt x="6393858" y="542582"/>
                <a:pt x="6366693" y="535992"/>
                <a:pt x="6339840" y="528320"/>
              </a:cubicBezTo>
              <a:cubicBezTo>
                <a:pt x="6319245" y="522436"/>
                <a:pt x="6300245" y="509526"/>
                <a:pt x="6278880" y="508000"/>
              </a:cubicBezTo>
              <a:cubicBezTo>
                <a:pt x="6109842" y="495926"/>
                <a:pt x="5940213" y="494453"/>
                <a:pt x="5770880" y="487680"/>
              </a:cubicBezTo>
              <a:cubicBezTo>
                <a:pt x="5696373" y="494453"/>
                <a:pt x="5620721" y="493328"/>
                <a:pt x="5547360" y="508000"/>
              </a:cubicBezTo>
              <a:cubicBezTo>
                <a:pt x="5339343" y="549603"/>
                <a:pt x="5589283" y="551920"/>
                <a:pt x="5384800" y="568960"/>
              </a:cubicBezTo>
              <a:cubicBezTo>
                <a:pt x="5249633" y="580224"/>
                <a:pt x="5113867" y="582507"/>
                <a:pt x="4978400" y="589280"/>
              </a:cubicBezTo>
              <a:cubicBezTo>
                <a:pt x="4951307" y="596053"/>
                <a:pt x="4924667" y="605009"/>
                <a:pt x="4897120" y="609600"/>
              </a:cubicBezTo>
              <a:cubicBezTo>
                <a:pt x="4824947" y="621629"/>
                <a:pt x="4689386" y="631054"/>
                <a:pt x="4612640" y="650240"/>
              </a:cubicBezTo>
              <a:cubicBezTo>
                <a:pt x="4571081" y="660630"/>
                <a:pt x="4532726" y="682479"/>
                <a:pt x="4490720" y="690880"/>
              </a:cubicBezTo>
              <a:cubicBezTo>
                <a:pt x="4422987" y="704427"/>
                <a:pt x="4353050" y="709677"/>
                <a:pt x="4287520" y="731520"/>
              </a:cubicBezTo>
              <a:lnTo>
                <a:pt x="4226560" y="751840"/>
              </a:lnTo>
            </a:path>
          </a:pathLst>
        </a:custGeom>
        <a:solidFill>
          <a:sysClr val="windowText" lastClr="000000"/>
        </a:solidFill>
        <a:ln w="25400" cap="flat" cmpd="sng" algn="ctr">
          <a:noFill/>
          <a:prstDash val="solid"/>
        </a:ln>
        <a:effectLst/>
        <a:scene3d>
          <a:camera prst="orthographicFront">
            <a:rot lat="0" lon="10800000" rev="0"/>
          </a:camera>
          <a:lightRig rig="threePt" dir="t"/>
        </a:scene3d>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pPr algn="ctr" fontAlgn="auto">
            <a:spcBef>
              <a:spcPts val="0"/>
            </a:spcBef>
            <a:spcAft>
              <a:spcPts val="0"/>
            </a:spcAft>
            <a:defRPr/>
          </a:pPr>
          <a:endParaRPr kumimoji="0" lang="ja-JP" altLang="en-US" sz="2000" kern="0">
            <a:solidFill>
              <a:prstClr val="white"/>
            </a:solidFill>
            <a:latin typeface="Calibri"/>
            <a:ea typeface="ＭＳ Ｐゴシック"/>
          </a:endParaRPr>
        </a:p>
      </xdr:txBody>
    </xdr:sp>
    <xdr:clientData/>
  </xdr:twoCellAnchor>
  <xdr:twoCellAnchor>
    <xdr:from>
      <xdr:col>4</xdr:col>
      <xdr:colOff>82113</xdr:colOff>
      <xdr:row>19</xdr:row>
      <xdr:rowOff>142547</xdr:rowOff>
    </xdr:from>
    <xdr:to>
      <xdr:col>4</xdr:col>
      <xdr:colOff>412321</xdr:colOff>
      <xdr:row>21</xdr:row>
      <xdr:rowOff>41439</xdr:rowOff>
    </xdr:to>
    <xdr:sp macro="" textlink="">
      <xdr:nvSpPr>
        <xdr:cNvPr id="3" name="フリーフォーム 2"/>
        <xdr:cNvSpPr/>
      </xdr:nvSpPr>
      <xdr:spPr bwMode="auto">
        <a:xfrm rot="200979" flipH="1">
          <a:off x="2396688" y="2895272"/>
          <a:ext cx="330208" cy="241792"/>
        </a:xfrm>
        <a:custGeom>
          <a:avLst/>
          <a:gdLst>
            <a:gd name="connsiteX0" fmla="*/ 4531360 w 9579686"/>
            <a:gd name="connsiteY0" fmla="*/ 711200 h 6177280"/>
            <a:gd name="connsiteX1" fmla="*/ 2722880 w 9579686"/>
            <a:gd name="connsiteY1" fmla="*/ 711200 h 6177280"/>
            <a:gd name="connsiteX2" fmla="*/ 2661920 w 9579686"/>
            <a:gd name="connsiteY2" fmla="*/ 690880 h 6177280"/>
            <a:gd name="connsiteX3" fmla="*/ 2540000 w 9579686"/>
            <a:gd name="connsiteY3" fmla="*/ 670560 h 6177280"/>
            <a:gd name="connsiteX4" fmla="*/ 2479040 w 9579686"/>
            <a:gd name="connsiteY4" fmla="*/ 650240 h 6177280"/>
            <a:gd name="connsiteX5" fmla="*/ 2316480 w 9579686"/>
            <a:gd name="connsiteY5" fmla="*/ 629920 h 6177280"/>
            <a:gd name="connsiteX6" fmla="*/ 2113280 w 9579686"/>
            <a:gd name="connsiteY6" fmla="*/ 589280 h 6177280"/>
            <a:gd name="connsiteX7" fmla="*/ 1341120 w 9579686"/>
            <a:gd name="connsiteY7" fmla="*/ 548640 h 6177280"/>
            <a:gd name="connsiteX8" fmla="*/ 1076960 w 9579686"/>
            <a:gd name="connsiteY8" fmla="*/ 568960 h 6177280"/>
            <a:gd name="connsiteX9" fmla="*/ 1016000 w 9579686"/>
            <a:gd name="connsiteY9" fmla="*/ 609600 h 6177280"/>
            <a:gd name="connsiteX10" fmla="*/ 955040 w 9579686"/>
            <a:gd name="connsiteY10" fmla="*/ 629920 h 6177280"/>
            <a:gd name="connsiteX11" fmla="*/ 833120 w 9579686"/>
            <a:gd name="connsiteY11" fmla="*/ 711200 h 6177280"/>
            <a:gd name="connsiteX12" fmla="*/ 711200 w 9579686"/>
            <a:gd name="connsiteY12" fmla="*/ 792480 h 6177280"/>
            <a:gd name="connsiteX13" fmla="*/ 650240 w 9579686"/>
            <a:gd name="connsiteY13" fmla="*/ 833120 h 6177280"/>
            <a:gd name="connsiteX14" fmla="*/ 548640 w 9579686"/>
            <a:gd name="connsiteY14" fmla="*/ 914400 h 6177280"/>
            <a:gd name="connsiteX15" fmla="*/ 487680 w 9579686"/>
            <a:gd name="connsiteY15" fmla="*/ 975360 h 6177280"/>
            <a:gd name="connsiteX16" fmla="*/ 426720 w 9579686"/>
            <a:gd name="connsiteY16" fmla="*/ 1016000 h 6177280"/>
            <a:gd name="connsiteX17" fmla="*/ 365760 w 9579686"/>
            <a:gd name="connsiteY17" fmla="*/ 1158240 h 6177280"/>
            <a:gd name="connsiteX18" fmla="*/ 325120 w 9579686"/>
            <a:gd name="connsiteY18" fmla="*/ 1219200 h 6177280"/>
            <a:gd name="connsiteX19" fmla="*/ 264160 w 9579686"/>
            <a:gd name="connsiteY19" fmla="*/ 1341120 h 6177280"/>
            <a:gd name="connsiteX20" fmla="*/ 203200 w 9579686"/>
            <a:gd name="connsiteY20" fmla="*/ 1483360 h 6177280"/>
            <a:gd name="connsiteX21" fmla="*/ 162560 w 9579686"/>
            <a:gd name="connsiteY21" fmla="*/ 1605280 h 6177280"/>
            <a:gd name="connsiteX22" fmla="*/ 182880 w 9579686"/>
            <a:gd name="connsiteY22" fmla="*/ 1849120 h 6177280"/>
            <a:gd name="connsiteX23" fmla="*/ 203200 w 9579686"/>
            <a:gd name="connsiteY23" fmla="*/ 1930400 h 6177280"/>
            <a:gd name="connsiteX24" fmla="*/ 223520 w 9579686"/>
            <a:gd name="connsiteY24" fmla="*/ 2052320 h 6177280"/>
            <a:gd name="connsiteX25" fmla="*/ 243840 w 9579686"/>
            <a:gd name="connsiteY25" fmla="*/ 2153920 h 6177280"/>
            <a:gd name="connsiteX26" fmla="*/ 243840 w 9579686"/>
            <a:gd name="connsiteY26" fmla="*/ 2824480 h 6177280"/>
            <a:gd name="connsiteX27" fmla="*/ 284480 w 9579686"/>
            <a:gd name="connsiteY27" fmla="*/ 2926080 h 6177280"/>
            <a:gd name="connsiteX28" fmla="*/ 264160 w 9579686"/>
            <a:gd name="connsiteY28" fmla="*/ 3251200 h 6177280"/>
            <a:gd name="connsiteX29" fmla="*/ 203200 w 9579686"/>
            <a:gd name="connsiteY29" fmla="*/ 3434080 h 6177280"/>
            <a:gd name="connsiteX30" fmla="*/ 182880 w 9579686"/>
            <a:gd name="connsiteY30" fmla="*/ 3535680 h 6177280"/>
            <a:gd name="connsiteX31" fmla="*/ 142240 w 9579686"/>
            <a:gd name="connsiteY31" fmla="*/ 3657600 h 6177280"/>
            <a:gd name="connsiteX32" fmla="*/ 121920 w 9579686"/>
            <a:gd name="connsiteY32" fmla="*/ 3759200 h 6177280"/>
            <a:gd name="connsiteX33" fmla="*/ 81280 w 9579686"/>
            <a:gd name="connsiteY33" fmla="*/ 3881120 h 6177280"/>
            <a:gd name="connsiteX34" fmla="*/ 40640 w 9579686"/>
            <a:gd name="connsiteY34" fmla="*/ 4003040 h 6177280"/>
            <a:gd name="connsiteX35" fmla="*/ 20320 w 9579686"/>
            <a:gd name="connsiteY35" fmla="*/ 4064000 h 6177280"/>
            <a:gd name="connsiteX36" fmla="*/ 0 w 9579686"/>
            <a:gd name="connsiteY36" fmla="*/ 4145280 h 6177280"/>
            <a:gd name="connsiteX37" fmla="*/ 60960 w 9579686"/>
            <a:gd name="connsiteY37" fmla="*/ 4409440 h 6177280"/>
            <a:gd name="connsiteX38" fmla="*/ 121920 w 9579686"/>
            <a:gd name="connsiteY38" fmla="*/ 4450080 h 6177280"/>
            <a:gd name="connsiteX39" fmla="*/ 162560 w 9579686"/>
            <a:gd name="connsiteY39" fmla="*/ 4389120 h 6177280"/>
            <a:gd name="connsiteX40" fmla="*/ 203200 w 9579686"/>
            <a:gd name="connsiteY40" fmla="*/ 4267200 h 6177280"/>
            <a:gd name="connsiteX41" fmla="*/ 243840 w 9579686"/>
            <a:gd name="connsiteY41" fmla="*/ 3962400 h 6177280"/>
            <a:gd name="connsiteX42" fmla="*/ 284480 w 9579686"/>
            <a:gd name="connsiteY42" fmla="*/ 3840480 h 6177280"/>
            <a:gd name="connsiteX43" fmla="*/ 304800 w 9579686"/>
            <a:gd name="connsiteY43" fmla="*/ 3738880 h 6177280"/>
            <a:gd name="connsiteX44" fmla="*/ 345440 w 9579686"/>
            <a:gd name="connsiteY44" fmla="*/ 3616960 h 6177280"/>
            <a:gd name="connsiteX45" fmla="*/ 365760 w 9579686"/>
            <a:gd name="connsiteY45" fmla="*/ 3434080 h 6177280"/>
            <a:gd name="connsiteX46" fmla="*/ 386080 w 9579686"/>
            <a:gd name="connsiteY46" fmla="*/ 3373120 h 6177280"/>
            <a:gd name="connsiteX47" fmla="*/ 406400 w 9579686"/>
            <a:gd name="connsiteY47" fmla="*/ 3271520 h 6177280"/>
            <a:gd name="connsiteX48" fmla="*/ 447040 w 9579686"/>
            <a:gd name="connsiteY48" fmla="*/ 3149600 h 6177280"/>
            <a:gd name="connsiteX49" fmla="*/ 487680 w 9579686"/>
            <a:gd name="connsiteY49" fmla="*/ 2885440 h 6177280"/>
            <a:gd name="connsiteX50" fmla="*/ 528320 w 9579686"/>
            <a:gd name="connsiteY50" fmla="*/ 2621280 h 6177280"/>
            <a:gd name="connsiteX51" fmla="*/ 650240 w 9579686"/>
            <a:gd name="connsiteY51" fmla="*/ 2844800 h 6177280"/>
            <a:gd name="connsiteX52" fmla="*/ 690880 w 9579686"/>
            <a:gd name="connsiteY52" fmla="*/ 2966720 h 6177280"/>
            <a:gd name="connsiteX53" fmla="*/ 711200 w 9579686"/>
            <a:gd name="connsiteY53" fmla="*/ 3048000 h 6177280"/>
            <a:gd name="connsiteX54" fmla="*/ 751840 w 9579686"/>
            <a:gd name="connsiteY54" fmla="*/ 3108960 h 6177280"/>
            <a:gd name="connsiteX55" fmla="*/ 792480 w 9579686"/>
            <a:gd name="connsiteY55" fmla="*/ 3230880 h 6177280"/>
            <a:gd name="connsiteX56" fmla="*/ 812800 w 9579686"/>
            <a:gd name="connsiteY56" fmla="*/ 3291840 h 6177280"/>
            <a:gd name="connsiteX57" fmla="*/ 833120 w 9579686"/>
            <a:gd name="connsiteY57" fmla="*/ 3352800 h 6177280"/>
            <a:gd name="connsiteX58" fmla="*/ 873760 w 9579686"/>
            <a:gd name="connsiteY58" fmla="*/ 3535680 h 6177280"/>
            <a:gd name="connsiteX59" fmla="*/ 812800 w 9579686"/>
            <a:gd name="connsiteY59" fmla="*/ 4064000 h 6177280"/>
            <a:gd name="connsiteX60" fmla="*/ 772160 w 9579686"/>
            <a:gd name="connsiteY60" fmla="*/ 4124960 h 6177280"/>
            <a:gd name="connsiteX61" fmla="*/ 731520 w 9579686"/>
            <a:gd name="connsiteY61" fmla="*/ 4246880 h 6177280"/>
            <a:gd name="connsiteX62" fmla="*/ 751840 w 9579686"/>
            <a:gd name="connsiteY62" fmla="*/ 4490720 h 6177280"/>
            <a:gd name="connsiteX63" fmla="*/ 792480 w 9579686"/>
            <a:gd name="connsiteY63" fmla="*/ 4612640 h 6177280"/>
            <a:gd name="connsiteX64" fmla="*/ 833120 w 9579686"/>
            <a:gd name="connsiteY64" fmla="*/ 4856480 h 6177280"/>
            <a:gd name="connsiteX65" fmla="*/ 853440 w 9579686"/>
            <a:gd name="connsiteY65" fmla="*/ 5567680 h 6177280"/>
            <a:gd name="connsiteX66" fmla="*/ 955040 w 9579686"/>
            <a:gd name="connsiteY66" fmla="*/ 5791200 h 6177280"/>
            <a:gd name="connsiteX67" fmla="*/ 975360 w 9579686"/>
            <a:gd name="connsiteY67" fmla="*/ 5852160 h 6177280"/>
            <a:gd name="connsiteX68" fmla="*/ 1320800 w 9579686"/>
            <a:gd name="connsiteY68" fmla="*/ 5872480 h 6177280"/>
            <a:gd name="connsiteX69" fmla="*/ 1402080 w 9579686"/>
            <a:gd name="connsiteY69" fmla="*/ 5892800 h 6177280"/>
            <a:gd name="connsiteX70" fmla="*/ 1463040 w 9579686"/>
            <a:gd name="connsiteY70" fmla="*/ 5913120 h 6177280"/>
            <a:gd name="connsiteX71" fmla="*/ 1584960 w 9579686"/>
            <a:gd name="connsiteY71" fmla="*/ 5892800 h 6177280"/>
            <a:gd name="connsiteX72" fmla="*/ 1645920 w 9579686"/>
            <a:gd name="connsiteY72" fmla="*/ 5852160 h 6177280"/>
            <a:gd name="connsiteX73" fmla="*/ 1605280 w 9579686"/>
            <a:gd name="connsiteY73" fmla="*/ 5730240 h 6177280"/>
            <a:gd name="connsiteX74" fmla="*/ 1544320 w 9579686"/>
            <a:gd name="connsiteY74" fmla="*/ 5466080 h 6177280"/>
            <a:gd name="connsiteX75" fmla="*/ 1524000 w 9579686"/>
            <a:gd name="connsiteY75" fmla="*/ 5405120 h 6177280"/>
            <a:gd name="connsiteX76" fmla="*/ 1402080 w 9579686"/>
            <a:gd name="connsiteY76" fmla="*/ 5323840 h 6177280"/>
            <a:gd name="connsiteX77" fmla="*/ 1280160 w 9579686"/>
            <a:gd name="connsiteY77" fmla="*/ 5222240 h 6177280"/>
            <a:gd name="connsiteX78" fmla="*/ 1239520 w 9579686"/>
            <a:gd name="connsiteY78" fmla="*/ 5100320 h 6177280"/>
            <a:gd name="connsiteX79" fmla="*/ 1137920 w 9579686"/>
            <a:gd name="connsiteY79" fmla="*/ 4917440 h 6177280"/>
            <a:gd name="connsiteX80" fmla="*/ 1158240 w 9579686"/>
            <a:gd name="connsiteY80" fmla="*/ 4734560 h 6177280"/>
            <a:gd name="connsiteX81" fmla="*/ 1219200 w 9579686"/>
            <a:gd name="connsiteY81" fmla="*/ 4592320 h 6177280"/>
            <a:gd name="connsiteX82" fmla="*/ 1280160 w 9579686"/>
            <a:gd name="connsiteY82" fmla="*/ 4531360 h 6177280"/>
            <a:gd name="connsiteX83" fmla="*/ 1300480 w 9579686"/>
            <a:gd name="connsiteY83" fmla="*/ 4348480 h 6177280"/>
            <a:gd name="connsiteX84" fmla="*/ 1361440 w 9579686"/>
            <a:gd name="connsiteY84" fmla="*/ 4429760 h 6177280"/>
            <a:gd name="connsiteX85" fmla="*/ 1442720 w 9579686"/>
            <a:gd name="connsiteY85" fmla="*/ 4612640 h 6177280"/>
            <a:gd name="connsiteX86" fmla="*/ 1503680 w 9579686"/>
            <a:gd name="connsiteY86" fmla="*/ 5303520 h 6177280"/>
            <a:gd name="connsiteX87" fmla="*/ 1524000 w 9579686"/>
            <a:gd name="connsiteY87" fmla="*/ 5364480 h 6177280"/>
            <a:gd name="connsiteX88" fmla="*/ 1584960 w 9579686"/>
            <a:gd name="connsiteY88" fmla="*/ 5425440 h 6177280"/>
            <a:gd name="connsiteX89" fmla="*/ 1605280 w 9579686"/>
            <a:gd name="connsiteY89" fmla="*/ 5527040 h 6177280"/>
            <a:gd name="connsiteX90" fmla="*/ 1645920 w 9579686"/>
            <a:gd name="connsiteY90" fmla="*/ 5648960 h 6177280"/>
            <a:gd name="connsiteX91" fmla="*/ 1666240 w 9579686"/>
            <a:gd name="connsiteY91" fmla="*/ 5750560 h 6177280"/>
            <a:gd name="connsiteX92" fmla="*/ 1727200 w 9579686"/>
            <a:gd name="connsiteY92" fmla="*/ 5791200 h 6177280"/>
            <a:gd name="connsiteX93" fmla="*/ 1991360 w 9579686"/>
            <a:gd name="connsiteY93" fmla="*/ 5770880 h 6177280"/>
            <a:gd name="connsiteX94" fmla="*/ 2113280 w 9579686"/>
            <a:gd name="connsiteY94" fmla="*/ 5750560 h 6177280"/>
            <a:gd name="connsiteX95" fmla="*/ 2092960 w 9579686"/>
            <a:gd name="connsiteY95" fmla="*/ 5648960 h 6177280"/>
            <a:gd name="connsiteX96" fmla="*/ 1971040 w 9579686"/>
            <a:gd name="connsiteY96" fmla="*/ 5405120 h 6177280"/>
            <a:gd name="connsiteX97" fmla="*/ 1971040 w 9579686"/>
            <a:gd name="connsiteY97" fmla="*/ 5405120 h 6177280"/>
            <a:gd name="connsiteX98" fmla="*/ 1889760 w 9579686"/>
            <a:gd name="connsiteY98" fmla="*/ 5222240 h 6177280"/>
            <a:gd name="connsiteX99" fmla="*/ 1869440 w 9579686"/>
            <a:gd name="connsiteY99" fmla="*/ 5140960 h 6177280"/>
            <a:gd name="connsiteX100" fmla="*/ 1849120 w 9579686"/>
            <a:gd name="connsiteY100" fmla="*/ 5080000 h 6177280"/>
            <a:gd name="connsiteX101" fmla="*/ 1788160 w 9579686"/>
            <a:gd name="connsiteY101" fmla="*/ 4734560 h 6177280"/>
            <a:gd name="connsiteX102" fmla="*/ 1828800 w 9579686"/>
            <a:gd name="connsiteY102" fmla="*/ 4084320 h 6177280"/>
            <a:gd name="connsiteX103" fmla="*/ 1849120 w 9579686"/>
            <a:gd name="connsiteY103" fmla="*/ 3982720 h 6177280"/>
            <a:gd name="connsiteX104" fmla="*/ 1930400 w 9579686"/>
            <a:gd name="connsiteY104" fmla="*/ 3860800 h 6177280"/>
            <a:gd name="connsiteX105" fmla="*/ 2052320 w 9579686"/>
            <a:gd name="connsiteY105" fmla="*/ 3779520 h 6177280"/>
            <a:gd name="connsiteX106" fmla="*/ 2113280 w 9579686"/>
            <a:gd name="connsiteY106" fmla="*/ 3738880 h 6177280"/>
            <a:gd name="connsiteX107" fmla="*/ 2235200 w 9579686"/>
            <a:gd name="connsiteY107" fmla="*/ 3637280 h 6177280"/>
            <a:gd name="connsiteX108" fmla="*/ 2296160 w 9579686"/>
            <a:gd name="connsiteY108" fmla="*/ 3616960 h 6177280"/>
            <a:gd name="connsiteX109" fmla="*/ 2621280 w 9579686"/>
            <a:gd name="connsiteY109" fmla="*/ 3657600 h 6177280"/>
            <a:gd name="connsiteX110" fmla="*/ 2743200 w 9579686"/>
            <a:gd name="connsiteY110" fmla="*/ 3698240 h 6177280"/>
            <a:gd name="connsiteX111" fmla="*/ 2804160 w 9579686"/>
            <a:gd name="connsiteY111" fmla="*/ 3718560 h 6177280"/>
            <a:gd name="connsiteX112" fmla="*/ 2865120 w 9579686"/>
            <a:gd name="connsiteY112" fmla="*/ 3759200 h 6177280"/>
            <a:gd name="connsiteX113" fmla="*/ 2987040 w 9579686"/>
            <a:gd name="connsiteY113" fmla="*/ 3799840 h 6177280"/>
            <a:gd name="connsiteX114" fmla="*/ 3108960 w 9579686"/>
            <a:gd name="connsiteY114" fmla="*/ 3840480 h 6177280"/>
            <a:gd name="connsiteX115" fmla="*/ 3169920 w 9579686"/>
            <a:gd name="connsiteY115" fmla="*/ 3860800 h 6177280"/>
            <a:gd name="connsiteX116" fmla="*/ 3271520 w 9579686"/>
            <a:gd name="connsiteY116" fmla="*/ 3881120 h 6177280"/>
            <a:gd name="connsiteX117" fmla="*/ 3454400 w 9579686"/>
            <a:gd name="connsiteY117" fmla="*/ 4023360 h 6177280"/>
            <a:gd name="connsiteX118" fmla="*/ 3515360 w 9579686"/>
            <a:gd name="connsiteY118" fmla="*/ 3982720 h 6177280"/>
            <a:gd name="connsiteX119" fmla="*/ 3515360 w 9579686"/>
            <a:gd name="connsiteY119" fmla="*/ 3860800 h 6177280"/>
            <a:gd name="connsiteX120" fmla="*/ 3759200 w 9579686"/>
            <a:gd name="connsiteY120" fmla="*/ 3840480 h 6177280"/>
            <a:gd name="connsiteX121" fmla="*/ 3820160 w 9579686"/>
            <a:gd name="connsiteY121" fmla="*/ 3820160 h 6177280"/>
            <a:gd name="connsiteX122" fmla="*/ 4450080 w 9579686"/>
            <a:gd name="connsiteY122" fmla="*/ 3860800 h 6177280"/>
            <a:gd name="connsiteX123" fmla="*/ 4693920 w 9579686"/>
            <a:gd name="connsiteY123" fmla="*/ 3840480 h 6177280"/>
            <a:gd name="connsiteX124" fmla="*/ 4897120 w 9579686"/>
            <a:gd name="connsiteY124" fmla="*/ 3799840 h 6177280"/>
            <a:gd name="connsiteX125" fmla="*/ 5120640 w 9579686"/>
            <a:gd name="connsiteY125" fmla="*/ 3779520 h 6177280"/>
            <a:gd name="connsiteX126" fmla="*/ 5181600 w 9579686"/>
            <a:gd name="connsiteY126" fmla="*/ 3921760 h 6177280"/>
            <a:gd name="connsiteX127" fmla="*/ 5140960 w 9579686"/>
            <a:gd name="connsiteY127" fmla="*/ 4348480 h 6177280"/>
            <a:gd name="connsiteX128" fmla="*/ 5140960 w 9579686"/>
            <a:gd name="connsiteY128" fmla="*/ 4734560 h 6177280"/>
            <a:gd name="connsiteX129" fmla="*/ 5222240 w 9579686"/>
            <a:gd name="connsiteY129" fmla="*/ 4856480 h 6177280"/>
            <a:gd name="connsiteX130" fmla="*/ 5181600 w 9579686"/>
            <a:gd name="connsiteY130" fmla="*/ 5222240 h 6177280"/>
            <a:gd name="connsiteX131" fmla="*/ 5161280 w 9579686"/>
            <a:gd name="connsiteY131" fmla="*/ 5364480 h 6177280"/>
            <a:gd name="connsiteX132" fmla="*/ 5201920 w 9579686"/>
            <a:gd name="connsiteY132" fmla="*/ 5791200 h 6177280"/>
            <a:gd name="connsiteX133" fmla="*/ 5161280 w 9579686"/>
            <a:gd name="connsiteY133" fmla="*/ 5933440 h 6177280"/>
            <a:gd name="connsiteX134" fmla="*/ 5181600 w 9579686"/>
            <a:gd name="connsiteY134" fmla="*/ 5994400 h 6177280"/>
            <a:gd name="connsiteX135" fmla="*/ 5323840 w 9579686"/>
            <a:gd name="connsiteY135" fmla="*/ 6136640 h 6177280"/>
            <a:gd name="connsiteX136" fmla="*/ 5588000 w 9579686"/>
            <a:gd name="connsiteY136" fmla="*/ 6156960 h 6177280"/>
            <a:gd name="connsiteX137" fmla="*/ 5730240 w 9579686"/>
            <a:gd name="connsiteY137" fmla="*/ 6177280 h 6177280"/>
            <a:gd name="connsiteX138" fmla="*/ 5831840 w 9579686"/>
            <a:gd name="connsiteY138" fmla="*/ 6156960 h 6177280"/>
            <a:gd name="connsiteX139" fmla="*/ 5852160 w 9579686"/>
            <a:gd name="connsiteY139" fmla="*/ 6096000 h 6177280"/>
            <a:gd name="connsiteX140" fmla="*/ 5872480 w 9579686"/>
            <a:gd name="connsiteY140" fmla="*/ 5953760 h 6177280"/>
            <a:gd name="connsiteX141" fmla="*/ 5933440 w 9579686"/>
            <a:gd name="connsiteY141" fmla="*/ 5933440 h 6177280"/>
            <a:gd name="connsiteX142" fmla="*/ 5974080 w 9579686"/>
            <a:gd name="connsiteY142" fmla="*/ 5872480 h 6177280"/>
            <a:gd name="connsiteX143" fmla="*/ 5913120 w 9579686"/>
            <a:gd name="connsiteY143" fmla="*/ 5709920 h 6177280"/>
            <a:gd name="connsiteX144" fmla="*/ 5852160 w 9579686"/>
            <a:gd name="connsiteY144" fmla="*/ 5648960 h 6177280"/>
            <a:gd name="connsiteX145" fmla="*/ 5811520 w 9579686"/>
            <a:gd name="connsiteY145" fmla="*/ 5567680 h 6177280"/>
            <a:gd name="connsiteX146" fmla="*/ 5770880 w 9579686"/>
            <a:gd name="connsiteY146" fmla="*/ 5303520 h 6177280"/>
            <a:gd name="connsiteX147" fmla="*/ 5730240 w 9579686"/>
            <a:gd name="connsiteY147" fmla="*/ 5181600 h 6177280"/>
            <a:gd name="connsiteX148" fmla="*/ 5770880 w 9579686"/>
            <a:gd name="connsiteY148" fmla="*/ 4978400 h 6177280"/>
            <a:gd name="connsiteX149" fmla="*/ 5791200 w 9579686"/>
            <a:gd name="connsiteY149" fmla="*/ 4876800 h 6177280"/>
            <a:gd name="connsiteX150" fmla="*/ 5831840 w 9579686"/>
            <a:gd name="connsiteY150" fmla="*/ 4754880 h 6177280"/>
            <a:gd name="connsiteX151" fmla="*/ 5872480 w 9579686"/>
            <a:gd name="connsiteY151" fmla="*/ 4693920 h 6177280"/>
            <a:gd name="connsiteX152" fmla="*/ 5913120 w 9579686"/>
            <a:gd name="connsiteY152" fmla="*/ 4572000 h 6177280"/>
            <a:gd name="connsiteX153" fmla="*/ 5953760 w 9579686"/>
            <a:gd name="connsiteY153" fmla="*/ 4409440 h 6177280"/>
            <a:gd name="connsiteX154" fmla="*/ 6014720 w 9579686"/>
            <a:gd name="connsiteY154" fmla="*/ 4165600 h 6177280"/>
            <a:gd name="connsiteX155" fmla="*/ 6055360 w 9579686"/>
            <a:gd name="connsiteY155" fmla="*/ 4104640 h 6177280"/>
            <a:gd name="connsiteX156" fmla="*/ 6278880 w 9579686"/>
            <a:gd name="connsiteY156" fmla="*/ 4043680 h 6177280"/>
            <a:gd name="connsiteX157" fmla="*/ 6360160 w 9579686"/>
            <a:gd name="connsiteY157" fmla="*/ 4023360 h 6177280"/>
            <a:gd name="connsiteX158" fmla="*/ 6543040 w 9579686"/>
            <a:gd name="connsiteY158" fmla="*/ 3982720 h 6177280"/>
            <a:gd name="connsiteX159" fmla="*/ 6624320 w 9579686"/>
            <a:gd name="connsiteY159" fmla="*/ 3860800 h 6177280"/>
            <a:gd name="connsiteX160" fmla="*/ 6705600 w 9579686"/>
            <a:gd name="connsiteY160" fmla="*/ 3738880 h 6177280"/>
            <a:gd name="connsiteX161" fmla="*/ 6746240 w 9579686"/>
            <a:gd name="connsiteY161" fmla="*/ 3677920 h 6177280"/>
            <a:gd name="connsiteX162" fmla="*/ 6786880 w 9579686"/>
            <a:gd name="connsiteY162" fmla="*/ 3556000 h 6177280"/>
            <a:gd name="connsiteX163" fmla="*/ 6827520 w 9579686"/>
            <a:gd name="connsiteY163" fmla="*/ 3495040 h 6177280"/>
            <a:gd name="connsiteX164" fmla="*/ 6847840 w 9579686"/>
            <a:gd name="connsiteY164" fmla="*/ 3434080 h 6177280"/>
            <a:gd name="connsiteX165" fmla="*/ 6888480 w 9579686"/>
            <a:gd name="connsiteY165" fmla="*/ 3373120 h 6177280"/>
            <a:gd name="connsiteX166" fmla="*/ 6908800 w 9579686"/>
            <a:gd name="connsiteY166" fmla="*/ 3312160 h 6177280"/>
            <a:gd name="connsiteX167" fmla="*/ 7030720 w 9579686"/>
            <a:gd name="connsiteY167" fmla="*/ 3271520 h 6177280"/>
            <a:gd name="connsiteX168" fmla="*/ 7112000 w 9579686"/>
            <a:gd name="connsiteY168" fmla="*/ 3068320 h 6177280"/>
            <a:gd name="connsiteX169" fmla="*/ 7213600 w 9579686"/>
            <a:gd name="connsiteY169" fmla="*/ 2885440 h 6177280"/>
            <a:gd name="connsiteX170" fmla="*/ 7254240 w 9579686"/>
            <a:gd name="connsiteY170" fmla="*/ 2824480 h 6177280"/>
            <a:gd name="connsiteX171" fmla="*/ 7437120 w 9579686"/>
            <a:gd name="connsiteY171" fmla="*/ 2702560 h 6177280"/>
            <a:gd name="connsiteX172" fmla="*/ 7498080 w 9579686"/>
            <a:gd name="connsiteY172" fmla="*/ 2661920 h 6177280"/>
            <a:gd name="connsiteX173" fmla="*/ 7620000 w 9579686"/>
            <a:gd name="connsiteY173" fmla="*/ 2621280 h 6177280"/>
            <a:gd name="connsiteX174" fmla="*/ 7701280 w 9579686"/>
            <a:gd name="connsiteY174" fmla="*/ 2560320 h 6177280"/>
            <a:gd name="connsiteX175" fmla="*/ 7823200 w 9579686"/>
            <a:gd name="connsiteY175" fmla="*/ 2479040 h 6177280"/>
            <a:gd name="connsiteX176" fmla="*/ 7884160 w 9579686"/>
            <a:gd name="connsiteY176" fmla="*/ 2418080 h 6177280"/>
            <a:gd name="connsiteX177" fmla="*/ 8453120 w 9579686"/>
            <a:gd name="connsiteY177" fmla="*/ 2438400 h 6177280"/>
            <a:gd name="connsiteX178" fmla="*/ 8514080 w 9579686"/>
            <a:gd name="connsiteY178" fmla="*/ 2458720 h 6177280"/>
            <a:gd name="connsiteX179" fmla="*/ 8575040 w 9579686"/>
            <a:gd name="connsiteY179" fmla="*/ 2499360 h 6177280"/>
            <a:gd name="connsiteX180" fmla="*/ 8818880 w 9579686"/>
            <a:gd name="connsiteY180" fmla="*/ 2479040 h 6177280"/>
            <a:gd name="connsiteX181" fmla="*/ 8940800 w 9579686"/>
            <a:gd name="connsiteY181" fmla="*/ 2519680 h 6177280"/>
            <a:gd name="connsiteX182" fmla="*/ 9184640 w 9579686"/>
            <a:gd name="connsiteY182" fmla="*/ 2479040 h 6177280"/>
            <a:gd name="connsiteX183" fmla="*/ 9326880 w 9579686"/>
            <a:gd name="connsiteY183" fmla="*/ 2438400 h 6177280"/>
            <a:gd name="connsiteX184" fmla="*/ 9408160 w 9579686"/>
            <a:gd name="connsiteY184" fmla="*/ 2418080 h 6177280"/>
            <a:gd name="connsiteX185" fmla="*/ 9428480 w 9579686"/>
            <a:gd name="connsiteY185" fmla="*/ 2255520 h 6177280"/>
            <a:gd name="connsiteX186" fmla="*/ 9570720 w 9579686"/>
            <a:gd name="connsiteY186" fmla="*/ 2235200 h 6177280"/>
            <a:gd name="connsiteX187" fmla="*/ 9550400 w 9579686"/>
            <a:gd name="connsiteY187" fmla="*/ 2113280 h 6177280"/>
            <a:gd name="connsiteX188" fmla="*/ 9530080 w 9579686"/>
            <a:gd name="connsiteY188" fmla="*/ 1950720 h 6177280"/>
            <a:gd name="connsiteX189" fmla="*/ 9428480 w 9579686"/>
            <a:gd name="connsiteY189" fmla="*/ 1767840 h 6177280"/>
            <a:gd name="connsiteX190" fmla="*/ 9387840 w 9579686"/>
            <a:gd name="connsiteY190" fmla="*/ 1706880 h 6177280"/>
            <a:gd name="connsiteX191" fmla="*/ 9347200 w 9579686"/>
            <a:gd name="connsiteY191" fmla="*/ 1645920 h 6177280"/>
            <a:gd name="connsiteX192" fmla="*/ 9326880 w 9579686"/>
            <a:gd name="connsiteY192" fmla="*/ 1584960 h 6177280"/>
            <a:gd name="connsiteX193" fmla="*/ 9184640 w 9579686"/>
            <a:gd name="connsiteY193" fmla="*/ 1402080 h 6177280"/>
            <a:gd name="connsiteX194" fmla="*/ 9144000 w 9579686"/>
            <a:gd name="connsiteY194" fmla="*/ 1178560 h 6177280"/>
            <a:gd name="connsiteX195" fmla="*/ 9123680 w 9579686"/>
            <a:gd name="connsiteY195" fmla="*/ 1117600 h 6177280"/>
            <a:gd name="connsiteX196" fmla="*/ 9103360 w 9579686"/>
            <a:gd name="connsiteY196" fmla="*/ 1036320 h 6177280"/>
            <a:gd name="connsiteX197" fmla="*/ 9001760 w 9579686"/>
            <a:gd name="connsiteY197" fmla="*/ 914400 h 6177280"/>
            <a:gd name="connsiteX198" fmla="*/ 8879840 w 9579686"/>
            <a:gd name="connsiteY198" fmla="*/ 670560 h 6177280"/>
            <a:gd name="connsiteX199" fmla="*/ 8859520 w 9579686"/>
            <a:gd name="connsiteY199" fmla="*/ 609600 h 6177280"/>
            <a:gd name="connsiteX200" fmla="*/ 8900160 w 9579686"/>
            <a:gd name="connsiteY200" fmla="*/ 406400 h 6177280"/>
            <a:gd name="connsiteX201" fmla="*/ 9062720 w 9579686"/>
            <a:gd name="connsiteY201" fmla="*/ 345440 h 6177280"/>
            <a:gd name="connsiteX202" fmla="*/ 9245600 w 9579686"/>
            <a:gd name="connsiteY202" fmla="*/ 264160 h 6177280"/>
            <a:gd name="connsiteX203" fmla="*/ 9306560 w 9579686"/>
            <a:gd name="connsiteY203" fmla="*/ 142240 h 6177280"/>
            <a:gd name="connsiteX204" fmla="*/ 9245600 w 9579686"/>
            <a:gd name="connsiteY204" fmla="*/ 101600 h 6177280"/>
            <a:gd name="connsiteX205" fmla="*/ 9164320 w 9579686"/>
            <a:gd name="connsiteY205" fmla="*/ 121920 h 6177280"/>
            <a:gd name="connsiteX206" fmla="*/ 9042400 w 9579686"/>
            <a:gd name="connsiteY206" fmla="*/ 142240 h 6177280"/>
            <a:gd name="connsiteX207" fmla="*/ 8859520 w 9579686"/>
            <a:gd name="connsiteY207" fmla="*/ 223520 h 6177280"/>
            <a:gd name="connsiteX208" fmla="*/ 8798560 w 9579686"/>
            <a:gd name="connsiteY208" fmla="*/ 243840 h 6177280"/>
            <a:gd name="connsiteX209" fmla="*/ 8737600 w 9579686"/>
            <a:gd name="connsiteY209" fmla="*/ 284480 h 6177280"/>
            <a:gd name="connsiteX210" fmla="*/ 8676640 w 9579686"/>
            <a:gd name="connsiteY210" fmla="*/ 345440 h 6177280"/>
            <a:gd name="connsiteX211" fmla="*/ 8554720 w 9579686"/>
            <a:gd name="connsiteY211" fmla="*/ 386080 h 6177280"/>
            <a:gd name="connsiteX212" fmla="*/ 8432800 w 9579686"/>
            <a:gd name="connsiteY212" fmla="*/ 345440 h 6177280"/>
            <a:gd name="connsiteX213" fmla="*/ 8453120 w 9579686"/>
            <a:gd name="connsiteY213" fmla="*/ 223520 h 6177280"/>
            <a:gd name="connsiteX214" fmla="*/ 8575040 w 9579686"/>
            <a:gd name="connsiteY214" fmla="*/ 142240 h 6177280"/>
            <a:gd name="connsiteX215" fmla="*/ 8595360 w 9579686"/>
            <a:gd name="connsiteY215" fmla="*/ 81280 h 6177280"/>
            <a:gd name="connsiteX216" fmla="*/ 8636000 w 9579686"/>
            <a:gd name="connsiteY216" fmla="*/ 20320 h 6177280"/>
            <a:gd name="connsiteX217" fmla="*/ 8575040 w 9579686"/>
            <a:gd name="connsiteY217" fmla="*/ 0 h 6177280"/>
            <a:gd name="connsiteX218" fmla="*/ 8310880 w 9579686"/>
            <a:gd name="connsiteY218" fmla="*/ 20320 h 6177280"/>
            <a:gd name="connsiteX219" fmla="*/ 8168640 w 9579686"/>
            <a:gd name="connsiteY219" fmla="*/ 182880 h 6177280"/>
            <a:gd name="connsiteX220" fmla="*/ 8128000 w 9579686"/>
            <a:gd name="connsiteY220" fmla="*/ 243840 h 6177280"/>
            <a:gd name="connsiteX221" fmla="*/ 8087360 w 9579686"/>
            <a:gd name="connsiteY221" fmla="*/ 386080 h 6177280"/>
            <a:gd name="connsiteX222" fmla="*/ 7884160 w 9579686"/>
            <a:gd name="connsiteY222" fmla="*/ 365760 h 6177280"/>
            <a:gd name="connsiteX223" fmla="*/ 7823200 w 9579686"/>
            <a:gd name="connsiteY223" fmla="*/ 345440 h 6177280"/>
            <a:gd name="connsiteX224" fmla="*/ 7416800 w 9579686"/>
            <a:gd name="connsiteY224" fmla="*/ 365760 h 6177280"/>
            <a:gd name="connsiteX225" fmla="*/ 7355840 w 9579686"/>
            <a:gd name="connsiteY225" fmla="*/ 386080 h 6177280"/>
            <a:gd name="connsiteX226" fmla="*/ 7335520 w 9579686"/>
            <a:gd name="connsiteY226" fmla="*/ 447040 h 6177280"/>
            <a:gd name="connsiteX227" fmla="*/ 7315200 w 9579686"/>
            <a:gd name="connsiteY227" fmla="*/ 609600 h 6177280"/>
            <a:gd name="connsiteX228" fmla="*/ 7254240 w 9579686"/>
            <a:gd name="connsiteY228" fmla="*/ 629920 h 6177280"/>
            <a:gd name="connsiteX229" fmla="*/ 7112000 w 9579686"/>
            <a:gd name="connsiteY229" fmla="*/ 650240 h 6177280"/>
            <a:gd name="connsiteX230" fmla="*/ 6664960 w 9579686"/>
            <a:gd name="connsiteY230" fmla="*/ 629920 h 6177280"/>
            <a:gd name="connsiteX231" fmla="*/ 6522720 w 9579686"/>
            <a:gd name="connsiteY231" fmla="*/ 568960 h 6177280"/>
            <a:gd name="connsiteX232" fmla="*/ 6421120 w 9579686"/>
            <a:gd name="connsiteY232" fmla="*/ 548640 h 6177280"/>
            <a:gd name="connsiteX233" fmla="*/ 6339840 w 9579686"/>
            <a:gd name="connsiteY233" fmla="*/ 528320 h 6177280"/>
            <a:gd name="connsiteX234" fmla="*/ 6278880 w 9579686"/>
            <a:gd name="connsiteY234" fmla="*/ 508000 h 6177280"/>
            <a:gd name="connsiteX235" fmla="*/ 5770880 w 9579686"/>
            <a:gd name="connsiteY235" fmla="*/ 487680 h 6177280"/>
            <a:gd name="connsiteX236" fmla="*/ 5547360 w 9579686"/>
            <a:gd name="connsiteY236" fmla="*/ 508000 h 6177280"/>
            <a:gd name="connsiteX237" fmla="*/ 5384800 w 9579686"/>
            <a:gd name="connsiteY237" fmla="*/ 568960 h 6177280"/>
            <a:gd name="connsiteX238" fmla="*/ 4978400 w 9579686"/>
            <a:gd name="connsiteY238" fmla="*/ 589280 h 6177280"/>
            <a:gd name="connsiteX239" fmla="*/ 4897120 w 9579686"/>
            <a:gd name="connsiteY239" fmla="*/ 609600 h 6177280"/>
            <a:gd name="connsiteX240" fmla="*/ 4612640 w 9579686"/>
            <a:gd name="connsiteY240" fmla="*/ 650240 h 6177280"/>
            <a:gd name="connsiteX241" fmla="*/ 4490720 w 9579686"/>
            <a:gd name="connsiteY241" fmla="*/ 690880 h 6177280"/>
            <a:gd name="connsiteX242" fmla="*/ 4287520 w 9579686"/>
            <a:gd name="connsiteY242" fmla="*/ 731520 h 6177280"/>
            <a:gd name="connsiteX243" fmla="*/ 4226560 w 9579686"/>
            <a:gd name="connsiteY243" fmla="*/ 751840 h 61772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 ang="0">
              <a:pos x="connsiteX87" y="connsiteY87"/>
            </a:cxn>
            <a:cxn ang="0">
              <a:pos x="connsiteX88" y="connsiteY88"/>
            </a:cxn>
            <a:cxn ang="0">
              <a:pos x="connsiteX89" y="connsiteY89"/>
            </a:cxn>
            <a:cxn ang="0">
              <a:pos x="connsiteX90" y="connsiteY90"/>
            </a:cxn>
            <a:cxn ang="0">
              <a:pos x="connsiteX91" y="connsiteY91"/>
            </a:cxn>
            <a:cxn ang="0">
              <a:pos x="connsiteX92" y="connsiteY92"/>
            </a:cxn>
            <a:cxn ang="0">
              <a:pos x="connsiteX93" y="connsiteY93"/>
            </a:cxn>
            <a:cxn ang="0">
              <a:pos x="connsiteX94" y="connsiteY94"/>
            </a:cxn>
            <a:cxn ang="0">
              <a:pos x="connsiteX95" y="connsiteY95"/>
            </a:cxn>
            <a:cxn ang="0">
              <a:pos x="connsiteX96" y="connsiteY96"/>
            </a:cxn>
            <a:cxn ang="0">
              <a:pos x="connsiteX97" y="connsiteY97"/>
            </a:cxn>
            <a:cxn ang="0">
              <a:pos x="connsiteX98" y="connsiteY98"/>
            </a:cxn>
            <a:cxn ang="0">
              <a:pos x="connsiteX99" y="connsiteY99"/>
            </a:cxn>
            <a:cxn ang="0">
              <a:pos x="connsiteX100" y="connsiteY100"/>
            </a:cxn>
            <a:cxn ang="0">
              <a:pos x="connsiteX101" y="connsiteY101"/>
            </a:cxn>
            <a:cxn ang="0">
              <a:pos x="connsiteX102" y="connsiteY102"/>
            </a:cxn>
            <a:cxn ang="0">
              <a:pos x="connsiteX103" y="connsiteY103"/>
            </a:cxn>
            <a:cxn ang="0">
              <a:pos x="connsiteX104" y="connsiteY104"/>
            </a:cxn>
            <a:cxn ang="0">
              <a:pos x="connsiteX105" y="connsiteY105"/>
            </a:cxn>
            <a:cxn ang="0">
              <a:pos x="connsiteX106" y="connsiteY106"/>
            </a:cxn>
            <a:cxn ang="0">
              <a:pos x="connsiteX107" y="connsiteY107"/>
            </a:cxn>
            <a:cxn ang="0">
              <a:pos x="connsiteX108" y="connsiteY108"/>
            </a:cxn>
            <a:cxn ang="0">
              <a:pos x="connsiteX109" y="connsiteY109"/>
            </a:cxn>
            <a:cxn ang="0">
              <a:pos x="connsiteX110" y="connsiteY110"/>
            </a:cxn>
            <a:cxn ang="0">
              <a:pos x="connsiteX111" y="connsiteY111"/>
            </a:cxn>
            <a:cxn ang="0">
              <a:pos x="connsiteX112" y="connsiteY112"/>
            </a:cxn>
            <a:cxn ang="0">
              <a:pos x="connsiteX113" y="connsiteY113"/>
            </a:cxn>
            <a:cxn ang="0">
              <a:pos x="connsiteX114" y="connsiteY114"/>
            </a:cxn>
            <a:cxn ang="0">
              <a:pos x="connsiteX115" y="connsiteY115"/>
            </a:cxn>
            <a:cxn ang="0">
              <a:pos x="connsiteX116" y="connsiteY116"/>
            </a:cxn>
            <a:cxn ang="0">
              <a:pos x="connsiteX117" y="connsiteY117"/>
            </a:cxn>
            <a:cxn ang="0">
              <a:pos x="connsiteX118" y="connsiteY118"/>
            </a:cxn>
            <a:cxn ang="0">
              <a:pos x="connsiteX119" y="connsiteY119"/>
            </a:cxn>
            <a:cxn ang="0">
              <a:pos x="connsiteX120" y="connsiteY120"/>
            </a:cxn>
            <a:cxn ang="0">
              <a:pos x="connsiteX121" y="connsiteY121"/>
            </a:cxn>
            <a:cxn ang="0">
              <a:pos x="connsiteX122" y="connsiteY122"/>
            </a:cxn>
            <a:cxn ang="0">
              <a:pos x="connsiteX123" y="connsiteY123"/>
            </a:cxn>
            <a:cxn ang="0">
              <a:pos x="connsiteX124" y="connsiteY124"/>
            </a:cxn>
            <a:cxn ang="0">
              <a:pos x="connsiteX125" y="connsiteY125"/>
            </a:cxn>
            <a:cxn ang="0">
              <a:pos x="connsiteX126" y="connsiteY126"/>
            </a:cxn>
            <a:cxn ang="0">
              <a:pos x="connsiteX127" y="connsiteY127"/>
            </a:cxn>
            <a:cxn ang="0">
              <a:pos x="connsiteX128" y="connsiteY128"/>
            </a:cxn>
            <a:cxn ang="0">
              <a:pos x="connsiteX129" y="connsiteY129"/>
            </a:cxn>
            <a:cxn ang="0">
              <a:pos x="connsiteX130" y="connsiteY130"/>
            </a:cxn>
            <a:cxn ang="0">
              <a:pos x="connsiteX131" y="connsiteY131"/>
            </a:cxn>
            <a:cxn ang="0">
              <a:pos x="connsiteX132" y="connsiteY132"/>
            </a:cxn>
            <a:cxn ang="0">
              <a:pos x="connsiteX133" y="connsiteY133"/>
            </a:cxn>
            <a:cxn ang="0">
              <a:pos x="connsiteX134" y="connsiteY134"/>
            </a:cxn>
            <a:cxn ang="0">
              <a:pos x="connsiteX135" y="connsiteY135"/>
            </a:cxn>
            <a:cxn ang="0">
              <a:pos x="connsiteX136" y="connsiteY136"/>
            </a:cxn>
            <a:cxn ang="0">
              <a:pos x="connsiteX137" y="connsiteY137"/>
            </a:cxn>
            <a:cxn ang="0">
              <a:pos x="connsiteX138" y="connsiteY138"/>
            </a:cxn>
            <a:cxn ang="0">
              <a:pos x="connsiteX139" y="connsiteY139"/>
            </a:cxn>
            <a:cxn ang="0">
              <a:pos x="connsiteX140" y="connsiteY140"/>
            </a:cxn>
            <a:cxn ang="0">
              <a:pos x="connsiteX141" y="connsiteY141"/>
            </a:cxn>
            <a:cxn ang="0">
              <a:pos x="connsiteX142" y="connsiteY142"/>
            </a:cxn>
            <a:cxn ang="0">
              <a:pos x="connsiteX143" y="connsiteY143"/>
            </a:cxn>
            <a:cxn ang="0">
              <a:pos x="connsiteX144" y="connsiteY144"/>
            </a:cxn>
            <a:cxn ang="0">
              <a:pos x="connsiteX145" y="connsiteY145"/>
            </a:cxn>
            <a:cxn ang="0">
              <a:pos x="connsiteX146" y="connsiteY146"/>
            </a:cxn>
            <a:cxn ang="0">
              <a:pos x="connsiteX147" y="connsiteY147"/>
            </a:cxn>
            <a:cxn ang="0">
              <a:pos x="connsiteX148" y="connsiteY148"/>
            </a:cxn>
            <a:cxn ang="0">
              <a:pos x="connsiteX149" y="connsiteY149"/>
            </a:cxn>
            <a:cxn ang="0">
              <a:pos x="connsiteX150" y="connsiteY150"/>
            </a:cxn>
            <a:cxn ang="0">
              <a:pos x="connsiteX151" y="connsiteY151"/>
            </a:cxn>
            <a:cxn ang="0">
              <a:pos x="connsiteX152" y="connsiteY152"/>
            </a:cxn>
            <a:cxn ang="0">
              <a:pos x="connsiteX153" y="connsiteY153"/>
            </a:cxn>
            <a:cxn ang="0">
              <a:pos x="connsiteX154" y="connsiteY154"/>
            </a:cxn>
            <a:cxn ang="0">
              <a:pos x="connsiteX155" y="connsiteY155"/>
            </a:cxn>
            <a:cxn ang="0">
              <a:pos x="connsiteX156" y="connsiteY156"/>
            </a:cxn>
            <a:cxn ang="0">
              <a:pos x="connsiteX157" y="connsiteY157"/>
            </a:cxn>
            <a:cxn ang="0">
              <a:pos x="connsiteX158" y="connsiteY158"/>
            </a:cxn>
            <a:cxn ang="0">
              <a:pos x="connsiteX159" y="connsiteY159"/>
            </a:cxn>
            <a:cxn ang="0">
              <a:pos x="connsiteX160" y="connsiteY160"/>
            </a:cxn>
            <a:cxn ang="0">
              <a:pos x="connsiteX161" y="connsiteY161"/>
            </a:cxn>
            <a:cxn ang="0">
              <a:pos x="connsiteX162" y="connsiteY162"/>
            </a:cxn>
            <a:cxn ang="0">
              <a:pos x="connsiteX163" y="connsiteY163"/>
            </a:cxn>
            <a:cxn ang="0">
              <a:pos x="connsiteX164" y="connsiteY164"/>
            </a:cxn>
            <a:cxn ang="0">
              <a:pos x="connsiteX165" y="connsiteY165"/>
            </a:cxn>
            <a:cxn ang="0">
              <a:pos x="connsiteX166" y="connsiteY166"/>
            </a:cxn>
            <a:cxn ang="0">
              <a:pos x="connsiteX167" y="connsiteY167"/>
            </a:cxn>
            <a:cxn ang="0">
              <a:pos x="connsiteX168" y="connsiteY168"/>
            </a:cxn>
            <a:cxn ang="0">
              <a:pos x="connsiteX169" y="connsiteY169"/>
            </a:cxn>
            <a:cxn ang="0">
              <a:pos x="connsiteX170" y="connsiteY170"/>
            </a:cxn>
            <a:cxn ang="0">
              <a:pos x="connsiteX171" y="connsiteY171"/>
            </a:cxn>
            <a:cxn ang="0">
              <a:pos x="connsiteX172" y="connsiteY172"/>
            </a:cxn>
            <a:cxn ang="0">
              <a:pos x="connsiteX173" y="connsiteY173"/>
            </a:cxn>
            <a:cxn ang="0">
              <a:pos x="connsiteX174" y="connsiteY174"/>
            </a:cxn>
            <a:cxn ang="0">
              <a:pos x="connsiteX175" y="connsiteY175"/>
            </a:cxn>
            <a:cxn ang="0">
              <a:pos x="connsiteX176" y="connsiteY176"/>
            </a:cxn>
            <a:cxn ang="0">
              <a:pos x="connsiteX177" y="connsiteY177"/>
            </a:cxn>
            <a:cxn ang="0">
              <a:pos x="connsiteX178" y="connsiteY178"/>
            </a:cxn>
            <a:cxn ang="0">
              <a:pos x="connsiteX179" y="connsiteY179"/>
            </a:cxn>
            <a:cxn ang="0">
              <a:pos x="connsiteX180" y="connsiteY180"/>
            </a:cxn>
            <a:cxn ang="0">
              <a:pos x="connsiteX181" y="connsiteY181"/>
            </a:cxn>
            <a:cxn ang="0">
              <a:pos x="connsiteX182" y="connsiteY182"/>
            </a:cxn>
            <a:cxn ang="0">
              <a:pos x="connsiteX183" y="connsiteY183"/>
            </a:cxn>
            <a:cxn ang="0">
              <a:pos x="connsiteX184" y="connsiteY184"/>
            </a:cxn>
            <a:cxn ang="0">
              <a:pos x="connsiteX185" y="connsiteY185"/>
            </a:cxn>
            <a:cxn ang="0">
              <a:pos x="connsiteX186" y="connsiteY186"/>
            </a:cxn>
            <a:cxn ang="0">
              <a:pos x="connsiteX187" y="connsiteY187"/>
            </a:cxn>
            <a:cxn ang="0">
              <a:pos x="connsiteX188" y="connsiteY188"/>
            </a:cxn>
            <a:cxn ang="0">
              <a:pos x="connsiteX189" y="connsiteY189"/>
            </a:cxn>
            <a:cxn ang="0">
              <a:pos x="connsiteX190" y="connsiteY190"/>
            </a:cxn>
            <a:cxn ang="0">
              <a:pos x="connsiteX191" y="connsiteY191"/>
            </a:cxn>
            <a:cxn ang="0">
              <a:pos x="connsiteX192" y="connsiteY192"/>
            </a:cxn>
            <a:cxn ang="0">
              <a:pos x="connsiteX193" y="connsiteY193"/>
            </a:cxn>
            <a:cxn ang="0">
              <a:pos x="connsiteX194" y="connsiteY194"/>
            </a:cxn>
            <a:cxn ang="0">
              <a:pos x="connsiteX195" y="connsiteY195"/>
            </a:cxn>
            <a:cxn ang="0">
              <a:pos x="connsiteX196" y="connsiteY196"/>
            </a:cxn>
            <a:cxn ang="0">
              <a:pos x="connsiteX197" y="connsiteY197"/>
            </a:cxn>
            <a:cxn ang="0">
              <a:pos x="connsiteX198" y="connsiteY198"/>
            </a:cxn>
            <a:cxn ang="0">
              <a:pos x="connsiteX199" y="connsiteY199"/>
            </a:cxn>
            <a:cxn ang="0">
              <a:pos x="connsiteX200" y="connsiteY200"/>
            </a:cxn>
            <a:cxn ang="0">
              <a:pos x="connsiteX201" y="connsiteY201"/>
            </a:cxn>
            <a:cxn ang="0">
              <a:pos x="connsiteX202" y="connsiteY202"/>
            </a:cxn>
            <a:cxn ang="0">
              <a:pos x="connsiteX203" y="connsiteY203"/>
            </a:cxn>
            <a:cxn ang="0">
              <a:pos x="connsiteX204" y="connsiteY204"/>
            </a:cxn>
            <a:cxn ang="0">
              <a:pos x="connsiteX205" y="connsiteY205"/>
            </a:cxn>
            <a:cxn ang="0">
              <a:pos x="connsiteX206" y="connsiteY206"/>
            </a:cxn>
            <a:cxn ang="0">
              <a:pos x="connsiteX207" y="connsiteY207"/>
            </a:cxn>
            <a:cxn ang="0">
              <a:pos x="connsiteX208" y="connsiteY208"/>
            </a:cxn>
            <a:cxn ang="0">
              <a:pos x="connsiteX209" y="connsiteY209"/>
            </a:cxn>
            <a:cxn ang="0">
              <a:pos x="connsiteX210" y="connsiteY210"/>
            </a:cxn>
            <a:cxn ang="0">
              <a:pos x="connsiteX211" y="connsiteY211"/>
            </a:cxn>
            <a:cxn ang="0">
              <a:pos x="connsiteX212" y="connsiteY212"/>
            </a:cxn>
            <a:cxn ang="0">
              <a:pos x="connsiteX213" y="connsiteY213"/>
            </a:cxn>
            <a:cxn ang="0">
              <a:pos x="connsiteX214" y="connsiteY214"/>
            </a:cxn>
            <a:cxn ang="0">
              <a:pos x="connsiteX215" y="connsiteY215"/>
            </a:cxn>
            <a:cxn ang="0">
              <a:pos x="connsiteX216" y="connsiteY216"/>
            </a:cxn>
            <a:cxn ang="0">
              <a:pos x="connsiteX217" y="connsiteY217"/>
            </a:cxn>
            <a:cxn ang="0">
              <a:pos x="connsiteX218" y="connsiteY218"/>
            </a:cxn>
            <a:cxn ang="0">
              <a:pos x="connsiteX219" y="connsiteY219"/>
            </a:cxn>
            <a:cxn ang="0">
              <a:pos x="connsiteX220" y="connsiteY220"/>
            </a:cxn>
            <a:cxn ang="0">
              <a:pos x="connsiteX221" y="connsiteY221"/>
            </a:cxn>
            <a:cxn ang="0">
              <a:pos x="connsiteX222" y="connsiteY222"/>
            </a:cxn>
            <a:cxn ang="0">
              <a:pos x="connsiteX223" y="connsiteY223"/>
            </a:cxn>
            <a:cxn ang="0">
              <a:pos x="connsiteX224" y="connsiteY224"/>
            </a:cxn>
            <a:cxn ang="0">
              <a:pos x="connsiteX225" y="connsiteY225"/>
            </a:cxn>
            <a:cxn ang="0">
              <a:pos x="connsiteX226" y="connsiteY226"/>
            </a:cxn>
            <a:cxn ang="0">
              <a:pos x="connsiteX227" y="connsiteY227"/>
            </a:cxn>
            <a:cxn ang="0">
              <a:pos x="connsiteX228" y="connsiteY228"/>
            </a:cxn>
            <a:cxn ang="0">
              <a:pos x="connsiteX229" y="connsiteY229"/>
            </a:cxn>
            <a:cxn ang="0">
              <a:pos x="connsiteX230" y="connsiteY230"/>
            </a:cxn>
            <a:cxn ang="0">
              <a:pos x="connsiteX231" y="connsiteY231"/>
            </a:cxn>
            <a:cxn ang="0">
              <a:pos x="connsiteX232" y="connsiteY232"/>
            </a:cxn>
            <a:cxn ang="0">
              <a:pos x="connsiteX233" y="connsiteY233"/>
            </a:cxn>
            <a:cxn ang="0">
              <a:pos x="connsiteX234" y="connsiteY234"/>
            </a:cxn>
            <a:cxn ang="0">
              <a:pos x="connsiteX235" y="connsiteY235"/>
            </a:cxn>
            <a:cxn ang="0">
              <a:pos x="connsiteX236" y="connsiteY236"/>
            </a:cxn>
            <a:cxn ang="0">
              <a:pos x="connsiteX237" y="connsiteY237"/>
            </a:cxn>
            <a:cxn ang="0">
              <a:pos x="connsiteX238" y="connsiteY238"/>
            </a:cxn>
            <a:cxn ang="0">
              <a:pos x="connsiteX239" y="connsiteY239"/>
            </a:cxn>
            <a:cxn ang="0">
              <a:pos x="connsiteX240" y="connsiteY240"/>
            </a:cxn>
            <a:cxn ang="0">
              <a:pos x="connsiteX241" y="connsiteY241"/>
            </a:cxn>
            <a:cxn ang="0">
              <a:pos x="connsiteX242" y="connsiteY242"/>
            </a:cxn>
            <a:cxn ang="0">
              <a:pos x="connsiteX243" y="connsiteY243"/>
            </a:cxn>
          </a:cxnLst>
          <a:rect l="l" t="t" r="r" b="b"/>
          <a:pathLst>
            <a:path w="9579686" h="6177280">
              <a:moveTo>
                <a:pt x="4531360" y="711200"/>
              </a:moveTo>
              <a:cubicBezTo>
                <a:pt x="3679735" y="733037"/>
                <a:pt x="3644815" y="745990"/>
                <a:pt x="2722880" y="711200"/>
              </a:cubicBezTo>
              <a:cubicBezTo>
                <a:pt x="2701476" y="710392"/>
                <a:pt x="2682829" y="695526"/>
                <a:pt x="2661920" y="690880"/>
              </a:cubicBezTo>
              <a:cubicBezTo>
                <a:pt x="2621701" y="681942"/>
                <a:pt x="2580219" y="679498"/>
                <a:pt x="2540000" y="670560"/>
              </a:cubicBezTo>
              <a:cubicBezTo>
                <a:pt x="2519091" y="665914"/>
                <a:pt x="2500114" y="654072"/>
                <a:pt x="2479040" y="650240"/>
              </a:cubicBezTo>
              <a:cubicBezTo>
                <a:pt x="2425312" y="640471"/>
                <a:pt x="2370345" y="638898"/>
                <a:pt x="2316480" y="629920"/>
              </a:cubicBezTo>
              <a:cubicBezTo>
                <a:pt x="2248345" y="618564"/>
                <a:pt x="2182259" y="592910"/>
                <a:pt x="2113280" y="589280"/>
              </a:cubicBezTo>
              <a:lnTo>
                <a:pt x="1341120" y="548640"/>
              </a:lnTo>
              <a:cubicBezTo>
                <a:pt x="1253067" y="555413"/>
                <a:pt x="1163761" y="552685"/>
                <a:pt x="1076960" y="568960"/>
              </a:cubicBezTo>
              <a:cubicBezTo>
                <a:pt x="1052957" y="573461"/>
                <a:pt x="1037843" y="598678"/>
                <a:pt x="1016000" y="609600"/>
              </a:cubicBezTo>
              <a:cubicBezTo>
                <a:pt x="996842" y="619179"/>
                <a:pt x="973764" y="619518"/>
                <a:pt x="955040" y="629920"/>
              </a:cubicBezTo>
              <a:cubicBezTo>
                <a:pt x="912343" y="653640"/>
                <a:pt x="873760" y="684107"/>
                <a:pt x="833120" y="711200"/>
              </a:cubicBezTo>
              <a:lnTo>
                <a:pt x="711200" y="792480"/>
              </a:lnTo>
              <a:lnTo>
                <a:pt x="650240" y="833120"/>
              </a:lnTo>
              <a:cubicBezTo>
                <a:pt x="559350" y="969454"/>
                <a:pt x="666420" y="835880"/>
                <a:pt x="548640" y="914400"/>
              </a:cubicBezTo>
              <a:cubicBezTo>
                <a:pt x="524730" y="930340"/>
                <a:pt x="509756" y="956963"/>
                <a:pt x="487680" y="975360"/>
              </a:cubicBezTo>
              <a:cubicBezTo>
                <a:pt x="468919" y="990994"/>
                <a:pt x="447040" y="1002453"/>
                <a:pt x="426720" y="1016000"/>
              </a:cubicBezTo>
              <a:cubicBezTo>
                <a:pt x="324691" y="1169044"/>
                <a:pt x="444489" y="974538"/>
                <a:pt x="365760" y="1158240"/>
              </a:cubicBezTo>
              <a:cubicBezTo>
                <a:pt x="356140" y="1180687"/>
                <a:pt x="336042" y="1197357"/>
                <a:pt x="325120" y="1219200"/>
              </a:cubicBezTo>
              <a:cubicBezTo>
                <a:pt x="240992" y="1387457"/>
                <a:pt x="380629" y="1166417"/>
                <a:pt x="264160" y="1341120"/>
              </a:cubicBezTo>
              <a:cubicBezTo>
                <a:pt x="210408" y="1556130"/>
                <a:pt x="283387" y="1302938"/>
                <a:pt x="203200" y="1483360"/>
              </a:cubicBezTo>
              <a:cubicBezTo>
                <a:pt x="185802" y="1522506"/>
                <a:pt x="162560" y="1605280"/>
                <a:pt x="162560" y="1605280"/>
              </a:cubicBezTo>
              <a:cubicBezTo>
                <a:pt x="169333" y="1686560"/>
                <a:pt x="172764" y="1768188"/>
                <a:pt x="182880" y="1849120"/>
              </a:cubicBezTo>
              <a:cubicBezTo>
                <a:pt x="186344" y="1876832"/>
                <a:pt x="197723" y="1903015"/>
                <a:pt x="203200" y="1930400"/>
              </a:cubicBezTo>
              <a:cubicBezTo>
                <a:pt x="211280" y="1970800"/>
                <a:pt x="216150" y="2011784"/>
                <a:pt x="223520" y="2052320"/>
              </a:cubicBezTo>
              <a:cubicBezTo>
                <a:pt x="229698" y="2086300"/>
                <a:pt x="237067" y="2120053"/>
                <a:pt x="243840" y="2153920"/>
              </a:cubicBezTo>
              <a:cubicBezTo>
                <a:pt x="219966" y="2440410"/>
                <a:pt x="205199" y="2489590"/>
                <a:pt x="243840" y="2824480"/>
              </a:cubicBezTo>
              <a:cubicBezTo>
                <a:pt x="248021" y="2860715"/>
                <a:pt x="270933" y="2892213"/>
                <a:pt x="284480" y="2926080"/>
              </a:cubicBezTo>
              <a:cubicBezTo>
                <a:pt x="277707" y="3034453"/>
                <a:pt x="278831" y="3143611"/>
                <a:pt x="264160" y="3251200"/>
              </a:cubicBezTo>
              <a:cubicBezTo>
                <a:pt x="246743" y="3378926"/>
                <a:pt x="222069" y="3339737"/>
                <a:pt x="203200" y="3434080"/>
              </a:cubicBezTo>
              <a:cubicBezTo>
                <a:pt x="196427" y="3467947"/>
                <a:pt x="191967" y="3502360"/>
                <a:pt x="182880" y="3535680"/>
              </a:cubicBezTo>
              <a:cubicBezTo>
                <a:pt x="171608" y="3577009"/>
                <a:pt x="150641" y="3615594"/>
                <a:pt x="142240" y="3657600"/>
              </a:cubicBezTo>
              <a:cubicBezTo>
                <a:pt x="135467" y="3691467"/>
                <a:pt x="131007" y="3725880"/>
                <a:pt x="121920" y="3759200"/>
              </a:cubicBezTo>
              <a:cubicBezTo>
                <a:pt x="110648" y="3800529"/>
                <a:pt x="94827" y="3840480"/>
                <a:pt x="81280" y="3881120"/>
              </a:cubicBezTo>
              <a:lnTo>
                <a:pt x="40640" y="4003040"/>
              </a:lnTo>
              <a:cubicBezTo>
                <a:pt x="33867" y="4023360"/>
                <a:pt x="25515" y="4043220"/>
                <a:pt x="20320" y="4064000"/>
              </a:cubicBezTo>
              <a:lnTo>
                <a:pt x="0" y="4145280"/>
              </a:lnTo>
              <a:cubicBezTo>
                <a:pt x="10610" y="4251378"/>
                <a:pt x="-13084" y="4335396"/>
                <a:pt x="60960" y="4409440"/>
              </a:cubicBezTo>
              <a:cubicBezTo>
                <a:pt x="78229" y="4426709"/>
                <a:pt x="101600" y="4436533"/>
                <a:pt x="121920" y="4450080"/>
              </a:cubicBezTo>
              <a:cubicBezTo>
                <a:pt x="135467" y="4429760"/>
                <a:pt x="152641" y="4411437"/>
                <a:pt x="162560" y="4389120"/>
              </a:cubicBezTo>
              <a:cubicBezTo>
                <a:pt x="179958" y="4349974"/>
                <a:pt x="203200" y="4267200"/>
                <a:pt x="203200" y="4267200"/>
              </a:cubicBezTo>
              <a:cubicBezTo>
                <a:pt x="212986" y="4169342"/>
                <a:pt x="217259" y="4059865"/>
                <a:pt x="243840" y="3962400"/>
              </a:cubicBezTo>
              <a:cubicBezTo>
                <a:pt x="255112" y="3921071"/>
                <a:pt x="276079" y="3882486"/>
                <a:pt x="284480" y="3840480"/>
              </a:cubicBezTo>
              <a:cubicBezTo>
                <a:pt x="291253" y="3806613"/>
                <a:pt x="295713" y="3772200"/>
                <a:pt x="304800" y="3738880"/>
              </a:cubicBezTo>
              <a:cubicBezTo>
                <a:pt x="316072" y="3697551"/>
                <a:pt x="345440" y="3616960"/>
                <a:pt x="345440" y="3616960"/>
              </a:cubicBezTo>
              <a:cubicBezTo>
                <a:pt x="352213" y="3556000"/>
                <a:pt x="355677" y="3494581"/>
                <a:pt x="365760" y="3434080"/>
              </a:cubicBezTo>
              <a:cubicBezTo>
                <a:pt x="369281" y="3412952"/>
                <a:pt x="380885" y="3393900"/>
                <a:pt x="386080" y="3373120"/>
              </a:cubicBezTo>
              <a:cubicBezTo>
                <a:pt x="394457" y="3339614"/>
                <a:pt x="397313" y="3304840"/>
                <a:pt x="406400" y="3271520"/>
              </a:cubicBezTo>
              <a:cubicBezTo>
                <a:pt x="417672" y="3230191"/>
                <a:pt x="447040" y="3149600"/>
                <a:pt x="447040" y="3149600"/>
              </a:cubicBezTo>
              <a:cubicBezTo>
                <a:pt x="505961" y="2737151"/>
                <a:pt x="431292" y="3251960"/>
                <a:pt x="487680" y="2885440"/>
              </a:cubicBezTo>
              <a:cubicBezTo>
                <a:pt x="539973" y="2545534"/>
                <a:pt x="477634" y="2925396"/>
                <a:pt x="528320" y="2621280"/>
              </a:cubicBezTo>
              <a:cubicBezTo>
                <a:pt x="577787" y="2695480"/>
                <a:pt x="619506" y="2752598"/>
                <a:pt x="650240" y="2844800"/>
              </a:cubicBezTo>
              <a:cubicBezTo>
                <a:pt x="663787" y="2885440"/>
                <a:pt x="680490" y="2925161"/>
                <a:pt x="690880" y="2966720"/>
              </a:cubicBezTo>
              <a:cubicBezTo>
                <a:pt x="697653" y="2993813"/>
                <a:pt x="700199" y="3022331"/>
                <a:pt x="711200" y="3048000"/>
              </a:cubicBezTo>
              <a:cubicBezTo>
                <a:pt x="720820" y="3070447"/>
                <a:pt x="741921" y="3086643"/>
                <a:pt x="751840" y="3108960"/>
              </a:cubicBezTo>
              <a:cubicBezTo>
                <a:pt x="769238" y="3148106"/>
                <a:pt x="778933" y="3190240"/>
                <a:pt x="792480" y="3230880"/>
              </a:cubicBezTo>
              <a:lnTo>
                <a:pt x="812800" y="3291840"/>
              </a:lnTo>
              <a:cubicBezTo>
                <a:pt x="819573" y="3312160"/>
                <a:pt x="828474" y="3331891"/>
                <a:pt x="833120" y="3352800"/>
              </a:cubicBezTo>
              <a:lnTo>
                <a:pt x="873760" y="3535680"/>
              </a:lnTo>
              <a:cubicBezTo>
                <a:pt x="872745" y="3555977"/>
                <a:pt x="889559" y="3948862"/>
                <a:pt x="812800" y="4064000"/>
              </a:cubicBezTo>
              <a:cubicBezTo>
                <a:pt x="799253" y="4084320"/>
                <a:pt x="782079" y="4102643"/>
                <a:pt x="772160" y="4124960"/>
              </a:cubicBezTo>
              <a:cubicBezTo>
                <a:pt x="754762" y="4164106"/>
                <a:pt x="731520" y="4246880"/>
                <a:pt x="731520" y="4246880"/>
              </a:cubicBezTo>
              <a:cubicBezTo>
                <a:pt x="738293" y="4328160"/>
                <a:pt x="738431" y="4410268"/>
                <a:pt x="751840" y="4490720"/>
              </a:cubicBezTo>
              <a:cubicBezTo>
                <a:pt x="758883" y="4532975"/>
                <a:pt x="784079" y="4570634"/>
                <a:pt x="792480" y="4612640"/>
              </a:cubicBezTo>
              <a:cubicBezTo>
                <a:pt x="822193" y="4761205"/>
                <a:pt x="807916" y="4680050"/>
                <a:pt x="833120" y="4856480"/>
              </a:cubicBezTo>
              <a:cubicBezTo>
                <a:pt x="839893" y="5093547"/>
                <a:pt x="841597" y="5330812"/>
                <a:pt x="853440" y="5567680"/>
              </a:cubicBezTo>
              <a:cubicBezTo>
                <a:pt x="863224" y="5763360"/>
                <a:pt x="883049" y="5575227"/>
                <a:pt x="955040" y="5791200"/>
              </a:cubicBezTo>
              <a:cubicBezTo>
                <a:pt x="961813" y="5811520"/>
                <a:pt x="954451" y="5847514"/>
                <a:pt x="975360" y="5852160"/>
              </a:cubicBezTo>
              <a:cubicBezTo>
                <a:pt x="1087959" y="5877182"/>
                <a:pt x="1205653" y="5865707"/>
                <a:pt x="1320800" y="5872480"/>
              </a:cubicBezTo>
              <a:cubicBezTo>
                <a:pt x="1347893" y="5879253"/>
                <a:pt x="1375227" y="5885128"/>
                <a:pt x="1402080" y="5892800"/>
              </a:cubicBezTo>
              <a:cubicBezTo>
                <a:pt x="1422675" y="5898684"/>
                <a:pt x="1441621" y="5913120"/>
                <a:pt x="1463040" y="5913120"/>
              </a:cubicBezTo>
              <a:cubicBezTo>
                <a:pt x="1504241" y="5913120"/>
                <a:pt x="1544320" y="5899573"/>
                <a:pt x="1584960" y="5892800"/>
              </a:cubicBezTo>
              <a:cubicBezTo>
                <a:pt x="1605280" y="5879253"/>
                <a:pt x="1642891" y="5876393"/>
                <a:pt x="1645920" y="5852160"/>
              </a:cubicBezTo>
              <a:cubicBezTo>
                <a:pt x="1651233" y="5809652"/>
                <a:pt x="1605280" y="5730240"/>
                <a:pt x="1605280" y="5730240"/>
              </a:cubicBezTo>
              <a:cubicBezTo>
                <a:pt x="1578902" y="5545592"/>
                <a:pt x="1600106" y="5633437"/>
                <a:pt x="1544320" y="5466080"/>
              </a:cubicBezTo>
              <a:cubicBezTo>
                <a:pt x="1537547" y="5445760"/>
                <a:pt x="1541822" y="5417001"/>
                <a:pt x="1524000" y="5405120"/>
              </a:cubicBezTo>
              <a:cubicBezTo>
                <a:pt x="1483360" y="5378027"/>
                <a:pt x="1436617" y="5358377"/>
                <a:pt x="1402080" y="5323840"/>
              </a:cubicBezTo>
              <a:cubicBezTo>
                <a:pt x="1323851" y="5245611"/>
                <a:pt x="1365030" y="5278820"/>
                <a:pt x="1280160" y="5222240"/>
              </a:cubicBezTo>
              <a:cubicBezTo>
                <a:pt x="1266613" y="5181600"/>
                <a:pt x="1263282" y="5135964"/>
                <a:pt x="1239520" y="5100320"/>
              </a:cubicBezTo>
              <a:cubicBezTo>
                <a:pt x="1146359" y="4960578"/>
                <a:pt x="1173686" y="5024737"/>
                <a:pt x="1137920" y="4917440"/>
              </a:cubicBezTo>
              <a:cubicBezTo>
                <a:pt x="1144693" y="4856480"/>
                <a:pt x="1148157" y="4795061"/>
                <a:pt x="1158240" y="4734560"/>
              </a:cubicBezTo>
              <a:cubicBezTo>
                <a:pt x="1164008" y="4699953"/>
                <a:pt x="1203108" y="4614849"/>
                <a:pt x="1219200" y="4592320"/>
              </a:cubicBezTo>
              <a:cubicBezTo>
                <a:pt x="1235903" y="4568936"/>
                <a:pt x="1259840" y="4551680"/>
                <a:pt x="1280160" y="4531360"/>
              </a:cubicBezTo>
              <a:cubicBezTo>
                <a:pt x="1286933" y="4470400"/>
                <a:pt x="1262164" y="4396375"/>
                <a:pt x="1300480" y="4348480"/>
              </a:cubicBezTo>
              <a:cubicBezTo>
                <a:pt x="1321636" y="4322035"/>
                <a:pt x="1346294" y="4399469"/>
                <a:pt x="1361440" y="4429760"/>
              </a:cubicBezTo>
              <a:cubicBezTo>
                <a:pt x="1506528" y="4719937"/>
                <a:pt x="1323176" y="4433323"/>
                <a:pt x="1442720" y="4612640"/>
              </a:cubicBezTo>
              <a:cubicBezTo>
                <a:pt x="1453748" y="4899355"/>
                <a:pt x="1423922" y="5064245"/>
                <a:pt x="1503680" y="5303520"/>
              </a:cubicBezTo>
              <a:cubicBezTo>
                <a:pt x="1510453" y="5323840"/>
                <a:pt x="1512119" y="5346658"/>
                <a:pt x="1524000" y="5364480"/>
              </a:cubicBezTo>
              <a:cubicBezTo>
                <a:pt x="1539940" y="5388390"/>
                <a:pt x="1564640" y="5405120"/>
                <a:pt x="1584960" y="5425440"/>
              </a:cubicBezTo>
              <a:cubicBezTo>
                <a:pt x="1591733" y="5459307"/>
                <a:pt x="1596193" y="5493720"/>
                <a:pt x="1605280" y="5527040"/>
              </a:cubicBezTo>
              <a:cubicBezTo>
                <a:pt x="1616552" y="5568369"/>
                <a:pt x="1637519" y="5606954"/>
                <a:pt x="1645920" y="5648960"/>
              </a:cubicBezTo>
              <a:cubicBezTo>
                <a:pt x="1652693" y="5682827"/>
                <a:pt x="1649105" y="5720573"/>
                <a:pt x="1666240" y="5750560"/>
              </a:cubicBezTo>
              <a:cubicBezTo>
                <a:pt x="1678357" y="5771764"/>
                <a:pt x="1706880" y="5777653"/>
                <a:pt x="1727200" y="5791200"/>
              </a:cubicBezTo>
              <a:cubicBezTo>
                <a:pt x="1815253" y="5784427"/>
                <a:pt x="1903532" y="5780125"/>
                <a:pt x="1991360" y="5770880"/>
              </a:cubicBezTo>
              <a:cubicBezTo>
                <a:pt x="2032334" y="5766567"/>
                <a:pt x="2086904" y="5782211"/>
                <a:pt x="2113280" y="5750560"/>
              </a:cubicBezTo>
              <a:cubicBezTo>
                <a:pt x="2135390" y="5724028"/>
                <a:pt x="2102047" y="5682280"/>
                <a:pt x="2092960" y="5648960"/>
              </a:cubicBezTo>
              <a:cubicBezTo>
                <a:pt x="2054132" y="5506589"/>
                <a:pt x="2056406" y="5533169"/>
                <a:pt x="1971040" y="5405120"/>
              </a:cubicBezTo>
              <a:lnTo>
                <a:pt x="1971040" y="5405120"/>
              </a:lnTo>
              <a:cubicBezTo>
                <a:pt x="1922677" y="5260032"/>
                <a:pt x="1954162" y="5318844"/>
                <a:pt x="1889760" y="5222240"/>
              </a:cubicBezTo>
              <a:cubicBezTo>
                <a:pt x="1882987" y="5195147"/>
                <a:pt x="1877112" y="5167813"/>
                <a:pt x="1869440" y="5140960"/>
              </a:cubicBezTo>
              <a:cubicBezTo>
                <a:pt x="1863556" y="5120365"/>
                <a:pt x="1853936" y="5100871"/>
                <a:pt x="1849120" y="5080000"/>
              </a:cubicBezTo>
              <a:cubicBezTo>
                <a:pt x="1811595" y="4917393"/>
                <a:pt x="1809576" y="4884470"/>
                <a:pt x="1788160" y="4734560"/>
              </a:cubicBezTo>
              <a:cubicBezTo>
                <a:pt x="1819069" y="3869099"/>
                <a:pt x="1761041" y="4389234"/>
                <a:pt x="1828800" y="4084320"/>
              </a:cubicBezTo>
              <a:cubicBezTo>
                <a:pt x="1836292" y="4050605"/>
                <a:pt x="1834828" y="4014162"/>
                <a:pt x="1849120" y="3982720"/>
              </a:cubicBezTo>
              <a:cubicBezTo>
                <a:pt x="1869331" y="3938255"/>
                <a:pt x="1889760" y="3887893"/>
                <a:pt x="1930400" y="3860800"/>
              </a:cubicBezTo>
              <a:lnTo>
                <a:pt x="2052320" y="3779520"/>
              </a:lnTo>
              <a:cubicBezTo>
                <a:pt x="2072640" y="3765973"/>
                <a:pt x="2096011" y="3756149"/>
                <a:pt x="2113280" y="3738880"/>
              </a:cubicBezTo>
              <a:cubicBezTo>
                <a:pt x="2158220" y="3693940"/>
                <a:pt x="2178620" y="3665570"/>
                <a:pt x="2235200" y="3637280"/>
              </a:cubicBezTo>
              <a:cubicBezTo>
                <a:pt x="2254358" y="3627701"/>
                <a:pt x="2275840" y="3623733"/>
                <a:pt x="2296160" y="3616960"/>
              </a:cubicBezTo>
              <a:cubicBezTo>
                <a:pt x="2402477" y="3626625"/>
                <a:pt x="2516303" y="3628970"/>
                <a:pt x="2621280" y="3657600"/>
              </a:cubicBezTo>
              <a:cubicBezTo>
                <a:pt x="2662609" y="3668872"/>
                <a:pt x="2702560" y="3684693"/>
                <a:pt x="2743200" y="3698240"/>
              </a:cubicBezTo>
              <a:cubicBezTo>
                <a:pt x="2763520" y="3705013"/>
                <a:pt x="2786338" y="3706679"/>
                <a:pt x="2804160" y="3718560"/>
              </a:cubicBezTo>
              <a:cubicBezTo>
                <a:pt x="2824480" y="3732107"/>
                <a:pt x="2842803" y="3749281"/>
                <a:pt x="2865120" y="3759200"/>
              </a:cubicBezTo>
              <a:cubicBezTo>
                <a:pt x="2904266" y="3776598"/>
                <a:pt x="2946400" y="3786293"/>
                <a:pt x="2987040" y="3799840"/>
              </a:cubicBezTo>
              <a:lnTo>
                <a:pt x="3108960" y="3840480"/>
              </a:lnTo>
              <a:cubicBezTo>
                <a:pt x="3129280" y="3847253"/>
                <a:pt x="3148917" y="3856599"/>
                <a:pt x="3169920" y="3860800"/>
              </a:cubicBezTo>
              <a:lnTo>
                <a:pt x="3271520" y="3881120"/>
              </a:lnTo>
              <a:cubicBezTo>
                <a:pt x="3417350" y="3978340"/>
                <a:pt x="3358903" y="3927863"/>
                <a:pt x="3454400" y="4023360"/>
              </a:cubicBezTo>
              <a:cubicBezTo>
                <a:pt x="3474720" y="4009813"/>
                <a:pt x="3506290" y="4005395"/>
                <a:pt x="3515360" y="3982720"/>
              </a:cubicBezTo>
              <a:cubicBezTo>
                <a:pt x="3522965" y="3963707"/>
                <a:pt x="3453568" y="3879813"/>
                <a:pt x="3515360" y="3860800"/>
              </a:cubicBezTo>
              <a:cubicBezTo>
                <a:pt x="3593315" y="3836814"/>
                <a:pt x="3677920" y="3847253"/>
                <a:pt x="3759200" y="3840480"/>
              </a:cubicBezTo>
              <a:cubicBezTo>
                <a:pt x="3779520" y="3833707"/>
                <a:pt x="3798750" y="3819530"/>
                <a:pt x="3820160" y="3820160"/>
              </a:cubicBezTo>
              <a:cubicBezTo>
                <a:pt x="4030479" y="3826346"/>
                <a:pt x="4450080" y="3860800"/>
                <a:pt x="4450080" y="3860800"/>
              </a:cubicBezTo>
              <a:cubicBezTo>
                <a:pt x="4531360" y="3854027"/>
                <a:pt x="4613106" y="3851500"/>
                <a:pt x="4693920" y="3840480"/>
              </a:cubicBezTo>
              <a:cubicBezTo>
                <a:pt x="4762361" y="3831147"/>
                <a:pt x="4828329" y="3806094"/>
                <a:pt x="4897120" y="3799840"/>
              </a:cubicBezTo>
              <a:lnTo>
                <a:pt x="5120640" y="3779520"/>
              </a:lnTo>
              <a:cubicBezTo>
                <a:pt x="5128575" y="3795391"/>
                <a:pt x="5181600" y="3891861"/>
                <a:pt x="5181600" y="3921760"/>
              </a:cubicBezTo>
              <a:cubicBezTo>
                <a:pt x="5181600" y="4207239"/>
                <a:pt x="5183939" y="4176566"/>
                <a:pt x="5140960" y="4348480"/>
              </a:cubicBezTo>
              <a:cubicBezTo>
                <a:pt x="5126393" y="4479583"/>
                <a:pt x="5099809" y="4602878"/>
                <a:pt x="5140960" y="4734560"/>
              </a:cubicBezTo>
              <a:cubicBezTo>
                <a:pt x="5155529" y="4781180"/>
                <a:pt x="5222240" y="4856480"/>
                <a:pt x="5222240" y="4856480"/>
              </a:cubicBezTo>
              <a:cubicBezTo>
                <a:pt x="5208693" y="4978400"/>
                <a:pt x="5196216" y="5100444"/>
                <a:pt x="5181600" y="5222240"/>
              </a:cubicBezTo>
              <a:cubicBezTo>
                <a:pt x="5175894" y="5269794"/>
                <a:pt x="5161280" y="5316585"/>
                <a:pt x="5161280" y="5364480"/>
              </a:cubicBezTo>
              <a:cubicBezTo>
                <a:pt x="5161280" y="5687102"/>
                <a:pt x="5146759" y="5625716"/>
                <a:pt x="5201920" y="5791200"/>
              </a:cubicBezTo>
              <a:cubicBezTo>
                <a:pt x="5192338" y="5819947"/>
                <a:pt x="5161280" y="5907925"/>
                <a:pt x="5161280" y="5933440"/>
              </a:cubicBezTo>
              <a:cubicBezTo>
                <a:pt x="5161280" y="5954859"/>
                <a:pt x="5171198" y="5975676"/>
                <a:pt x="5181600" y="5994400"/>
              </a:cubicBezTo>
              <a:cubicBezTo>
                <a:pt x="5227644" y="6077278"/>
                <a:pt x="5237206" y="6125811"/>
                <a:pt x="5323840" y="6136640"/>
              </a:cubicBezTo>
              <a:cubicBezTo>
                <a:pt x="5411471" y="6147594"/>
                <a:pt x="5500125" y="6148172"/>
                <a:pt x="5588000" y="6156960"/>
              </a:cubicBezTo>
              <a:cubicBezTo>
                <a:pt x="5635657" y="6161726"/>
                <a:pt x="5682827" y="6170507"/>
                <a:pt x="5730240" y="6177280"/>
              </a:cubicBezTo>
              <a:cubicBezTo>
                <a:pt x="5764107" y="6170507"/>
                <a:pt x="5803103" y="6176118"/>
                <a:pt x="5831840" y="6156960"/>
              </a:cubicBezTo>
              <a:cubicBezTo>
                <a:pt x="5849662" y="6145079"/>
                <a:pt x="5847959" y="6117003"/>
                <a:pt x="5852160" y="6096000"/>
              </a:cubicBezTo>
              <a:cubicBezTo>
                <a:pt x="5861553" y="6049035"/>
                <a:pt x="5851061" y="5996598"/>
                <a:pt x="5872480" y="5953760"/>
              </a:cubicBezTo>
              <a:cubicBezTo>
                <a:pt x="5882059" y="5934602"/>
                <a:pt x="5913120" y="5940213"/>
                <a:pt x="5933440" y="5933440"/>
              </a:cubicBezTo>
              <a:cubicBezTo>
                <a:pt x="5946987" y="5913120"/>
                <a:pt x="5971051" y="5896713"/>
                <a:pt x="5974080" y="5872480"/>
              </a:cubicBezTo>
              <a:cubicBezTo>
                <a:pt x="5981694" y="5811571"/>
                <a:pt x="5949779" y="5753911"/>
                <a:pt x="5913120" y="5709920"/>
              </a:cubicBezTo>
              <a:cubicBezTo>
                <a:pt x="5894723" y="5687844"/>
                <a:pt x="5868863" y="5672344"/>
                <a:pt x="5852160" y="5648960"/>
              </a:cubicBezTo>
              <a:cubicBezTo>
                <a:pt x="5834554" y="5624311"/>
                <a:pt x="5825067" y="5594773"/>
                <a:pt x="5811520" y="5567680"/>
              </a:cubicBezTo>
              <a:cubicBezTo>
                <a:pt x="5797210" y="5438890"/>
                <a:pt x="5801935" y="5407038"/>
                <a:pt x="5770880" y="5303520"/>
              </a:cubicBezTo>
              <a:cubicBezTo>
                <a:pt x="5758570" y="5262488"/>
                <a:pt x="5730240" y="5181600"/>
                <a:pt x="5730240" y="5181600"/>
              </a:cubicBezTo>
              <a:cubicBezTo>
                <a:pt x="5770058" y="4942693"/>
                <a:pt x="5730463" y="5160276"/>
                <a:pt x="5770880" y="4978400"/>
              </a:cubicBezTo>
              <a:cubicBezTo>
                <a:pt x="5778372" y="4944685"/>
                <a:pt x="5782113" y="4910120"/>
                <a:pt x="5791200" y="4876800"/>
              </a:cubicBezTo>
              <a:cubicBezTo>
                <a:pt x="5802472" y="4835471"/>
                <a:pt x="5808078" y="4790524"/>
                <a:pt x="5831840" y="4754880"/>
              </a:cubicBezTo>
              <a:cubicBezTo>
                <a:pt x="5845387" y="4734560"/>
                <a:pt x="5862561" y="4716237"/>
                <a:pt x="5872480" y="4693920"/>
              </a:cubicBezTo>
              <a:cubicBezTo>
                <a:pt x="5889878" y="4654774"/>
                <a:pt x="5899573" y="4612640"/>
                <a:pt x="5913120" y="4572000"/>
              </a:cubicBezTo>
              <a:cubicBezTo>
                <a:pt x="5941320" y="4487399"/>
                <a:pt x="5934143" y="4517331"/>
                <a:pt x="5953760" y="4409440"/>
              </a:cubicBezTo>
              <a:cubicBezTo>
                <a:pt x="5965187" y="4346594"/>
                <a:pt x="5977621" y="4221249"/>
                <a:pt x="6014720" y="4165600"/>
              </a:cubicBezTo>
              <a:cubicBezTo>
                <a:pt x="6028267" y="4145280"/>
                <a:pt x="6034651" y="4117583"/>
                <a:pt x="6055360" y="4104640"/>
              </a:cubicBezTo>
              <a:cubicBezTo>
                <a:pt x="6107859" y="4071828"/>
                <a:pt x="6217658" y="4057285"/>
                <a:pt x="6278880" y="4043680"/>
              </a:cubicBezTo>
              <a:cubicBezTo>
                <a:pt x="6306142" y="4037622"/>
                <a:pt x="6332775" y="4028837"/>
                <a:pt x="6360160" y="4023360"/>
              </a:cubicBezTo>
              <a:cubicBezTo>
                <a:pt x="6538970" y="3987598"/>
                <a:pt x="6424402" y="4022266"/>
                <a:pt x="6543040" y="3982720"/>
              </a:cubicBezTo>
              <a:cubicBezTo>
                <a:pt x="6678327" y="3847433"/>
                <a:pt x="6550802" y="3993133"/>
                <a:pt x="6624320" y="3860800"/>
              </a:cubicBezTo>
              <a:cubicBezTo>
                <a:pt x="6648040" y="3818103"/>
                <a:pt x="6678507" y="3779520"/>
                <a:pt x="6705600" y="3738880"/>
              </a:cubicBezTo>
              <a:cubicBezTo>
                <a:pt x="6719147" y="3718560"/>
                <a:pt x="6738517" y="3701088"/>
                <a:pt x="6746240" y="3677920"/>
              </a:cubicBezTo>
              <a:cubicBezTo>
                <a:pt x="6759787" y="3637280"/>
                <a:pt x="6763118" y="3591644"/>
                <a:pt x="6786880" y="3556000"/>
              </a:cubicBezTo>
              <a:cubicBezTo>
                <a:pt x="6800427" y="3535680"/>
                <a:pt x="6816598" y="3516883"/>
                <a:pt x="6827520" y="3495040"/>
              </a:cubicBezTo>
              <a:cubicBezTo>
                <a:pt x="6837099" y="3475882"/>
                <a:pt x="6838261" y="3453238"/>
                <a:pt x="6847840" y="3434080"/>
              </a:cubicBezTo>
              <a:cubicBezTo>
                <a:pt x="6858762" y="3412237"/>
                <a:pt x="6877558" y="3394963"/>
                <a:pt x="6888480" y="3373120"/>
              </a:cubicBezTo>
              <a:cubicBezTo>
                <a:pt x="6898059" y="3353962"/>
                <a:pt x="6891371" y="3324610"/>
                <a:pt x="6908800" y="3312160"/>
              </a:cubicBezTo>
              <a:cubicBezTo>
                <a:pt x="6943659" y="3287261"/>
                <a:pt x="7030720" y="3271520"/>
                <a:pt x="7030720" y="3271520"/>
              </a:cubicBezTo>
              <a:cubicBezTo>
                <a:pt x="7137251" y="3164989"/>
                <a:pt x="7068109" y="3258515"/>
                <a:pt x="7112000" y="3068320"/>
              </a:cubicBezTo>
              <a:cubicBezTo>
                <a:pt x="7149250" y="2906905"/>
                <a:pt x="7130719" y="2984897"/>
                <a:pt x="7213600" y="2885440"/>
              </a:cubicBezTo>
              <a:cubicBezTo>
                <a:pt x="7229234" y="2866679"/>
                <a:pt x="7235861" y="2840562"/>
                <a:pt x="7254240" y="2824480"/>
              </a:cubicBezTo>
              <a:lnTo>
                <a:pt x="7437120" y="2702560"/>
              </a:lnTo>
              <a:cubicBezTo>
                <a:pt x="7457440" y="2689013"/>
                <a:pt x="7474912" y="2669643"/>
                <a:pt x="7498080" y="2661920"/>
              </a:cubicBezTo>
              <a:lnTo>
                <a:pt x="7620000" y="2621280"/>
              </a:lnTo>
              <a:cubicBezTo>
                <a:pt x="7647093" y="2600960"/>
                <a:pt x="7673535" y="2579741"/>
                <a:pt x="7701280" y="2560320"/>
              </a:cubicBezTo>
              <a:cubicBezTo>
                <a:pt x="7741294" y="2532310"/>
                <a:pt x="7788663" y="2513577"/>
                <a:pt x="7823200" y="2479040"/>
              </a:cubicBezTo>
              <a:lnTo>
                <a:pt x="7884160" y="2418080"/>
              </a:lnTo>
              <a:cubicBezTo>
                <a:pt x="8073813" y="2424853"/>
                <a:pt x="8263739" y="2426182"/>
                <a:pt x="8453120" y="2438400"/>
              </a:cubicBezTo>
              <a:cubicBezTo>
                <a:pt x="8474495" y="2439779"/>
                <a:pt x="8494922" y="2449141"/>
                <a:pt x="8514080" y="2458720"/>
              </a:cubicBezTo>
              <a:cubicBezTo>
                <a:pt x="8535923" y="2469642"/>
                <a:pt x="8554720" y="2485813"/>
                <a:pt x="8575040" y="2499360"/>
              </a:cubicBezTo>
              <a:cubicBezTo>
                <a:pt x="8678574" y="2430337"/>
                <a:pt x="8632974" y="2441859"/>
                <a:pt x="8818880" y="2479040"/>
              </a:cubicBezTo>
              <a:cubicBezTo>
                <a:pt x="8860886" y="2487441"/>
                <a:pt x="8940800" y="2519680"/>
                <a:pt x="8940800" y="2519680"/>
              </a:cubicBezTo>
              <a:cubicBezTo>
                <a:pt x="9059544" y="2502717"/>
                <a:pt x="9077673" y="2502810"/>
                <a:pt x="9184640" y="2479040"/>
              </a:cubicBezTo>
              <a:cubicBezTo>
                <a:pt x="9327568" y="2447278"/>
                <a:pt x="9208081" y="2472342"/>
                <a:pt x="9326880" y="2438400"/>
              </a:cubicBezTo>
              <a:cubicBezTo>
                <a:pt x="9353733" y="2430728"/>
                <a:pt x="9381067" y="2424853"/>
                <a:pt x="9408160" y="2418080"/>
              </a:cubicBezTo>
              <a:cubicBezTo>
                <a:pt x="9414933" y="2363893"/>
                <a:pt x="9392200" y="2296335"/>
                <a:pt x="9428480" y="2255520"/>
              </a:cubicBezTo>
              <a:cubicBezTo>
                <a:pt x="9460300" y="2219723"/>
                <a:pt x="9539551" y="2271564"/>
                <a:pt x="9570720" y="2235200"/>
              </a:cubicBezTo>
              <a:cubicBezTo>
                <a:pt x="9597533" y="2203918"/>
                <a:pt x="9556227" y="2154066"/>
                <a:pt x="9550400" y="2113280"/>
              </a:cubicBezTo>
              <a:cubicBezTo>
                <a:pt x="9542677" y="2059220"/>
                <a:pt x="9539849" y="2004448"/>
                <a:pt x="9530080" y="1950720"/>
              </a:cubicBezTo>
              <a:cubicBezTo>
                <a:pt x="9516668" y="1876953"/>
                <a:pt x="9470667" y="1831121"/>
                <a:pt x="9428480" y="1767840"/>
              </a:cubicBezTo>
              <a:lnTo>
                <a:pt x="9387840" y="1706880"/>
              </a:lnTo>
              <a:cubicBezTo>
                <a:pt x="9374293" y="1686560"/>
                <a:pt x="9354923" y="1669088"/>
                <a:pt x="9347200" y="1645920"/>
              </a:cubicBezTo>
              <a:cubicBezTo>
                <a:pt x="9340427" y="1625600"/>
                <a:pt x="9337282" y="1603684"/>
                <a:pt x="9326880" y="1584960"/>
              </a:cubicBezTo>
              <a:cubicBezTo>
                <a:pt x="9266117" y="1475587"/>
                <a:pt x="9258688" y="1476128"/>
                <a:pt x="9184640" y="1402080"/>
              </a:cubicBezTo>
              <a:cubicBezTo>
                <a:pt x="9124401" y="1161124"/>
                <a:pt x="9216808" y="1542602"/>
                <a:pt x="9144000" y="1178560"/>
              </a:cubicBezTo>
              <a:cubicBezTo>
                <a:pt x="9139799" y="1157557"/>
                <a:pt x="9129564" y="1138195"/>
                <a:pt x="9123680" y="1117600"/>
              </a:cubicBezTo>
              <a:cubicBezTo>
                <a:pt x="9116008" y="1090747"/>
                <a:pt x="9114361" y="1061989"/>
                <a:pt x="9103360" y="1036320"/>
              </a:cubicBezTo>
              <a:cubicBezTo>
                <a:pt x="9073655" y="967009"/>
                <a:pt x="9048364" y="974320"/>
                <a:pt x="9001760" y="914400"/>
              </a:cubicBezTo>
              <a:cubicBezTo>
                <a:pt x="8909848" y="796227"/>
                <a:pt x="8924410" y="804269"/>
                <a:pt x="8879840" y="670560"/>
              </a:cubicBezTo>
              <a:lnTo>
                <a:pt x="8859520" y="609600"/>
              </a:lnTo>
              <a:cubicBezTo>
                <a:pt x="8873067" y="541867"/>
                <a:pt x="8834630" y="428243"/>
                <a:pt x="8900160" y="406400"/>
              </a:cubicBezTo>
              <a:cubicBezTo>
                <a:pt x="9081331" y="346010"/>
                <a:pt x="8795448" y="442630"/>
                <a:pt x="9062720" y="345440"/>
              </a:cubicBezTo>
              <a:cubicBezTo>
                <a:pt x="9222317" y="287405"/>
                <a:pt x="9140725" y="334077"/>
                <a:pt x="9245600" y="264160"/>
              </a:cubicBezTo>
              <a:cubicBezTo>
                <a:pt x="9254157" y="251324"/>
                <a:pt x="9317076" y="168530"/>
                <a:pt x="9306560" y="142240"/>
              </a:cubicBezTo>
              <a:cubicBezTo>
                <a:pt x="9297490" y="119565"/>
                <a:pt x="9265920" y="115147"/>
                <a:pt x="9245600" y="101600"/>
              </a:cubicBezTo>
              <a:cubicBezTo>
                <a:pt x="9218507" y="108373"/>
                <a:pt x="9191705" y="116443"/>
                <a:pt x="9164320" y="121920"/>
              </a:cubicBezTo>
              <a:cubicBezTo>
                <a:pt x="9123920" y="130000"/>
                <a:pt x="9082370" y="132247"/>
                <a:pt x="9042400" y="142240"/>
              </a:cubicBezTo>
              <a:cubicBezTo>
                <a:pt x="8832705" y="194664"/>
                <a:pt x="8992955" y="156802"/>
                <a:pt x="8859520" y="223520"/>
              </a:cubicBezTo>
              <a:cubicBezTo>
                <a:pt x="8840362" y="233099"/>
                <a:pt x="8817718" y="234261"/>
                <a:pt x="8798560" y="243840"/>
              </a:cubicBezTo>
              <a:cubicBezTo>
                <a:pt x="8776717" y="254762"/>
                <a:pt x="8756361" y="268846"/>
                <a:pt x="8737600" y="284480"/>
              </a:cubicBezTo>
              <a:cubicBezTo>
                <a:pt x="8715524" y="302877"/>
                <a:pt x="8701760" y="331484"/>
                <a:pt x="8676640" y="345440"/>
              </a:cubicBezTo>
              <a:cubicBezTo>
                <a:pt x="8639193" y="366244"/>
                <a:pt x="8554720" y="386080"/>
                <a:pt x="8554720" y="386080"/>
              </a:cubicBezTo>
              <a:cubicBezTo>
                <a:pt x="8514080" y="372533"/>
                <a:pt x="8425757" y="387695"/>
                <a:pt x="8432800" y="345440"/>
              </a:cubicBezTo>
              <a:cubicBezTo>
                <a:pt x="8439573" y="304800"/>
                <a:pt x="8429493" y="257273"/>
                <a:pt x="8453120" y="223520"/>
              </a:cubicBezTo>
              <a:cubicBezTo>
                <a:pt x="8481130" y="183506"/>
                <a:pt x="8575040" y="142240"/>
                <a:pt x="8575040" y="142240"/>
              </a:cubicBezTo>
              <a:cubicBezTo>
                <a:pt x="8581813" y="121920"/>
                <a:pt x="8585781" y="100438"/>
                <a:pt x="8595360" y="81280"/>
              </a:cubicBezTo>
              <a:cubicBezTo>
                <a:pt x="8606282" y="59437"/>
                <a:pt x="8641923" y="44012"/>
                <a:pt x="8636000" y="20320"/>
              </a:cubicBezTo>
              <a:cubicBezTo>
                <a:pt x="8630805" y="-460"/>
                <a:pt x="8595360" y="6773"/>
                <a:pt x="8575040" y="0"/>
              </a:cubicBezTo>
              <a:cubicBezTo>
                <a:pt x="8486987" y="6773"/>
                <a:pt x="8397681" y="4045"/>
                <a:pt x="8310880" y="20320"/>
              </a:cubicBezTo>
              <a:cubicBezTo>
                <a:pt x="8246372" y="32415"/>
                <a:pt x="8189283" y="151916"/>
                <a:pt x="8168640" y="182880"/>
              </a:cubicBezTo>
              <a:cubicBezTo>
                <a:pt x="8155093" y="203200"/>
                <a:pt x="8135723" y="220672"/>
                <a:pt x="8128000" y="243840"/>
              </a:cubicBezTo>
              <a:cubicBezTo>
                <a:pt x="8098849" y="331294"/>
                <a:pt x="8112875" y="284020"/>
                <a:pt x="8087360" y="386080"/>
              </a:cubicBezTo>
              <a:cubicBezTo>
                <a:pt x="8019627" y="379307"/>
                <a:pt x="7951440" y="376111"/>
                <a:pt x="7884160" y="365760"/>
              </a:cubicBezTo>
              <a:cubicBezTo>
                <a:pt x="7862990" y="362503"/>
                <a:pt x="7844619" y="345440"/>
                <a:pt x="7823200" y="345440"/>
              </a:cubicBezTo>
              <a:cubicBezTo>
                <a:pt x="7687564" y="345440"/>
                <a:pt x="7552267" y="358987"/>
                <a:pt x="7416800" y="365760"/>
              </a:cubicBezTo>
              <a:cubicBezTo>
                <a:pt x="7396480" y="372533"/>
                <a:pt x="7370986" y="370934"/>
                <a:pt x="7355840" y="386080"/>
              </a:cubicBezTo>
              <a:cubicBezTo>
                <a:pt x="7340694" y="401226"/>
                <a:pt x="7339352" y="425966"/>
                <a:pt x="7335520" y="447040"/>
              </a:cubicBezTo>
              <a:cubicBezTo>
                <a:pt x="7325751" y="500768"/>
                <a:pt x="7337379" y="559698"/>
                <a:pt x="7315200" y="609600"/>
              </a:cubicBezTo>
              <a:cubicBezTo>
                <a:pt x="7306501" y="629173"/>
                <a:pt x="7275243" y="625719"/>
                <a:pt x="7254240" y="629920"/>
              </a:cubicBezTo>
              <a:cubicBezTo>
                <a:pt x="7207275" y="639313"/>
                <a:pt x="7159413" y="643467"/>
                <a:pt x="7112000" y="650240"/>
              </a:cubicBezTo>
              <a:cubicBezTo>
                <a:pt x="6962987" y="643467"/>
                <a:pt x="6813652" y="641815"/>
                <a:pt x="6664960" y="629920"/>
              </a:cubicBezTo>
              <a:cubicBezTo>
                <a:pt x="6618236" y="626182"/>
                <a:pt x="6562385" y="582182"/>
                <a:pt x="6522720" y="568960"/>
              </a:cubicBezTo>
              <a:cubicBezTo>
                <a:pt x="6489955" y="558038"/>
                <a:pt x="6454835" y="556132"/>
                <a:pt x="6421120" y="548640"/>
              </a:cubicBezTo>
              <a:cubicBezTo>
                <a:pt x="6393858" y="542582"/>
                <a:pt x="6366693" y="535992"/>
                <a:pt x="6339840" y="528320"/>
              </a:cubicBezTo>
              <a:cubicBezTo>
                <a:pt x="6319245" y="522436"/>
                <a:pt x="6300245" y="509526"/>
                <a:pt x="6278880" y="508000"/>
              </a:cubicBezTo>
              <a:cubicBezTo>
                <a:pt x="6109842" y="495926"/>
                <a:pt x="5940213" y="494453"/>
                <a:pt x="5770880" y="487680"/>
              </a:cubicBezTo>
              <a:cubicBezTo>
                <a:pt x="5696373" y="494453"/>
                <a:pt x="5620721" y="493328"/>
                <a:pt x="5547360" y="508000"/>
              </a:cubicBezTo>
              <a:cubicBezTo>
                <a:pt x="5339343" y="549603"/>
                <a:pt x="5589283" y="551920"/>
                <a:pt x="5384800" y="568960"/>
              </a:cubicBezTo>
              <a:cubicBezTo>
                <a:pt x="5249633" y="580224"/>
                <a:pt x="5113867" y="582507"/>
                <a:pt x="4978400" y="589280"/>
              </a:cubicBezTo>
              <a:cubicBezTo>
                <a:pt x="4951307" y="596053"/>
                <a:pt x="4924667" y="605009"/>
                <a:pt x="4897120" y="609600"/>
              </a:cubicBezTo>
              <a:cubicBezTo>
                <a:pt x="4824947" y="621629"/>
                <a:pt x="4689386" y="631054"/>
                <a:pt x="4612640" y="650240"/>
              </a:cubicBezTo>
              <a:cubicBezTo>
                <a:pt x="4571081" y="660630"/>
                <a:pt x="4532726" y="682479"/>
                <a:pt x="4490720" y="690880"/>
              </a:cubicBezTo>
              <a:cubicBezTo>
                <a:pt x="4422987" y="704427"/>
                <a:pt x="4353050" y="709677"/>
                <a:pt x="4287520" y="731520"/>
              </a:cubicBezTo>
              <a:lnTo>
                <a:pt x="4226560" y="751840"/>
              </a:lnTo>
            </a:path>
          </a:pathLst>
        </a:custGeom>
        <a:solidFill>
          <a:sysClr val="windowText" lastClr="000000"/>
        </a:solidFill>
        <a:ln w="25400" cap="flat" cmpd="sng" algn="ctr">
          <a:noFill/>
          <a:prstDash val="solid"/>
        </a:ln>
        <a:effectLst/>
        <a:scene3d>
          <a:camera prst="orthographicFront">
            <a:rot lat="0" lon="10800000" rev="0"/>
          </a:camera>
          <a:lightRig rig="threePt" dir="t"/>
        </a:scene3d>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pPr algn="ctr" fontAlgn="auto">
            <a:spcBef>
              <a:spcPts val="0"/>
            </a:spcBef>
            <a:spcAft>
              <a:spcPts val="0"/>
            </a:spcAft>
            <a:defRPr/>
          </a:pPr>
          <a:endParaRPr kumimoji="0" lang="ja-JP" altLang="en-US" sz="2000" kern="0">
            <a:solidFill>
              <a:prstClr val="white"/>
            </a:solidFill>
            <a:latin typeface="Calibri"/>
            <a:ea typeface="ＭＳ Ｐゴシック"/>
          </a:endParaRPr>
        </a:p>
      </xdr:txBody>
    </xdr:sp>
    <xdr:clientData/>
  </xdr:twoCellAnchor>
  <xdr:twoCellAnchor>
    <xdr:from>
      <xdr:col>5</xdr:col>
      <xdr:colOff>66675</xdr:colOff>
      <xdr:row>21</xdr:row>
      <xdr:rowOff>38100</xdr:rowOff>
    </xdr:from>
    <xdr:to>
      <xdr:col>6</xdr:col>
      <xdr:colOff>571500</xdr:colOff>
      <xdr:row>23</xdr:row>
      <xdr:rowOff>76200</xdr:rowOff>
    </xdr:to>
    <xdr:sp macro="" textlink="">
      <xdr:nvSpPr>
        <xdr:cNvPr id="4" name="右矢印 3"/>
        <xdr:cNvSpPr/>
      </xdr:nvSpPr>
      <xdr:spPr bwMode="auto">
        <a:xfrm>
          <a:off x="3067050" y="3133725"/>
          <a:ext cx="1190625" cy="381000"/>
        </a:xfrm>
        <a:prstGeom prst="rightArrow">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619125</xdr:colOff>
      <xdr:row>34</xdr:row>
      <xdr:rowOff>19050</xdr:rowOff>
    </xdr:from>
    <xdr:to>
      <xdr:col>6</xdr:col>
      <xdr:colOff>438150</xdr:colOff>
      <xdr:row>36</xdr:row>
      <xdr:rowOff>57150</xdr:rowOff>
    </xdr:to>
    <xdr:sp macro="" textlink="">
      <xdr:nvSpPr>
        <xdr:cNvPr id="5" name="右矢印 4"/>
        <xdr:cNvSpPr/>
      </xdr:nvSpPr>
      <xdr:spPr bwMode="auto">
        <a:xfrm rot="10800000">
          <a:off x="2933700" y="5353050"/>
          <a:ext cx="1190625" cy="381000"/>
        </a:xfrm>
        <a:prstGeom prst="rightArrow">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290514</xdr:colOff>
      <xdr:row>24</xdr:row>
      <xdr:rowOff>109538</xdr:rowOff>
    </xdr:from>
    <xdr:to>
      <xdr:col>3</xdr:col>
      <xdr:colOff>671514</xdr:colOff>
      <xdr:row>31</xdr:row>
      <xdr:rowOff>90488</xdr:rowOff>
    </xdr:to>
    <xdr:sp macro="" textlink="">
      <xdr:nvSpPr>
        <xdr:cNvPr id="6" name="右矢印 5"/>
        <xdr:cNvSpPr/>
      </xdr:nvSpPr>
      <xdr:spPr bwMode="auto">
        <a:xfrm rot="16200000">
          <a:off x="1514476" y="4124326"/>
          <a:ext cx="1190625" cy="381000"/>
        </a:xfrm>
        <a:prstGeom prst="rightArrow">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552449</xdr:colOff>
      <xdr:row>16</xdr:row>
      <xdr:rowOff>47625</xdr:rowOff>
    </xdr:from>
    <xdr:to>
      <xdr:col>6</xdr:col>
      <xdr:colOff>142874</xdr:colOff>
      <xdr:row>17</xdr:row>
      <xdr:rowOff>19050</xdr:rowOff>
    </xdr:to>
    <xdr:sp macro="" textlink="">
      <xdr:nvSpPr>
        <xdr:cNvPr id="7" name="角丸四角形 6"/>
        <xdr:cNvSpPr/>
      </xdr:nvSpPr>
      <xdr:spPr bwMode="auto">
        <a:xfrm>
          <a:off x="3552824" y="2286000"/>
          <a:ext cx="276225" cy="142875"/>
        </a:xfrm>
        <a:prstGeom prst="roundRect">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57150</xdr:colOff>
      <xdr:row>16</xdr:row>
      <xdr:rowOff>95250</xdr:rowOff>
    </xdr:from>
    <xdr:to>
      <xdr:col>6</xdr:col>
      <xdr:colOff>590550</xdr:colOff>
      <xdr:row>17</xdr:row>
      <xdr:rowOff>114299</xdr:rowOff>
    </xdr:to>
    <xdr:sp macro="" textlink="">
      <xdr:nvSpPr>
        <xdr:cNvPr id="8" name="テキスト ボックス 7"/>
        <xdr:cNvSpPr txBox="1"/>
      </xdr:nvSpPr>
      <xdr:spPr>
        <a:xfrm>
          <a:off x="3743325" y="2333625"/>
          <a:ext cx="533400" cy="1904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水飲場</a:t>
          </a:r>
          <a:endParaRPr kumimoji="1" lang="en-US" altLang="ja-JP" sz="800"/>
        </a:p>
        <a:p>
          <a:pPr algn="ctr"/>
          <a:endParaRPr kumimoji="1" lang="ja-JP" altLang="en-US" sz="800"/>
        </a:p>
      </xdr:txBody>
    </xdr:sp>
    <xdr:clientData/>
  </xdr:twoCellAnchor>
  <xdr:twoCellAnchor>
    <xdr:from>
      <xdr:col>2</xdr:col>
      <xdr:colOff>66675</xdr:colOff>
      <xdr:row>27</xdr:row>
      <xdr:rowOff>28575</xdr:rowOff>
    </xdr:from>
    <xdr:to>
      <xdr:col>2</xdr:col>
      <xdr:colOff>209550</xdr:colOff>
      <xdr:row>28</xdr:row>
      <xdr:rowOff>123825</xdr:rowOff>
    </xdr:to>
    <xdr:sp macro="" textlink="">
      <xdr:nvSpPr>
        <xdr:cNvPr id="9" name="角丸四角形 8"/>
        <xdr:cNvSpPr/>
      </xdr:nvSpPr>
      <xdr:spPr bwMode="auto">
        <a:xfrm rot="5400000">
          <a:off x="942975" y="4219575"/>
          <a:ext cx="276225" cy="142875"/>
        </a:xfrm>
        <a:prstGeom prst="roundRect">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114300</xdr:colOff>
      <xdr:row>28</xdr:row>
      <xdr:rowOff>28575</xdr:rowOff>
    </xdr:from>
    <xdr:to>
      <xdr:col>2</xdr:col>
      <xdr:colOff>647700</xdr:colOff>
      <xdr:row>29</xdr:row>
      <xdr:rowOff>47624</xdr:rowOff>
    </xdr:to>
    <xdr:sp macro="" textlink="">
      <xdr:nvSpPr>
        <xdr:cNvPr id="10" name="テキスト ボックス 9"/>
        <xdr:cNvSpPr txBox="1"/>
      </xdr:nvSpPr>
      <xdr:spPr>
        <a:xfrm>
          <a:off x="1057275" y="4333875"/>
          <a:ext cx="533400" cy="1904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水飲場</a:t>
          </a:r>
          <a:endParaRPr kumimoji="1" lang="en-US" altLang="ja-JP" sz="800"/>
        </a:p>
        <a:p>
          <a:pPr algn="ctr"/>
          <a:endParaRPr kumimoji="1" lang="ja-JP" altLang="en-US" sz="800"/>
        </a:p>
      </xdr:txBody>
    </xdr:sp>
    <xdr:clientData/>
  </xdr:twoCellAnchor>
  <xdr:twoCellAnchor>
    <xdr:from>
      <xdr:col>6</xdr:col>
      <xdr:colOff>76200</xdr:colOff>
      <xdr:row>27</xdr:row>
      <xdr:rowOff>66675</xdr:rowOff>
    </xdr:from>
    <xdr:to>
      <xdr:col>6</xdr:col>
      <xdr:colOff>609600</xdr:colOff>
      <xdr:row>28</xdr:row>
      <xdr:rowOff>76199</xdr:rowOff>
    </xdr:to>
    <xdr:sp macro="" textlink="">
      <xdr:nvSpPr>
        <xdr:cNvPr id="11" name="テキスト ボックス 10"/>
        <xdr:cNvSpPr txBox="1"/>
      </xdr:nvSpPr>
      <xdr:spPr>
        <a:xfrm>
          <a:off x="3762375" y="4191000"/>
          <a:ext cx="533400" cy="1904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寒冷紗</a:t>
          </a:r>
          <a:endParaRPr kumimoji="1" lang="en-US" altLang="ja-JP" sz="800"/>
        </a:p>
        <a:p>
          <a:pPr algn="ctr"/>
          <a:endParaRPr kumimoji="1" lang="ja-JP" altLang="en-US" sz="800"/>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6&#12488;&#12510;&#12488;&#22799;&#31179;&#20316;Ver1_2&#65288;&#26368;&#32066;&#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40778;&#34276;&#20462;&#29983;&#29256;2)007_&#65295;&#20307;&#31995;07_&#20908;&#26149;&#12488;&#12510;&#12488;_H27_&#20462;&#27491;&#29256;_&#32076;&#21942;&#21454;&#25903;_-z-bf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経営収支"/>
      <sheetName val="技術体系入力"/>
      <sheetName val="償却資産"/>
      <sheetName val="収支入力"/>
      <sheetName val="労働時間"/>
      <sheetName val="作業体系"/>
      <sheetName val="損益分岐点グラフ"/>
      <sheetName val="科目集計用"/>
      <sheetName val="機械必要台数試算表"/>
      <sheetName val="育成費計算"/>
      <sheetName val="作業可能日数率"/>
      <sheetName val="科目設定"/>
    </sheetNames>
    <sheetDataSet>
      <sheetData sheetId="0"/>
      <sheetData sheetId="1">
        <row r="2">
          <cell r="B2" t="str">
            <v>トマト（雨よけ）</v>
          </cell>
        </row>
      </sheetData>
      <sheetData sheetId="2">
        <row r="1">
          <cell r="E1">
            <v>30</v>
          </cell>
        </row>
      </sheetData>
      <sheetData sheetId="3"/>
      <sheetData sheetId="4"/>
      <sheetData sheetId="5">
        <row r="4">
          <cell r="A4" t="str">
            <v>育苗管理</v>
          </cell>
        </row>
      </sheetData>
      <sheetData sheetId="6" refreshError="1"/>
      <sheetData sheetId="7">
        <row r="3">
          <cell r="H3">
            <v>10000</v>
          </cell>
        </row>
        <row r="7">
          <cell r="I7">
            <v>2736160</v>
          </cell>
        </row>
        <row r="110">
          <cell r="I110">
            <v>1763304.7797959184</v>
          </cell>
        </row>
        <row r="111">
          <cell r="I111">
            <v>395003.06060606061</v>
          </cell>
        </row>
      </sheetData>
      <sheetData sheetId="8" refreshError="1"/>
      <sheetData sheetId="9" refreshError="1"/>
      <sheetData sheetId="10" refreshError="1"/>
      <sheetData sheetId="11">
        <row r="1">
          <cell r="C1" t="str">
            <v>粗収益</v>
          </cell>
          <cell r="D1" t="str">
            <v>種苗費</v>
          </cell>
          <cell r="E1" t="str">
            <v>肥料費</v>
          </cell>
          <cell r="F1" t="str">
            <v>農業薬剤費</v>
          </cell>
          <cell r="G1" t="str">
            <v>動力・光熱費</v>
          </cell>
          <cell r="H1" t="str">
            <v>諸材料費</v>
          </cell>
          <cell r="I1" t="str">
            <v>農具費</v>
          </cell>
          <cell r="J1" t="str">
            <v>土地改良・水利費</v>
          </cell>
          <cell r="K1" t="str">
            <v>賃借料・利用料</v>
          </cell>
          <cell r="L1" t="str">
            <v>雇用労働費</v>
          </cell>
          <cell r="M1" t="str">
            <v>販売費用</v>
          </cell>
          <cell r="N1" t="str">
            <v>管理費用</v>
          </cell>
        </row>
        <row r="2">
          <cell r="P2" t="str">
            <v>1月上旬</v>
          </cell>
          <cell r="Q2" t="str">
            <v>Kg</v>
          </cell>
          <cell r="S2" t="str">
            <v>ガソリン</v>
          </cell>
          <cell r="U2" t="str">
            <v>固定</v>
          </cell>
          <cell r="W2" t="str">
            <v>01岩国</v>
          </cell>
        </row>
        <row r="3">
          <cell r="P3" t="str">
            <v>1月中旬</v>
          </cell>
          <cell r="Q3" t="str">
            <v>t</v>
          </cell>
          <cell r="S3" t="str">
            <v>軽油</v>
          </cell>
          <cell r="U3" t="str">
            <v>変動</v>
          </cell>
          <cell r="W3" t="str">
            <v>02柳井</v>
          </cell>
        </row>
        <row r="4">
          <cell r="P4" t="str">
            <v>1月下旬</v>
          </cell>
          <cell r="Q4" t="str">
            <v>g</v>
          </cell>
          <cell r="S4" t="str">
            <v>混合油</v>
          </cell>
          <cell r="U4" t="str">
            <v>不明</v>
          </cell>
          <cell r="W4" t="str">
            <v>03玖珂</v>
          </cell>
        </row>
        <row r="5">
          <cell r="P5" t="str">
            <v>2月上旬</v>
          </cell>
          <cell r="Q5" t="str">
            <v>ml</v>
          </cell>
          <cell r="S5" t="str">
            <v>Ａ重油</v>
          </cell>
          <cell r="W5" t="str">
            <v>04下松</v>
          </cell>
        </row>
        <row r="6">
          <cell r="P6" t="str">
            <v>2月中旬</v>
          </cell>
          <cell r="Q6" t="str">
            <v>ﾘｯﾄﾙ</v>
          </cell>
          <cell r="S6" t="str">
            <v>電気料</v>
          </cell>
          <cell r="W6" t="str">
            <v>05防府</v>
          </cell>
        </row>
        <row r="7">
          <cell r="P7" t="str">
            <v>2月下旬</v>
          </cell>
          <cell r="Q7" t="str">
            <v>錠</v>
          </cell>
          <cell r="S7" t="str">
            <v>畑潅水使用料</v>
          </cell>
          <cell r="W7" t="str">
            <v>06山口</v>
          </cell>
        </row>
        <row r="8">
          <cell r="P8" t="str">
            <v>3月上旬</v>
          </cell>
          <cell r="Q8" t="str">
            <v>m</v>
          </cell>
          <cell r="S8" t="str">
            <v>灯油</v>
          </cell>
          <cell r="W8" t="str">
            <v>07秋吉台</v>
          </cell>
        </row>
        <row r="9">
          <cell r="P9" t="str">
            <v>3月中旬</v>
          </cell>
          <cell r="Q9" t="str">
            <v>cc</v>
          </cell>
          <cell r="W9" t="str">
            <v>08宇部</v>
          </cell>
        </row>
        <row r="10">
          <cell r="P10" t="str">
            <v>3月下旬</v>
          </cell>
          <cell r="Q10" t="str">
            <v>mg</v>
          </cell>
          <cell r="W10" t="str">
            <v>09下関</v>
          </cell>
        </row>
        <row r="11">
          <cell r="P11" t="str">
            <v>4月上旬</v>
          </cell>
          <cell r="Q11" t="str">
            <v>本</v>
          </cell>
          <cell r="W11" t="str">
            <v>10豊田</v>
          </cell>
        </row>
        <row r="12">
          <cell r="P12" t="str">
            <v>4月中旬</v>
          </cell>
          <cell r="Q12" t="str">
            <v>個</v>
          </cell>
          <cell r="W12" t="str">
            <v>11油谷</v>
          </cell>
        </row>
        <row r="13">
          <cell r="P13" t="str">
            <v>4月下旬</v>
          </cell>
          <cell r="Q13" t="str">
            <v>kw</v>
          </cell>
          <cell r="W13" t="str">
            <v>12萩</v>
          </cell>
        </row>
        <row r="14">
          <cell r="P14" t="str">
            <v>5月上旬</v>
          </cell>
          <cell r="Q14" t="str">
            <v>袋</v>
          </cell>
          <cell r="W14" t="str">
            <v>13徳佐</v>
          </cell>
        </row>
        <row r="15">
          <cell r="P15" t="str">
            <v>5月中旬</v>
          </cell>
          <cell r="Q15" t="str">
            <v>箱</v>
          </cell>
          <cell r="W15" t="str">
            <v>14須佐</v>
          </cell>
        </row>
        <row r="16">
          <cell r="P16" t="str">
            <v>5月下旬</v>
          </cell>
          <cell r="Q16" t="str">
            <v>円</v>
          </cell>
        </row>
        <row r="17">
          <cell r="P17" t="str">
            <v>6月上旬</v>
          </cell>
          <cell r="Q17" t="str">
            <v>枚</v>
          </cell>
        </row>
        <row r="18">
          <cell r="P18" t="str">
            <v>6月中旬</v>
          </cell>
          <cell r="Q18" t="str">
            <v>組</v>
          </cell>
        </row>
        <row r="19">
          <cell r="P19" t="str">
            <v>6月下旬</v>
          </cell>
          <cell r="Q19" t="str">
            <v>台</v>
          </cell>
        </row>
        <row r="20">
          <cell r="P20" t="str">
            <v>7月上旬</v>
          </cell>
          <cell r="Q20" t="str">
            <v>巻</v>
          </cell>
        </row>
        <row r="21">
          <cell r="P21" t="str">
            <v>7月中旬</v>
          </cell>
          <cell r="Q21" t="str">
            <v>時間</v>
          </cell>
        </row>
        <row r="22">
          <cell r="P22" t="str">
            <v>7月下旬</v>
          </cell>
          <cell r="Q22" t="str">
            <v>回</v>
          </cell>
        </row>
        <row r="23">
          <cell r="P23" t="str">
            <v>8月上旬</v>
          </cell>
          <cell r="Q23" t="str">
            <v>年間</v>
          </cell>
        </row>
        <row r="24">
          <cell r="P24" t="str">
            <v>8月中旬</v>
          </cell>
          <cell r="Q24" t="str">
            <v>Kg（本鉢・個）／10a</v>
          </cell>
        </row>
        <row r="25">
          <cell r="P25" t="str">
            <v>8月下旬</v>
          </cell>
          <cell r="Q25" t="str">
            <v>箱／10a</v>
          </cell>
        </row>
        <row r="26">
          <cell r="P26" t="str">
            <v>9月上旬</v>
          </cell>
          <cell r="Q26" t="str">
            <v>円／10a</v>
          </cell>
        </row>
        <row r="27">
          <cell r="P27" t="str">
            <v>9月中旬</v>
          </cell>
          <cell r="Q27" t="str">
            <v>円／10a</v>
          </cell>
        </row>
        <row r="28">
          <cell r="P28" t="str">
            <v>9月下旬</v>
          </cell>
          <cell r="Q28" t="str">
            <v>円／Kg（本鉢・個）</v>
          </cell>
        </row>
        <row r="29">
          <cell r="P29" t="str">
            <v>10月上旬</v>
          </cell>
          <cell r="Q29" t="str">
            <v>円／箱</v>
          </cell>
        </row>
        <row r="30">
          <cell r="P30" t="str">
            <v>10月中旬</v>
          </cell>
          <cell r="Q30" t="str">
            <v>円／10a</v>
          </cell>
        </row>
        <row r="31">
          <cell r="P31" t="str">
            <v>10月下旬</v>
          </cell>
          <cell r="Q31" t="str">
            <v>円／10a</v>
          </cell>
        </row>
        <row r="32">
          <cell r="P32" t="str">
            <v>11月上旬</v>
          </cell>
          <cell r="Q32" t="str">
            <v>単位</v>
          </cell>
        </row>
        <row r="33">
          <cell r="P33" t="str">
            <v>11月中旬</v>
          </cell>
        </row>
        <row r="34">
          <cell r="P34" t="str">
            <v>11月下旬</v>
          </cell>
        </row>
        <row r="35">
          <cell r="P35" t="str">
            <v>12月上旬</v>
          </cell>
        </row>
        <row r="36">
          <cell r="P36" t="str">
            <v>12月中旬</v>
          </cell>
        </row>
        <row r="37">
          <cell r="P37" t="str">
            <v>12月下旬</v>
          </cell>
        </row>
        <row r="38">
          <cell r="P38" t="str">
            <v>通年</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経営指標"/>
      <sheetName val="労働時間表"/>
      <sheetName val="前提条件"/>
      <sheetName val="算出根基１（粗収益・物財費）"/>
      <sheetName val="算出根基２（労働時間他）"/>
      <sheetName val="算出根基３（減価償却費等）"/>
      <sheetName val="Z-BFM(指標編集)"/>
      <sheetName val="シート設計"/>
    </sheetNames>
    <sheetDataSet>
      <sheetData sheetId="0" refreshError="1"/>
      <sheetData sheetId="1" refreshError="1"/>
      <sheetData sheetId="2">
        <row r="23">
          <cell r="A23" t="str">
            <v>育苗管理</v>
          </cell>
        </row>
        <row r="24">
          <cell r="A24" t="str">
            <v>定植準備</v>
          </cell>
        </row>
        <row r="25">
          <cell r="A25" t="str">
            <v>ハウス管理</v>
          </cell>
        </row>
        <row r="26">
          <cell r="A26" t="str">
            <v>肥培管理</v>
          </cell>
        </row>
        <row r="27">
          <cell r="A27" t="str">
            <v>定植</v>
          </cell>
        </row>
        <row r="28">
          <cell r="A28" t="str">
            <v>誘引</v>
          </cell>
        </row>
        <row r="29">
          <cell r="A29" t="str">
            <v>芽かぎ、葉かぎ</v>
          </cell>
        </row>
        <row r="30">
          <cell r="A30" t="str">
            <v>交配処理</v>
          </cell>
        </row>
        <row r="31">
          <cell r="A31" t="str">
            <v>摘果</v>
          </cell>
        </row>
        <row r="32">
          <cell r="A32" t="str">
            <v>薬剤散布</v>
          </cell>
        </row>
        <row r="33">
          <cell r="A33" t="str">
            <v>収穫</v>
          </cell>
        </row>
        <row r="34">
          <cell r="A34" t="str">
            <v>選果、出荷</v>
          </cell>
        </row>
        <row r="35">
          <cell r="A35" t="str">
            <v>後片付け</v>
          </cell>
        </row>
      </sheetData>
      <sheetData sheetId="3">
        <row r="22">
          <cell r="P22" t="str">
            <v>ガソリン</v>
          </cell>
        </row>
        <row r="23">
          <cell r="P23" t="str">
            <v>軽油</v>
          </cell>
        </row>
        <row r="24">
          <cell r="P24" t="str">
            <v>重油</v>
          </cell>
        </row>
        <row r="25">
          <cell r="P25" t="str">
            <v>灯油</v>
          </cell>
        </row>
        <row r="26">
          <cell r="P26" t="str">
            <v>電気代</v>
          </cell>
        </row>
      </sheetData>
      <sheetData sheetId="4">
        <row r="5">
          <cell r="T5" t="str">
            <v>1月上旬</v>
          </cell>
        </row>
        <row r="6">
          <cell r="T6" t="str">
            <v>1月中旬</v>
          </cell>
        </row>
        <row r="7">
          <cell r="T7" t="str">
            <v>1月下旬</v>
          </cell>
        </row>
        <row r="8">
          <cell r="T8" t="str">
            <v>2月上旬</v>
          </cell>
        </row>
        <row r="9">
          <cell r="T9" t="str">
            <v>2月中旬</v>
          </cell>
        </row>
        <row r="10">
          <cell r="T10" t="str">
            <v>2月下旬</v>
          </cell>
        </row>
        <row r="11">
          <cell r="T11" t="str">
            <v>3月上旬</v>
          </cell>
        </row>
        <row r="12">
          <cell r="T12" t="str">
            <v>3月中旬</v>
          </cell>
        </row>
        <row r="13">
          <cell r="T13" t="str">
            <v>3月下旬</v>
          </cell>
        </row>
        <row r="14">
          <cell r="T14" t="str">
            <v>4月上旬</v>
          </cell>
        </row>
        <row r="15">
          <cell r="T15" t="str">
            <v>4月中旬</v>
          </cell>
        </row>
        <row r="16">
          <cell r="T16" t="str">
            <v>4月下旬</v>
          </cell>
        </row>
        <row r="17">
          <cell r="T17" t="str">
            <v>5月上旬</v>
          </cell>
        </row>
        <row r="18">
          <cell r="T18" t="str">
            <v>5月中旬</v>
          </cell>
        </row>
        <row r="19">
          <cell r="T19" t="str">
            <v>5月下旬</v>
          </cell>
        </row>
        <row r="20">
          <cell r="T20" t="str">
            <v>6月上旬</v>
          </cell>
        </row>
        <row r="21">
          <cell r="T21" t="str">
            <v>6月中旬</v>
          </cell>
        </row>
        <row r="22">
          <cell r="T22" t="str">
            <v>6月下旬</v>
          </cell>
        </row>
        <row r="23">
          <cell r="T23" t="str">
            <v>7月上旬</v>
          </cell>
        </row>
        <row r="24">
          <cell r="T24" t="str">
            <v>7月中旬</v>
          </cell>
        </row>
        <row r="25">
          <cell r="T25" t="str">
            <v>7月下旬</v>
          </cell>
        </row>
        <row r="26">
          <cell r="T26" t="str">
            <v>8月上旬</v>
          </cell>
        </row>
        <row r="27">
          <cell r="T27" t="str">
            <v>8月中旬</v>
          </cell>
        </row>
        <row r="28">
          <cell r="T28" t="str">
            <v>8月下旬</v>
          </cell>
        </row>
        <row r="29">
          <cell r="T29" t="str">
            <v>9月上旬</v>
          </cell>
        </row>
        <row r="30">
          <cell r="T30" t="str">
            <v>9月中旬</v>
          </cell>
        </row>
        <row r="31">
          <cell r="T31" t="str">
            <v>9月下旬</v>
          </cell>
        </row>
        <row r="32">
          <cell r="T32" t="str">
            <v>10月上旬</v>
          </cell>
        </row>
        <row r="33">
          <cell r="T33" t="str">
            <v>10月中旬</v>
          </cell>
        </row>
        <row r="34">
          <cell r="T34" t="str">
            <v>10月下旬</v>
          </cell>
        </row>
        <row r="35">
          <cell r="T35" t="str">
            <v>11月上旬</v>
          </cell>
        </row>
        <row r="36">
          <cell r="T36" t="str">
            <v>11月中旬</v>
          </cell>
        </row>
        <row r="37">
          <cell r="T37" t="str">
            <v>11月下旬</v>
          </cell>
        </row>
        <row r="38">
          <cell r="T38" t="str">
            <v>11月中旬</v>
          </cell>
        </row>
        <row r="39">
          <cell r="T39" t="str">
            <v>11月下旬</v>
          </cell>
        </row>
        <row r="40">
          <cell r="T40" t="str">
            <v>12月上旬</v>
          </cell>
        </row>
        <row r="41">
          <cell r="T41" t="str">
            <v>12月中旬</v>
          </cell>
        </row>
        <row r="42">
          <cell r="T42" t="str">
            <v>12月下旬</v>
          </cell>
        </row>
      </sheetData>
      <sheetData sheetId="5">
        <row r="14">
          <cell r="C14" t="str">
            <v>動力噴霧器</v>
          </cell>
          <cell r="D14" t="str">
            <v>セット動噴5MPa</v>
          </cell>
        </row>
        <row r="15">
          <cell r="C15" t="str">
            <v>軽トラック</v>
          </cell>
          <cell r="D15" t="str">
            <v>660ｃｃ、4WD</v>
          </cell>
        </row>
      </sheetData>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FFC000"/>
    <pageSetUpPr fitToPage="1"/>
  </sheetPr>
  <dimension ref="A1:J119"/>
  <sheetViews>
    <sheetView showGridLines="0" zoomScale="110" zoomScaleNormal="110" workbookViewId="0">
      <pane xSplit="4" ySplit="2" topLeftCell="E14" activePane="bottomRight" state="frozen"/>
      <selection pane="topRight" activeCell="E1" sqref="E1"/>
      <selection pane="bottomLeft" activeCell="A3" sqref="A3"/>
      <selection pane="bottomRight" activeCell="F22" sqref="F22"/>
    </sheetView>
  </sheetViews>
  <sheetFormatPr defaultRowHeight="12" zeroHeight="1"/>
  <cols>
    <col min="1" max="3" width="3.625" style="503" customWidth="1"/>
    <col min="4" max="4" width="21.625" style="505" customWidth="1"/>
    <col min="5" max="5" width="12.125" style="503" customWidth="1"/>
    <col min="6" max="6" width="14.25" style="503" customWidth="1"/>
    <col min="7" max="7" width="27.75" style="503" bestFit="1" customWidth="1"/>
    <col min="8" max="8" width="14.125" style="503" customWidth="1"/>
    <col min="9" max="9" width="12" style="503" customWidth="1"/>
    <col min="10" max="10" width="5.375" style="503" customWidth="1"/>
    <col min="11" max="16384" width="9" style="503"/>
  </cols>
  <sheetData>
    <row r="1" spans="1:9" ht="21" customHeight="1">
      <c r="A1" s="48" t="s">
        <v>256</v>
      </c>
      <c r="B1" s="48"/>
      <c r="C1" s="48"/>
      <c r="D1" s="48"/>
      <c r="E1" s="500"/>
      <c r="F1" s="500"/>
      <c r="G1" s="501"/>
      <c r="H1" s="500" t="str">
        <f>①技術体系!A2</f>
        <v>放牧牛肉</v>
      </c>
      <c r="I1" s="502"/>
    </row>
    <row r="2" spans="1:9" ht="21" customHeight="1">
      <c r="A2" s="703" t="s">
        <v>140</v>
      </c>
      <c r="B2" s="703"/>
      <c r="C2" s="703"/>
      <c r="D2" s="703"/>
      <c r="E2" s="49" t="s">
        <v>141</v>
      </c>
      <c r="F2" s="50">
        <f>想定面積</f>
        <v>100</v>
      </c>
      <c r="G2" s="719" t="s">
        <v>142</v>
      </c>
      <c r="H2" s="719"/>
      <c r="I2" s="719"/>
    </row>
    <row r="3" spans="1:9" ht="21" customHeight="1">
      <c r="A3" s="720" t="s">
        <v>112</v>
      </c>
      <c r="B3" s="722" t="s">
        <v>143</v>
      </c>
      <c r="C3" s="722"/>
      <c r="D3" s="722"/>
      <c r="E3" s="51">
        <f>④収入!D21</f>
        <v>51200</v>
      </c>
      <c r="F3" s="51">
        <f>E3*$F$2/10</f>
        <v>512000</v>
      </c>
      <c r="G3" s="723" t="s">
        <v>410</v>
      </c>
      <c r="H3" s="723"/>
      <c r="I3" s="723"/>
    </row>
    <row r="4" spans="1:9" ht="21" customHeight="1">
      <c r="A4" s="720"/>
      <c r="B4" s="728" t="s">
        <v>144</v>
      </c>
      <c r="C4" s="728"/>
      <c r="D4" s="728"/>
      <c r="E4" s="52">
        <f>④収入!E21</f>
        <v>0</v>
      </c>
      <c r="F4" s="52">
        <f>E4*$F$2/10</f>
        <v>0</v>
      </c>
      <c r="G4" s="729" t="s">
        <v>411</v>
      </c>
      <c r="H4" s="729"/>
      <c r="I4" s="729"/>
    </row>
    <row r="5" spans="1:9" ht="21" customHeight="1">
      <c r="A5" s="721"/>
      <c r="B5" s="733" t="s">
        <v>409</v>
      </c>
      <c r="C5" s="728"/>
      <c r="D5" s="728"/>
      <c r="E5" s="52">
        <f>④収入!F21</f>
        <v>0</v>
      </c>
      <c r="F5" s="52">
        <f>E5*$F$2/10</f>
        <v>0</v>
      </c>
      <c r="G5" s="729" t="s">
        <v>412</v>
      </c>
      <c r="H5" s="729"/>
      <c r="I5" s="729"/>
    </row>
    <row r="6" spans="1:9" ht="21" customHeight="1">
      <c r="A6" s="720"/>
      <c r="B6" s="730" t="s">
        <v>145</v>
      </c>
      <c r="C6" s="731"/>
      <c r="D6" s="731"/>
      <c r="E6" s="51">
        <f>SUM(E3:E5)</f>
        <v>51200</v>
      </c>
      <c r="F6" s="51">
        <f>SUM(F3:F5)</f>
        <v>512000</v>
      </c>
      <c r="G6" s="732"/>
      <c r="H6" s="732"/>
      <c r="I6" s="732"/>
    </row>
    <row r="7" spans="1:9" ht="21" customHeight="1">
      <c r="A7" s="704" t="s">
        <v>257</v>
      </c>
      <c r="B7" s="708" t="s">
        <v>146</v>
      </c>
      <c r="C7" s="480"/>
      <c r="D7" s="477" t="s">
        <v>98</v>
      </c>
      <c r="E7" s="314">
        <f>⑤支出!J8</f>
        <v>0</v>
      </c>
      <c r="F7" s="315">
        <f>E7*$F$2/10</f>
        <v>0</v>
      </c>
      <c r="G7" s="312" t="s">
        <v>413</v>
      </c>
      <c r="H7" s="54"/>
      <c r="I7" s="55"/>
    </row>
    <row r="8" spans="1:9" ht="21" customHeight="1">
      <c r="A8" s="705"/>
      <c r="B8" s="706"/>
      <c r="C8" s="481"/>
      <c r="D8" s="478" t="s">
        <v>95</v>
      </c>
      <c r="E8" s="419">
        <f>⑤支出!J20</f>
        <v>0</v>
      </c>
      <c r="F8" s="420">
        <f>E8*$F$2/10</f>
        <v>0</v>
      </c>
      <c r="G8" s="56" t="s">
        <v>414</v>
      </c>
      <c r="H8" s="56"/>
      <c r="I8" s="57"/>
    </row>
    <row r="9" spans="1:9" ht="21" customHeight="1">
      <c r="A9" s="705"/>
      <c r="B9" s="706"/>
      <c r="C9" s="481"/>
      <c r="D9" s="478" t="s">
        <v>147</v>
      </c>
      <c r="E9" s="419">
        <f>⑤支出!J61</f>
        <v>0</v>
      </c>
      <c r="F9" s="420">
        <f>E9*$F$2/10</f>
        <v>0</v>
      </c>
      <c r="G9" s="56" t="s">
        <v>415</v>
      </c>
      <c r="H9" s="56"/>
      <c r="I9" s="57"/>
    </row>
    <row r="10" spans="1:9" ht="21" customHeight="1">
      <c r="A10" s="705"/>
      <c r="B10" s="706"/>
      <c r="C10" s="481"/>
      <c r="D10" s="478" t="s">
        <v>148</v>
      </c>
      <c r="E10" s="419">
        <f>⑤支出!J72</f>
        <v>144</v>
      </c>
      <c r="F10" s="420">
        <f>E10*$F$2/10</f>
        <v>1440</v>
      </c>
      <c r="G10" s="56" t="s">
        <v>416</v>
      </c>
      <c r="H10" s="56"/>
      <c r="I10" s="57"/>
    </row>
    <row r="11" spans="1:9" ht="21" customHeight="1">
      <c r="A11" s="705"/>
      <c r="B11" s="706"/>
      <c r="C11" s="481"/>
      <c r="D11" s="478" t="s">
        <v>115</v>
      </c>
      <c r="E11" s="419">
        <f>⑤支出!J110</f>
        <v>59279</v>
      </c>
      <c r="F11" s="420">
        <f>E11*$F$2/10</f>
        <v>592790</v>
      </c>
      <c r="G11" s="56" t="s">
        <v>417</v>
      </c>
      <c r="H11" s="56"/>
      <c r="I11" s="57"/>
    </row>
    <row r="12" spans="1:9" ht="21" customHeight="1">
      <c r="A12" s="705"/>
      <c r="B12" s="706"/>
      <c r="C12" s="481"/>
      <c r="D12" s="478" t="s">
        <v>149</v>
      </c>
      <c r="E12" s="52">
        <f>⑤支出!J117</f>
        <v>0</v>
      </c>
      <c r="F12" s="420">
        <f t="shared" ref="F12:F21" si="0">E12*$F$2/10</f>
        <v>0</v>
      </c>
      <c r="G12" s="56" t="s">
        <v>418</v>
      </c>
      <c r="H12" s="59"/>
      <c r="I12" s="60"/>
    </row>
    <row r="13" spans="1:9" ht="21" customHeight="1">
      <c r="A13" s="705"/>
      <c r="B13" s="706"/>
      <c r="C13" s="481"/>
      <c r="D13" s="479" t="s">
        <v>420</v>
      </c>
      <c r="E13" s="52">
        <f>⑤支出!J122</f>
        <v>0</v>
      </c>
      <c r="F13" s="420">
        <f t="shared" si="0"/>
        <v>0</v>
      </c>
      <c r="G13" s="56" t="s">
        <v>421</v>
      </c>
      <c r="H13" s="59"/>
      <c r="I13" s="60"/>
    </row>
    <row r="14" spans="1:9" ht="21" customHeight="1">
      <c r="A14" s="705"/>
      <c r="B14" s="706"/>
      <c r="C14" s="482"/>
      <c r="D14" s="479" t="s">
        <v>399</v>
      </c>
      <c r="E14" s="52">
        <f>⑤支出!J128</f>
        <v>3000</v>
      </c>
      <c r="F14" s="420">
        <f t="shared" si="0"/>
        <v>30000</v>
      </c>
      <c r="G14" s="56" t="s">
        <v>419</v>
      </c>
      <c r="H14" s="62"/>
      <c r="I14" s="61"/>
    </row>
    <row r="15" spans="1:9" ht="21" customHeight="1">
      <c r="A15" s="705"/>
      <c r="B15" s="705"/>
      <c r="C15" s="711" t="s">
        <v>388</v>
      </c>
      <c r="D15" s="421" t="s">
        <v>401</v>
      </c>
      <c r="E15" s="51">
        <f>②償却資産!S8</f>
        <v>0</v>
      </c>
      <c r="F15" s="420">
        <f t="shared" si="0"/>
        <v>0</v>
      </c>
      <c r="G15" s="63" t="s">
        <v>384</v>
      </c>
      <c r="H15" s="63"/>
      <c r="I15" s="313"/>
    </row>
    <row r="16" spans="1:9" ht="21" customHeight="1">
      <c r="A16" s="705"/>
      <c r="B16" s="705"/>
      <c r="C16" s="712"/>
      <c r="D16" s="317" t="s">
        <v>385</v>
      </c>
      <c r="E16" s="52">
        <f>②償却資産!S19</f>
        <v>0</v>
      </c>
      <c r="F16" s="420">
        <f t="shared" ref="F16" si="1">E16*$F$2/10</f>
        <v>0</v>
      </c>
      <c r="G16" s="63" t="s">
        <v>386</v>
      </c>
      <c r="H16" s="63"/>
      <c r="I16" s="313"/>
    </row>
    <row r="17" spans="1:9" ht="21" customHeight="1">
      <c r="A17" s="705"/>
      <c r="B17" s="705"/>
      <c r="C17" s="713"/>
      <c r="D17" s="316" t="s">
        <v>150</v>
      </c>
      <c r="E17" s="52">
        <f>②償却資産!S34</f>
        <v>140</v>
      </c>
      <c r="F17" s="420">
        <f t="shared" si="0"/>
        <v>1400</v>
      </c>
      <c r="G17" s="63" t="s">
        <v>387</v>
      </c>
      <c r="H17" s="63"/>
      <c r="I17" s="313"/>
    </row>
    <row r="18" spans="1:9" ht="21" customHeight="1">
      <c r="A18" s="705"/>
      <c r="B18" s="705"/>
      <c r="C18" s="714" t="s">
        <v>389</v>
      </c>
      <c r="D18" s="421" t="s">
        <v>402</v>
      </c>
      <c r="E18" s="52">
        <f>②償却資産!R8</f>
        <v>0</v>
      </c>
      <c r="F18" s="420">
        <f t="shared" si="0"/>
        <v>0</v>
      </c>
      <c r="G18" s="63" t="s">
        <v>393</v>
      </c>
      <c r="H18" s="63"/>
      <c r="I18" s="313"/>
    </row>
    <row r="19" spans="1:9" ht="21" customHeight="1">
      <c r="A19" s="705"/>
      <c r="B19" s="705"/>
      <c r="C19" s="712"/>
      <c r="D19" s="317" t="s">
        <v>390</v>
      </c>
      <c r="E19" s="51">
        <f>②償却資産!R19</f>
        <v>0</v>
      </c>
      <c r="F19" s="420">
        <f t="shared" si="0"/>
        <v>0</v>
      </c>
      <c r="G19" s="63" t="s">
        <v>641</v>
      </c>
      <c r="H19" s="63"/>
      <c r="I19" s="313"/>
    </row>
    <row r="20" spans="1:9" ht="21" customHeight="1">
      <c r="A20" s="705"/>
      <c r="B20" s="705"/>
      <c r="C20" s="712"/>
      <c r="D20" s="317" t="s">
        <v>391</v>
      </c>
      <c r="E20" s="52">
        <f>②償却資産!R34</f>
        <v>350</v>
      </c>
      <c r="F20" s="420">
        <f t="shared" si="0"/>
        <v>3500</v>
      </c>
      <c r="G20" s="63" t="s">
        <v>642</v>
      </c>
      <c r="H20" s="63"/>
      <c r="I20" s="313"/>
    </row>
    <row r="21" spans="1:9" ht="21" customHeight="1">
      <c r="A21" s="705"/>
      <c r="B21" s="705"/>
      <c r="C21" s="713"/>
      <c r="D21" s="317" t="s">
        <v>392</v>
      </c>
      <c r="E21" s="52">
        <f>②償却資産!R37</f>
        <v>0</v>
      </c>
      <c r="F21" s="420">
        <f t="shared" si="0"/>
        <v>0</v>
      </c>
      <c r="G21" s="63" t="s">
        <v>643</v>
      </c>
      <c r="H21" s="63"/>
      <c r="I21" s="64"/>
    </row>
    <row r="22" spans="1:9" ht="21" customHeight="1">
      <c r="A22" s="705"/>
      <c r="B22" s="709"/>
      <c r="C22" s="488"/>
      <c r="D22" s="483" t="s">
        <v>252</v>
      </c>
      <c r="E22" s="65">
        <f>⑤支出!J134</f>
        <v>8956</v>
      </c>
      <c r="F22" s="318">
        <f>(作業体系表!AN34-作業体系表!AN36)*⑤支出!F129+作業体系表!AN36*⑤支出!F130</f>
        <v>112554.10774572392</v>
      </c>
      <c r="G22" s="734" t="str">
        <f>"⑤支出　労働費　※基幹労働(時給"&amp;⑤支出!F129&amp;"円、自家労賃含む)、補助労働(時給"&amp;⑤支出!F130&amp;"円)"</f>
        <v>⑤支出　労働費　※基幹労働(時給962円、自家労賃含む)、補助労働(時給753円)</v>
      </c>
      <c r="H22" s="735"/>
      <c r="I22" s="736"/>
    </row>
    <row r="23" spans="1:9" ht="21" customHeight="1">
      <c r="A23" s="705"/>
      <c r="B23" s="710"/>
      <c r="C23" s="495"/>
      <c r="D23" s="496" t="s">
        <v>151</v>
      </c>
      <c r="E23" s="66">
        <f>SUM(E7:E22)</f>
        <v>71869</v>
      </c>
      <c r="F23" s="319">
        <f>SUM(F7:F22)</f>
        <v>741684.10774572392</v>
      </c>
      <c r="G23" s="67"/>
      <c r="H23" s="67"/>
      <c r="I23" s="68"/>
    </row>
    <row r="24" spans="1:9" ht="21" customHeight="1">
      <c r="A24" s="705"/>
      <c r="B24" s="717" t="s">
        <v>125</v>
      </c>
      <c r="C24" s="488"/>
      <c r="D24" s="497" t="s">
        <v>152</v>
      </c>
      <c r="E24" s="69">
        <f>⑤支出!J138+⑤支出!J139+⑤支出!J140</f>
        <v>14144</v>
      </c>
      <c r="F24" s="320">
        <f>E24*$F$2/10</f>
        <v>141440</v>
      </c>
      <c r="G24" s="726" t="str">
        <f>"⑤支出　"&amp;⑤支出!B135&amp;"　"&amp;⑤支出!C138&amp;"、"&amp;⑤支出!C139&amp;"、"&amp;⑤支出!C140</f>
        <v>⑤支出　販売費用　ＪＡ手数料、全農手数料、市場手数料</v>
      </c>
      <c r="H24" s="727"/>
      <c r="I24" s="727"/>
    </row>
    <row r="25" spans="1:9" ht="21" customHeight="1">
      <c r="A25" s="705"/>
      <c r="B25" s="709"/>
      <c r="C25" s="489"/>
      <c r="D25" s="484" t="s">
        <v>126</v>
      </c>
      <c r="E25" s="52">
        <f>⑤支出!J136</f>
        <v>0</v>
      </c>
      <c r="F25" s="420">
        <f>E25*$F$2/10</f>
        <v>0</v>
      </c>
      <c r="G25" s="70" t="str">
        <f>"⑤支出　"&amp;⑤支出!B135&amp;"　"&amp;⑤支出!C136</f>
        <v>⑤支出　販売費用　出荷運賃</v>
      </c>
      <c r="H25" s="70"/>
      <c r="I25" s="71"/>
    </row>
    <row r="26" spans="1:9" ht="21" customHeight="1">
      <c r="A26" s="705"/>
      <c r="B26" s="709"/>
      <c r="C26" s="489"/>
      <c r="D26" s="492" t="s">
        <v>153</v>
      </c>
      <c r="E26" s="51">
        <f>⑤支出!J135</f>
        <v>0</v>
      </c>
      <c r="F26" s="321">
        <f>E26*$F$2/10</f>
        <v>0</v>
      </c>
      <c r="G26" s="70" t="str">
        <f>"⑤支出　"&amp;⑤支出!B135&amp;"　"&amp;⑤支出!C135</f>
        <v>⑤支出　販売費用　出荷袋</v>
      </c>
      <c r="H26" s="58"/>
      <c r="I26" s="72"/>
    </row>
    <row r="27" spans="1:9" ht="21" customHeight="1">
      <c r="A27" s="705"/>
      <c r="B27" s="709"/>
      <c r="C27" s="489"/>
      <c r="D27" s="484" t="s">
        <v>154</v>
      </c>
      <c r="E27" s="52">
        <f>⑤支出!J137</f>
        <v>0</v>
      </c>
      <c r="F27" s="420">
        <f>E27*$F$2/10</f>
        <v>0</v>
      </c>
      <c r="G27" s="70" t="str">
        <f>"⑤支出　"&amp;⑤支出!B135&amp;"　"&amp;⑤支出!C137</f>
        <v>⑤支出　販売費用　選果料</v>
      </c>
      <c r="H27" s="63"/>
      <c r="I27" s="313"/>
    </row>
    <row r="28" spans="1:9" ht="21" customHeight="1">
      <c r="A28" s="705"/>
      <c r="B28" s="709"/>
      <c r="C28" s="489"/>
      <c r="D28" s="493" t="s">
        <v>155</v>
      </c>
      <c r="E28" s="65">
        <f>⑤支出!J145-⑤支出!J135-⑤支出!J136-⑤支出!J137-⑤支出!J138-⑤支出!J139-⑤支出!J140</f>
        <v>0</v>
      </c>
      <c r="F28" s="318">
        <f>E28*$F$2/10</f>
        <v>0</v>
      </c>
      <c r="G28" s="70" t="str">
        <f>"⑤支出　"&amp;⑤支出!B135</f>
        <v>⑤支出　販売費用</v>
      </c>
      <c r="H28" s="325"/>
      <c r="I28" s="326"/>
    </row>
    <row r="29" spans="1:9" ht="21" customHeight="1">
      <c r="A29" s="705"/>
      <c r="B29" s="710"/>
      <c r="C29" s="494"/>
      <c r="D29" s="487" t="s">
        <v>151</v>
      </c>
      <c r="E29" s="66">
        <f>SUM(E24:E28)</f>
        <v>14144</v>
      </c>
      <c r="F29" s="319">
        <f>SUM(F24:F28)</f>
        <v>141440</v>
      </c>
      <c r="G29" s="67"/>
      <c r="H29" s="67"/>
      <c r="I29" s="68"/>
    </row>
    <row r="30" spans="1:9" ht="21" customHeight="1">
      <c r="A30" s="705"/>
      <c r="B30" s="717" t="s">
        <v>108</v>
      </c>
      <c r="C30" s="491"/>
      <c r="D30" s="485" t="s">
        <v>273</v>
      </c>
      <c r="E30" s="51">
        <f>②償却資産!L47</f>
        <v>17</v>
      </c>
      <c r="F30" s="321">
        <f t="shared" ref="F30:F34" si="2">E30*$F$2/10</f>
        <v>170</v>
      </c>
      <c r="G30" s="724" t="str">
        <f>CONCATENATE("償却資産取得額の",FIXED(②償却資産!$L$43*100,0),"%を利率",FIXED(②償却資産!$L$46*100,0),"%で借入")</f>
        <v>償却資産取得額の50%を利率2%で借入</v>
      </c>
      <c r="H30" s="725"/>
      <c r="I30" s="725"/>
    </row>
    <row r="31" spans="1:9" ht="21" customHeight="1">
      <c r="A31" s="705"/>
      <c r="B31" s="709"/>
      <c r="C31" s="489"/>
      <c r="D31" s="513" t="s">
        <v>253</v>
      </c>
      <c r="E31" s="52">
        <f>⑤支出!J150</f>
        <v>0</v>
      </c>
      <c r="F31" s="420">
        <f t="shared" si="2"/>
        <v>0</v>
      </c>
      <c r="G31" s="697" t="s">
        <v>432</v>
      </c>
      <c r="H31" s="698"/>
      <c r="I31" s="699"/>
    </row>
    <row r="32" spans="1:9" ht="21" customHeight="1">
      <c r="A32" s="705"/>
      <c r="B32" s="709"/>
      <c r="C32" s="489"/>
      <c r="D32" s="486" t="s">
        <v>425</v>
      </c>
      <c r="E32" s="65">
        <f>⑤支出!J155</f>
        <v>661</v>
      </c>
      <c r="F32" s="318">
        <f t="shared" si="2"/>
        <v>6610</v>
      </c>
      <c r="G32" s="697" t="s">
        <v>433</v>
      </c>
      <c r="H32" s="698"/>
      <c r="I32" s="699"/>
    </row>
    <row r="33" spans="1:10" ht="21" customHeight="1">
      <c r="A33" s="705"/>
      <c r="B33" s="709"/>
      <c r="C33" s="489"/>
      <c r="D33" s="486" t="s">
        <v>427</v>
      </c>
      <c r="E33" s="65">
        <f>⑤支出!J160</f>
        <v>0</v>
      </c>
      <c r="F33" s="318">
        <f t="shared" si="2"/>
        <v>0</v>
      </c>
      <c r="G33" s="697" t="s">
        <v>434</v>
      </c>
      <c r="H33" s="698"/>
      <c r="I33" s="699"/>
    </row>
    <row r="34" spans="1:10" ht="21" customHeight="1">
      <c r="A34" s="706"/>
      <c r="B34" s="718"/>
      <c r="C34" s="489"/>
      <c r="D34" s="486" t="s">
        <v>429</v>
      </c>
      <c r="E34" s="65">
        <f>⑤支出!J165</f>
        <v>0</v>
      </c>
      <c r="F34" s="318">
        <f t="shared" si="2"/>
        <v>0</v>
      </c>
      <c r="G34" s="697" t="s">
        <v>435</v>
      </c>
      <c r="H34" s="698"/>
      <c r="I34" s="699"/>
    </row>
    <row r="35" spans="1:10" ht="21" customHeight="1">
      <c r="A35" s="705"/>
      <c r="B35" s="709"/>
      <c r="C35" s="489"/>
      <c r="D35" s="486" t="s">
        <v>436</v>
      </c>
      <c r="E35" s="65">
        <f>⑤支出!J177</f>
        <v>0</v>
      </c>
      <c r="F35" s="318">
        <f>E35*$F$2/10</f>
        <v>0</v>
      </c>
      <c r="G35" s="697" t="s">
        <v>437</v>
      </c>
      <c r="H35" s="698"/>
      <c r="I35" s="699"/>
    </row>
    <row r="36" spans="1:10" ht="21" customHeight="1">
      <c r="A36" s="705"/>
      <c r="B36" s="710"/>
      <c r="C36" s="490"/>
      <c r="D36" s="487" t="s">
        <v>151</v>
      </c>
      <c r="E36" s="322">
        <f>SUM(E30:E35)</f>
        <v>678</v>
      </c>
      <c r="F36" s="323">
        <f>SUM(F30:F35)</f>
        <v>6780</v>
      </c>
      <c r="G36" s="67"/>
      <c r="H36" s="67"/>
      <c r="I36" s="68"/>
    </row>
    <row r="37" spans="1:10" ht="21" customHeight="1">
      <c r="A37" s="707"/>
      <c r="B37" s="715" t="s">
        <v>157</v>
      </c>
      <c r="C37" s="715"/>
      <c r="D37" s="716"/>
      <c r="E37" s="53">
        <f>E23+E29+E36</f>
        <v>86691</v>
      </c>
      <c r="F37" s="53">
        <f>F23+F29+F36</f>
        <v>889904.10774572392</v>
      </c>
      <c r="G37" s="73"/>
      <c r="H37" s="74"/>
      <c r="I37" s="72"/>
    </row>
    <row r="38" spans="1:10" ht="21" customHeight="1">
      <c r="A38" s="75"/>
      <c r="B38" s="76" t="s">
        <v>254</v>
      </c>
      <c r="C38" s="76"/>
      <c r="D38" s="76"/>
      <c r="E38" s="77">
        <f>E6-E37</f>
        <v>-35491</v>
      </c>
      <c r="F38" s="77">
        <f>F6-F37</f>
        <v>-377904.10774572392</v>
      </c>
      <c r="G38" s="78" t="str">
        <f>IF(E6=0,"",CONCATENATE("所得率",FIXED($E$38/$E$6*100,0),"%"))</f>
        <v>所得率-69%</v>
      </c>
      <c r="H38" s="79"/>
      <c r="I38" s="80"/>
    </row>
    <row r="39" spans="1:10" ht="21" customHeight="1">
      <c r="A39" s="700" t="s">
        <v>255</v>
      </c>
      <c r="B39" s="701"/>
      <c r="C39" s="701"/>
      <c r="D39" s="702"/>
      <c r="E39" s="81">
        <f>E22+E31+E38</f>
        <v>-26535</v>
      </c>
      <c r="F39" s="82">
        <f>F22+F31+F38</f>
        <v>-265350</v>
      </c>
      <c r="G39" s="83"/>
      <c r="H39" s="83"/>
      <c r="I39" s="84"/>
    </row>
    <row r="40" spans="1:10" ht="21" customHeight="1">
      <c r="A40" s="100"/>
      <c r="B40" s="100"/>
      <c r="C40" s="100"/>
      <c r="D40" s="504"/>
      <c r="E40" s="100"/>
      <c r="F40" s="100"/>
      <c r="G40" s="100"/>
      <c r="H40" s="100"/>
      <c r="I40" s="100"/>
      <c r="J40" s="100"/>
    </row>
    <row r="41" spans="1:10" ht="21" customHeight="1">
      <c r="A41" s="100"/>
      <c r="B41" s="100"/>
      <c r="C41" s="100"/>
      <c r="D41" s="504"/>
      <c r="E41" s="100"/>
      <c r="F41" s="100"/>
      <c r="G41" s="100"/>
      <c r="H41" s="100"/>
      <c r="I41" s="100"/>
      <c r="J41" s="100"/>
    </row>
    <row r="42" spans="1:10" ht="21" customHeight="1">
      <c r="A42" s="100"/>
      <c r="B42" s="100"/>
      <c r="C42" s="100"/>
      <c r="D42" s="504"/>
      <c r="E42" s="100"/>
      <c r="F42" s="100"/>
      <c r="G42" s="100"/>
      <c r="H42" s="100"/>
      <c r="I42" s="100"/>
      <c r="J42" s="100"/>
    </row>
    <row r="43" spans="1:10" ht="21" customHeight="1">
      <c r="A43" s="100"/>
      <c r="B43" s="100"/>
      <c r="C43" s="100"/>
      <c r="D43" s="504"/>
      <c r="E43" s="100"/>
      <c r="F43" s="100"/>
      <c r="G43" s="100"/>
      <c r="H43" s="100"/>
      <c r="I43" s="100"/>
      <c r="J43" s="100"/>
    </row>
    <row r="44" spans="1:10" ht="21" customHeight="1">
      <c r="A44" s="100"/>
      <c r="B44" s="100"/>
      <c r="C44" s="100"/>
      <c r="D44" s="504"/>
      <c r="E44" s="100"/>
      <c r="F44" s="100"/>
      <c r="G44" s="100"/>
      <c r="H44" s="100"/>
      <c r="I44" s="100"/>
      <c r="J44" s="100"/>
    </row>
    <row r="45" spans="1:10" ht="21" customHeight="1">
      <c r="A45" s="100"/>
      <c r="B45" s="100"/>
      <c r="C45" s="100"/>
      <c r="D45" s="504"/>
      <c r="E45" s="100"/>
      <c r="F45" s="100"/>
      <c r="G45" s="100"/>
      <c r="H45" s="100"/>
      <c r="I45" s="100"/>
      <c r="J45" s="100"/>
    </row>
    <row r="46" spans="1:10" ht="16.899999999999999" customHeight="1">
      <c r="A46" s="100"/>
      <c r="B46" s="100"/>
      <c r="C46" s="100"/>
      <c r="D46" s="504"/>
      <c r="E46" s="100"/>
      <c r="F46" s="100"/>
      <c r="G46" s="100"/>
      <c r="H46" s="100"/>
      <c r="I46" s="100"/>
      <c r="J46" s="100"/>
    </row>
    <row r="47" spans="1:10" ht="16.899999999999999" customHeight="1">
      <c r="A47" s="100"/>
      <c r="B47" s="100"/>
      <c r="C47" s="100"/>
      <c r="D47" s="504"/>
      <c r="E47" s="100"/>
      <c r="F47" s="100"/>
      <c r="G47" s="100"/>
      <c r="H47" s="100"/>
      <c r="I47" s="100"/>
      <c r="J47" s="100"/>
    </row>
    <row r="48" spans="1:10" ht="16.899999999999999" customHeight="1">
      <c r="A48" s="100"/>
      <c r="B48" s="100"/>
      <c r="C48" s="100"/>
      <c r="D48" s="504"/>
      <c r="E48" s="100"/>
      <c r="F48" s="100"/>
      <c r="G48" s="100"/>
      <c r="H48" s="100"/>
      <c r="I48" s="100"/>
      <c r="J48" s="100"/>
    </row>
    <row r="49" spans="1:10" ht="16.899999999999999" customHeight="1">
      <c r="A49" s="100"/>
      <c r="B49" s="100"/>
      <c r="C49" s="100"/>
      <c r="D49" s="504"/>
      <c r="E49" s="100"/>
      <c r="F49" s="100"/>
      <c r="G49" s="100"/>
      <c r="H49" s="100"/>
      <c r="I49" s="100"/>
      <c r="J49" s="100"/>
    </row>
    <row r="50" spans="1:10" ht="16.899999999999999" customHeight="1">
      <c r="A50" s="100"/>
      <c r="B50" s="100"/>
      <c r="C50" s="100"/>
      <c r="D50" s="504"/>
      <c r="E50" s="100"/>
      <c r="F50" s="100"/>
      <c r="G50" s="100"/>
      <c r="H50" s="100"/>
      <c r="I50" s="100"/>
      <c r="J50" s="100"/>
    </row>
    <row r="51" spans="1:10" ht="16.899999999999999" customHeight="1">
      <c r="A51" s="100"/>
      <c r="B51" s="100"/>
      <c r="C51" s="100"/>
      <c r="D51" s="504"/>
      <c r="E51" s="100"/>
      <c r="F51" s="100"/>
      <c r="G51" s="100"/>
      <c r="H51" s="100"/>
      <c r="I51" s="100"/>
      <c r="J51" s="100"/>
    </row>
    <row r="52" spans="1:10" ht="16.899999999999999" customHeight="1">
      <c r="A52" s="100"/>
      <c r="B52" s="100"/>
      <c r="C52" s="100"/>
      <c r="D52" s="504"/>
      <c r="E52" s="100"/>
      <c r="F52" s="100"/>
      <c r="G52" s="100"/>
      <c r="H52" s="100"/>
      <c r="I52" s="100"/>
      <c r="J52" s="100"/>
    </row>
    <row r="53" spans="1:10" ht="16.899999999999999" customHeight="1">
      <c r="A53" s="100"/>
      <c r="B53" s="100"/>
      <c r="C53" s="100"/>
      <c r="D53" s="504"/>
      <c r="E53" s="100"/>
      <c r="F53" s="100"/>
      <c r="G53" s="100"/>
      <c r="H53" s="100"/>
      <c r="I53" s="100"/>
      <c r="J53" s="100"/>
    </row>
    <row r="54" spans="1:10" ht="16.899999999999999" customHeight="1">
      <c r="A54" s="100"/>
      <c r="B54" s="100"/>
      <c r="C54" s="100"/>
      <c r="D54" s="504"/>
      <c r="E54" s="100"/>
      <c r="F54" s="100"/>
      <c r="G54" s="100"/>
      <c r="H54" s="100"/>
      <c r="I54" s="100"/>
      <c r="J54" s="100"/>
    </row>
    <row r="55" spans="1:10" ht="16.899999999999999" customHeight="1">
      <c r="A55" s="100"/>
      <c r="B55" s="100"/>
      <c r="C55" s="100"/>
      <c r="D55" s="504"/>
      <c r="E55" s="100"/>
      <c r="F55" s="100"/>
      <c r="G55" s="100"/>
      <c r="H55" s="100"/>
      <c r="I55" s="100"/>
      <c r="J55" s="100"/>
    </row>
    <row r="56" spans="1:10" ht="16.899999999999999" customHeight="1">
      <c r="A56" s="100"/>
      <c r="B56" s="100"/>
      <c r="C56" s="100"/>
      <c r="D56" s="504"/>
      <c r="E56" s="100"/>
      <c r="F56" s="100"/>
      <c r="G56" s="100"/>
      <c r="H56" s="100"/>
      <c r="I56" s="100"/>
      <c r="J56" s="100"/>
    </row>
    <row r="57" spans="1:10" ht="16.899999999999999" customHeight="1">
      <c r="A57" s="100"/>
      <c r="B57" s="100"/>
      <c r="C57" s="100"/>
      <c r="D57" s="504"/>
      <c r="E57" s="100"/>
      <c r="F57" s="100"/>
      <c r="G57" s="100"/>
      <c r="H57" s="100"/>
      <c r="I57" s="100"/>
      <c r="J57" s="100"/>
    </row>
    <row r="58" spans="1:10" ht="16.899999999999999" customHeight="1">
      <c r="A58" s="100"/>
      <c r="B58" s="100"/>
      <c r="C58" s="100"/>
      <c r="D58" s="504"/>
      <c r="E58" s="100"/>
      <c r="F58" s="100"/>
      <c r="G58" s="100"/>
      <c r="H58" s="100"/>
      <c r="I58" s="100"/>
      <c r="J58" s="100"/>
    </row>
    <row r="59" spans="1:10" ht="16.899999999999999" customHeight="1">
      <c r="A59" s="100"/>
      <c r="B59" s="100"/>
      <c r="C59" s="100"/>
      <c r="D59" s="504"/>
      <c r="E59" s="100"/>
      <c r="F59" s="100"/>
      <c r="G59" s="100"/>
      <c r="H59" s="100"/>
      <c r="I59" s="100"/>
      <c r="J59" s="100"/>
    </row>
    <row r="60" spans="1:10" ht="16.899999999999999" customHeight="1">
      <c r="A60" s="100"/>
      <c r="B60" s="100"/>
      <c r="C60" s="100"/>
      <c r="D60" s="504"/>
      <c r="E60" s="100"/>
      <c r="F60" s="100"/>
      <c r="G60" s="100"/>
      <c r="H60" s="100"/>
      <c r="I60" s="100"/>
      <c r="J60" s="100"/>
    </row>
    <row r="61" spans="1:10" ht="16.899999999999999" customHeight="1">
      <c r="A61" s="100"/>
      <c r="B61" s="100"/>
      <c r="C61" s="100"/>
      <c r="D61" s="504"/>
      <c r="E61" s="100"/>
      <c r="F61" s="100"/>
      <c r="G61" s="100"/>
      <c r="H61" s="100"/>
      <c r="I61" s="100"/>
      <c r="J61" s="100"/>
    </row>
    <row r="62" spans="1:10" ht="16.899999999999999" customHeight="1">
      <c r="A62" s="100"/>
      <c r="B62" s="100"/>
      <c r="C62" s="100"/>
      <c r="D62" s="504"/>
      <c r="E62" s="100"/>
      <c r="F62" s="100"/>
      <c r="G62" s="100"/>
      <c r="H62" s="100"/>
      <c r="I62" s="100"/>
      <c r="J62" s="100"/>
    </row>
    <row r="63" spans="1:10" ht="16.899999999999999" customHeight="1">
      <c r="A63" s="100"/>
      <c r="B63" s="100"/>
      <c r="C63" s="100"/>
      <c r="D63" s="504"/>
      <c r="E63" s="100"/>
      <c r="F63" s="100"/>
      <c r="G63" s="100"/>
      <c r="H63" s="100"/>
      <c r="I63" s="100"/>
      <c r="J63" s="100"/>
    </row>
    <row r="64" spans="1:10" ht="16.899999999999999" customHeight="1">
      <c r="A64" s="100"/>
      <c r="B64" s="100"/>
      <c r="C64" s="100"/>
      <c r="D64" s="504"/>
      <c r="E64" s="100"/>
      <c r="F64" s="100"/>
      <c r="G64" s="100"/>
      <c r="H64" s="100"/>
      <c r="I64" s="100"/>
      <c r="J64" s="100"/>
    </row>
    <row r="65" spans="1:10" ht="16.899999999999999" customHeight="1">
      <c r="A65" s="100"/>
      <c r="B65" s="100"/>
      <c r="C65" s="100"/>
      <c r="D65" s="504"/>
      <c r="E65" s="100"/>
      <c r="F65" s="100"/>
      <c r="G65" s="100"/>
      <c r="H65" s="100"/>
      <c r="I65" s="100"/>
      <c r="J65" s="100"/>
    </row>
    <row r="66" spans="1:10" ht="16.899999999999999" customHeight="1">
      <c r="A66" s="100"/>
      <c r="B66" s="100"/>
      <c r="C66" s="100"/>
      <c r="D66" s="504"/>
      <c r="E66" s="100"/>
      <c r="F66" s="100"/>
      <c r="G66" s="100"/>
      <c r="H66" s="100"/>
      <c r="I66" s="100"/>
      <c r="J66" s="100"/>
    </row>
    <row r="67" spans="1:10" ht="16.899999999999999" customHeight="1">
      <c r="A67" s="100"/>
      <c r="B67" s="100"/>
      <c r="C67" s="100"/>
      <c r="D67" s="504"/>
      <c r="E67" s="100"/>
      <c r="F67" s="100"/>
      <c r="G67" s="100"/>
      <c r="H67" s="100"/>
      <c r="I67" s="100"/>
      <c r="J67" s="100"/>
    </row>
    <row r="68" spans="1:10" ht="16.899999999999999" customHeight="1">
      <c r="A68" s="100"/>
      <c r="B68" s="100"/>
      <c r="C68" s="100"/>
      <c r="D68" s="504"/>
      <c r="E68" s="100"/>
      <c r="F68" s="100"/>
      <c r="G68" s="100"/>
      <c r="H68" s="100"/>
      <c r="I68" s="100"/>
      <c r="J68" s="100"/>
    </row>
    <row r="69" spans="1:10" ht="16.899999999999999" customHeight="1">
      <c r="A69" s="100"/>
      <c r="B69" s="100"/>
      <c r="C69" s="100"/>
      <c r="D69" s="504"/>
      <c r="E69" s="100"/>
      <c r="F69" s="100"/>
      <c r="G69" s="100"/>
      <c r="H69" s="100"/>
      <c r="I69" s="100"/>
      <c r="J69" s="100"/>
    </row>
    <row r="70" spans="1:10" ht="16.899999999999999" customHeight="1">
      <c r="A70" s="100"/>
      <c r="B70" s="100"/>
      <c r="C70" s="100"/>
      <c r="D70" s="504"/>
      <c r="E70" s="100"/>
      <c r="F70" s="100"/>
      <c r="G70" s="100"/>
      <c r="H70" s="100"/>
      <c r="I70" s="100"/>
      <c r="J70" s="100"/>
    </row>
    <row r="71" spans="1:10" ht="16.899999999999999" customHeight="1">
      <c r="A71" s="100"/>
      <c r="B71" s="100"/>
      <c r="C71" s="100"/>
      <c r="D71" s="504"/>
      <c r="E71" s="100"/>
      <c r="F71" s="100"/>
      <c r="G71" s="100"/>
      <c r="H71" s="100"/>
      <c r="I71" s="100"/>
      <c r="J71" s="100"/>
    </row>
    <row r="72" spans="1:10" ht="16.899999999999999" customHeight="1">
      <c r="A72" s="100"/>
      <c r="B72" s="100"/>
      <c r="C72" s="100"/>
      <c r="D72" s="504"/>
      <c r="E72" s="100"/>
      <c r="F72" s="100"/>
      <c r="G72" s="100"/>
      <c r="H72" s="100"/>
      <c r="I72" s="100"/>
      <c r="J72" s="100"/>
    </row>
    <row r="73" spans="1:10" ht="16.899999999999999" customHeight="1">
      <c r="A73" s="100"/>
      <c r="B73" s="100"/>
      <c r="C73" s="100"/>
      <c r="D73" s="504"/>
      <c r="E73" s="100"/>
      <c r="F73" s="100"/>
      <c r="G73" s="100"/>
      <c r="H73" s="100"/>
      <c r="I73" s="100"/>
      <c r="J73" s="100"/>
    </row>
    <row r="74" spans="1:10" ht="16.899999999999999" customHeight="1">
      <c r="A74" s="100"/>
      <c r="B74" s="100"/>
      <c r="C74" s="100"/>
      <c r="D74" s="504"/>
      <c r="E74" s="100"/>
      <c r="F74" s="100"/>
      <c r="G74" s="100"/>
      <c r="H74" s="100"/>
      <c r="I74" s="100"/>
      <c r="J74" s="100"/>
    </row>
    <row r="75" spans="1:10" ht="16.899999999999999" customHeight="1">
      <c r="A75" s="100"/>
      <c r="B75" s="100"/>
      <c r="C75" s="100"/>
      <c r="D75" s="504"/>
      <c r="E75" s="100"/>
      <c r="F75" s="100"/>
      <c r="G75" s="100"/>
      <c r="H75" s="100"/>
      <c r="I75" s="100"/>
      <c r="J75" s="100"/>
    </row>
    <row r="76" spans="1:10" ht="12.75" hidden="1" customHeight="1">
      <c r="A76" s="100"/>
      <c r="B76" s="100"/>
      <c r="C76" s="100"/>
      <c r="D76" s="504"/>
      <c r="E76" s="100"/>
      <c r="F76" s="100"/>
      <c r="G76" s="100"/>
      <c r="H76" s="100"/>
      <c r="I76" s="100"/>
      <c r="J76" s="100"/>
    </row>
    <row r="77" spans="1:10" ht="12.75" hidden="1" customHeight="1">
      <c r="A77" s="100"/>
      <c r="B77" s="100"/>
      <c r="C77" s="100"/>
      <c r="D77" s="504"/>
      <c r="E77" s="100"/>
      <c r="F77" s="100"/>
      <c r="G77" s="100"/>
      <c r="H77" s="100"/>
      <c r="I77" s="100"/>
      <c r="J77" s="100"/>
    </row>
    <row r="78" spans="1:10" ht="12.75" hidden="1" customHeight="1">
      <c r="A78" s="100"/>
      <c r="B78" s="100"/>
      <c r="C78" s="100"/>
      <c r="D78" s="504"/>
      <c r="E78" s="100"/>
      <c r="F78" s="100"/>
      <c r="G78" s="100"/>
      <c r="H78" s="100"/>
      <c r="I78" s="100"/>
      <c r="J78" s="100"/>
    </row>
    <row r="79" spans="1:10" ht="13.5" hidden="1">
      <c r="A79" s="100"/>
      <c r="B79" s="100"/>
      <c r="C79" s="100"/>
      <c r="D79" s="504"/>
      <c r="E79" s="100"/>
      <c r="F79" s="100"/>
      <c r="G79" s="100"/>
      <c r="H79" s="100"/>
      <c r="I79" s="100"/>
      <c r="J79" s="100"/>
    </row>
    <row r="80" spans="1:10" ht="13.5" hidden="1">
      <c r="A80" s="100"/>
      <c r="B80" s="100"/>
      <c r="C80" s="100"/>
      <c r="D80" s="504"/>
      <c r="E80" s="100"/>
      <c r="F80" s="100"/>
      <c r="G80" s="100"/>
      <c r="H80" s="100"/>
      <c r="I80" s="100"/>
      <c r="J80" s="100"/>
    </row>
    <row r="81" spans="1:10" ht="13.5" hidden="1">
      <c r="A81" s="100"/>
      <c r="B81" s="100"/>
      <c r="C81" s="100"/>
      <c r="D81" s="504"/>
      <c r="E81" s="100"/>
      <c r="F81" s="100"/>
      <c r="G81" s="100"/>
      <c r="H81" s="100"/>
      <c r="I81" s="100"/>
      <c r="J81" s="100"/>
    </row>
    <row r="82" spans="1:10" ht="13.5" hidden="1">
      <c r="A82" s="100"/>
      <c r="B82" s="100"/>
      <c r="C82" s="100"/>
      <c r="D82" s="504"/>
      <c r="E82" s="100"/>
      <c r="F82" s="100"/>
      <c r="G82" s="100"/>
      <c r="H82" s="100"/>
      <c r="I82" s="100"/>
      <c r="J82" s="100"/>
    </row>
    <row r="83" spans="1:10" ht="13.5">
      <c r="A83" s="100"/>
      <c r="B83" s="100"/>
      <c r="C83" s="100"/>
      <c r="D83" s="504"/>
      <c r="E83" s="100"/>
      <c r="F83" s="100"/>
      <c r="G83" s="100"/>
      <c r="H83" s="100"/>
      <c r="I83" s="100"/>
      <c r="J83" s="100"/>
    </row>
    <row r="84" spans="1:10" ht="13.5">
      <c r="A84" s="100"/>
      <c r="B84" s="100"/>
      <c r="C84" s="100"/>
      <c r="D84" s="504"/>
      <c r="E84" s="100"/>
      <c r="F84" s="100"/>
      <c r="G84" s="100"/>
      <c r="H84" s="100"/>
      <c r="I84" s="100"/>
      <c r="J84" s="100"/>
    </row>
    <row r="85" spans="1:10" ht="13.5">
      <c r="A85" s="100"/>
      <c r="B85" s="100"/>
      <c r="C85" s="100"/>
      <c r="D85" s="504"/>
      <c r="E85" s="100"/>
      <c r="F85" s="100"/>
      <c r="G85" s="100"/>
      <c r="H85" s="100"/>
      <c r="I85" s="100"/>
      <c r="J85" s="100"/>
    </row>
    <row r="86" spans="1:10" ht="13.5">
      <c r="A86" s="100"/>
      <c r="B86" s="100"/>
      <c r="C86" s="100"/>
      <c r="D86" s="504"/>
      <c r="E86" s="100"/>
      <c r="F86" s="100"/>
      <c r="G86" s="100"/>
      <c r="H86" s="100"/>
      <c r="I86" s="100"/>
      <c r="J86" s="100"/>
    </row>
    <row r="87" spans="1:10" ht="13.5">
      <c r="A87" s="100"/>
      <c r="B87" s="100"/>
      <c r="C87" s="100"/>
      <c r="D87" s="504"/>
      <c r="E87" s="100"/>
      <c r="F87" s="100"/>
      <c r="G87" s="100"/>
      <c r="H87" s="100"/>
      <c r="I87" s="100"/>
      <c r="J87" s="100"/>
    </row>
    <row r="88" spans="1:10" ht="13.5">
      <c r="A88" s="100"/>
      <c r="B88" s="100"/>
      <c r="C88" s="100"/>
      <c r="D88" s="504"/>
      <c r="E88" s="100"/>
      <c r="F88" s="100"/>
      <c r="G88" s="100"/>
      <c r="H88" s="100"/>
      <c r="I88" s="100"/>
      <c r="J88" s="100"/>
    </row>
    <row r="89" spans="1:10" ht="13.5">
      <c r="A89" s="100"/>
      <c r="B89" s="100"/>
      <c r="C89" s="100"/>
      <c r="D89" s="504"/>
      <c r="E89" s="100"/>
      <c r="F89" s="100"/>
      <c r="G89" s="100"/>
      <c r="H89" s="100"/>
      <c r="I89" s="100"/>
      <c r="J89" s="100"/>
    </row>
    <row r="90" spans="1:10" ht="13.5">
      <c r="A90" s="100"/>
      <c r="B90" s="100"/>
      <c r="C90" s="100"/>
      <c r="D90" s="504"/>
      <c r="E90" s="100"/>
      <c r="F90" s="100"/>
      <c r="G90" s="100"/>
      <c r="H90" s="100"/>
      <c r="I90" s="100"/>
      <c r="J90" s="100"/>
    </row>
    <row r="91" spans="1:10" ht="13.5">
      <c r="A91" s="100"/>
      <c r="B91" s="100"/>
      <c r="C91" s="100"/>
      <c r="D91" s="504"/>
      <c r="E91" s="100"/>
      <c r="F91" s="100"/>
      <c r="G91" s="100"/>
      <c r="H91" s="100"/>
      <c r="I91" s="100"/>
      <c r="J91" s="100"/>
    </row>
    <row r="92" spans="1:10" ht="13.5">
      <c r="A92" s="100"/>
      <c r="B92" s="100"/>
      <c r="C92" s="100"/>
      <c r="D92" s="504"/>
      <c r="E92" s="100"/>
      <c r="F92" s="100"/>
      <c r="G92" s="100"/>
      <c r="H92" s="100"/>
      <c r="I92" s="100"/>
      <c r="J92" s="100"/>
    </row>
    <row r="93" spans="1:10" ht="13.5" hidden="1">
      <c r="A93" s="100"/>
      <c r="B93" s="100"/>
      <c r="C93" s="100"/>
      <c r="D93" s="504"/>
      <c r="E93" s="100"/>
      <c r="F93" s="100"/>
      <c r="G93" s="100"/>
      <c r="H93" s="100"/>
      <c r="I93" s="100"/>
    </row>
    <row r="94" spans="1:10" ht="13.5">
      <c r="D94" s="504"/>
    </row>
    <row r="95" spans="1:10"/>
    <row r="96" spans="1:10"/>
    <row r="104"/>
    <row r="105"/>
    <row r="106"/>
    <row r="107"/>
    <row r="108"/>
    <row r="109"/>
    <row r="110"/>
    <row r="111"/>
    <row r="112"/>
    <row r="113"/>
    <row r="114"/>
    <row r="115"/>
    <row r="116"/>
    <row r="117"/>
    <row r="118"/>
    <row r="119"/>
  </sheetData>
  <sheetProtection sheet="1" objects="1" scenarios="1" selectLockedCells="1"/>
  <mergeCells count="27">
    <mergeCell ref="G32:I32"/>
    <mergeCell ref="G30:I30"/>
    <mergeCell ref="G24:I24"/>
    <mergeCell ref="B4:D4"/>
    <mergeCell ref="G4:I4"/>
    <mergeCell ref="B6:D6"/>
    <mergeCell ref="G6:I6"/>
    <mergeCell ref="G31:I31"/>
    <mergeCell ref="B5:D5"/>
    <mergeCell ref="G5:I5"/>
    <mergeCell ref="G22:I22"/>
    <mergeCell ref="G33:I33"/>
    <mergeCell ref="G34:I34"/>
    <mergeCell ref="G35:I35"/>
    <mergeCell ref="A39:D39"/>
    <mergeCell ref="A2:D2"/>
    <mergeCell ref="A7:A37"/>
    <mergeCell ref="B7:B23"/>
    <mergeCell ref="C15:C17"/>
    <mergeCell ref="C18:C21"/>
    <mergeCell ref="B37:D37"/>
    <mergeCell ref="B24:B29"/>
    <mergeCell ref="B30:B36"/>
    <mergeCell ref="G2:I2"/>
    <mergeCell ref="A3:A6"/>
    <mergeCell ref="B3:D3"/>
    <mergeCell ref="G3:I3"/>
  </mergeCells>
  <phoneticPr fontId="14"/>
  <printOptions horizontalCentered="1"/>
  <pageMargins left="0.82677165354330717" right="0.82677165354330717" top="1.3385826771653544" bottom="0.74803149606299213" header="0.9055118110236221" footer="0.31496062992125984"/>
  <pageSetup paperSize="9" scale="76" firstPageNumber="0" orientation="portrait" cellComments="asDisplayed" horizontalDpi="4294967293" verticalDpi="300" r:id="rId1"/>
  <headerFooter alignWithMargins="0">
    <oddHeader>&amp;L肉用牛（肥育）春から秋の耕作放棄地経産牛放牧（全域）</oddHead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Z38"/>
  <sheetViews>
    <sheetView showGridLines="0" workbookViewId="0">
      <selection activeCell="F11" sqref="F11"/>
    </sheetView>
  </sheetViews>
  <sheetFormatPr defaultColWidth="10.5" defaultRowHeight="13.5"/>
  <cols>
    <col min="1" max="1" width="16.25" customWidth="1"/>
  </cols>
  <sheetData>
    <row r="1" spans="1:26" s="12" customFormat="1">
      <c r="B1" s="13"/>
      <c r="C1" s="14" t="s">
        <v>112</v>
      </c>
      <c r="D1" s="14" t="s">
        <v>98</v>
      </c>
      <c r="E1" s="14" t="s">
        <v>95</v>
      </c>
      <c r="F1" s="14" t="s">
        <v>101</v>
      </c>
      <c r="G1" s="14" t="s">
        <v>148</v>
      </c>
      <c r="H1" s="14" t="s">
        <v>115</v>
      </c>
      <c r="I1" s="14" t="s">
        <v>149</v>
      </c>
      <c r="J1" s="14" t="s">
        <v>121</v>
      </c>
      <c r="K1" s="14" t="s">
        <v>118</v>
      </c>
      <c r="L1" s="14" t="s">
        <v>127</v>
      </c>
      <c r="M1" s="14" t="s">
        <v>125</v>
      </c>
      <c r="N1" s="14" t="s">
        <v>108</v>
      </c>
      <c r="P1" s="15" t="s">
        <v>195</v>
      </c>
      <c r="Q1" s="15" t="s">
        <v>80</v>
      </c>
      <c r="S1" s="15" t="s">
        <v>196</v>
      </c>
      <c r="U1" s="15" t="s">
        <v>159</v>
      </c>
      <c r="W1" s="15" t="s">
        <v>258</v>
      </c>
      <c r="Y1" s="639" t="s">
        <v>649</v>
      </c>
      <c r="Z1" s="639" t="s">
        <v>650</v>
      </c>
    </row>
    <row r="2" spans="1:26">
      <c r="A2" s="469" t="s">
        <v>112</v>
      </c>
      <c r="B2" s="470">
        <v>1</v>
      </c>
      <c r="C2" s="471" t="s">
        <v>113</v>
      </c>
      <c r="D2" s="471" t="s">
        <v>99</v>
      </c>
      <c r="E2" s="471" t="s">
        <v>165</v>
      </c>
      <c r="F2" s="471" t="s">
        <v>104</v>
      </c>
      <c r="G2" s="471" t="s">
        <v>71</v>
      </c>
      <c r="H2" s="471" t="s">
        <v>178</v>
      </c>
      <c r="I2" s="471" t="s">
        <v>182</v>
      </c>
      <c r="J2" s="471" t="s">
        <v>185</v>
      </c>
      <c r="K2" s="471" t="s">
        <v>119</v>
      </c>
      <c r="L2" s="471" t="s">
        <v>250</v>
      </c>
      <c r="M2" s="471" t="s">
        <v>152</v>
      </c>
      <c r="N2" s="471" t="s">
        <v>156</v>
      </c>
      <c r="P2" s="16" t="s">
        <v>197</v>
      </c>
      <c r="Q2" s="16" t="s">
        <v>114</v>
      </c>
      <c r="S2" t="s">
        <v>71</v>
      </c>
      <c r="U2" t="s">
        <v>189</v>
      </c>
      <c r="W2" s="19" t="s">
        <v>259</v>
      </c>
      <c r="Y2" t="s">
        <v>651</v>
      </c>
      <c r="Z2" t="s">
        <v>652</v>
      </c>
    </row>
    <row r="3" spans="1:26">
      <c r="A3" s="470" t="s">
        <v>98</v>
      </c>
      <c r="B3" s="470">
        <v>2</v>
      </c>
      <c r="C3" s="471" t="s">
        <v>160</v>
      </c>
      <c r="D3" s="471" t="s">
        <v>162</v>
      </c>
      <c r="E3" s="471" t="s">
        <v>96</v>
      </c>
      <c r="F3" s="471" t="s">
        <v>106</v>
      </c>
      <c r="G3" s="471" t="s">
        <v>69</v>
      </c>
      <c r="H3" s="471" t="s">
        <v>179</v>
      </c>
      <c r="I3" s="471" t="s">
        <v>183</v>
      </c>
      <c r="J3" s="471" t="s">
        <v>122</v>
      </c>
      <c r="K3" s="471" t="s">
        <v>186</v>
      </c>
      <c r="L3" s="471" t="s">
        <v>251</v>
      </c>
      <c r="M3" s="471" t="s">
        <v>126</v>
      </c>
      <c r="N3" s="471" t="s">
        <v>123</v>
      </c>
      <c r="P3" s="16" t="s">
        <v>198</v>
      </c>
      <c r="Q3" s="16" t="s">
        <v>199</v>
      </c>
      <c r="S3" t="s">
        <v>69</v>
      </c>
      <c r="U3" t="s">
        <v>164</v>
      </c>
      <c r="W3" s="19" t="s">
        <v>260</v>
      </c>
      <c r="Y3" t="s">
        <v>653</v>
      </c>
      <c r="Z3" t="s">
        <v>654</v>
      </c>
    </row>
    <row r="4" spans="1:26">
      <c r="A4" s="470" t="s">
        <v>95</v>
      </c>
      <c r="B4" s="470">
        <v>3</v>
      </c>
      <c r="C4" s="471" t="s">
        <v>161</v>
      </c>
      <c r="D4" s="471" t="s">
        <v>163</v>
      </c>
      <c r="E4" s="471" t="s">
        <v>97</v>
      </c>
      <c r="F4" s="471" t="s">
        <v>169</v>
      </c>
      <c r="G4" s="471" t="s">
        <v>172</v>
      </c>
      <c r="H4" s="471" t="s">
        <v>180</v>
      </c>
      <c r="I4" s="471" t="s">
        <v>184</v>
      </c>
      <c r="J4" s="471"/>
      <c r="K4" s="471" t="s">
        <v>187</v>
      </c>
      <c r="L4" s="471"/>
      <c r="M4" s="471" t="s">
        <v>153</v>
      </c>
      <c r="N4" s="472" t="s">
        <v>109</v>
      </c>
      <c r="P4" s="16" t="s">
        <v>200</v>
      </c>
      <c r="Q4" s="16" t="s">
        <v>105</v>
      </c>
      <c r="S4" t="s">
        <v>175</v>
      </c>
      <c r="U4" t="s">
        <v>201</v>
      </c>
      <c r="W4" s="19" t="s">
        <v>261</v>
      </c>
      <c r="Y4" t="s">
        <v>655</v>
      </c>
      <c r="Z4" t="s">
        <v>634</v>
      </c>
    </row>
    <row r="5" spans="1:26">
      <c r="A5" s="470" t="s">
        <v>101</v>
      </c>
      <c r="B5" s="470">
        <v>4</v>
      </c>
      <c r="C5" s="471"/>
      <c r="D5" s="471"/>
      <c r="E5" s="471" t="s">
        <v>166</v>
      </c>
      <c r="F5" s="471" t="s">
        <v>170</v>
      </c>
      <c r="G5" s="471" t="s">
        <v>173</v>
      </c>
      <c r="H5" s="471" t="s">
        <v>181</v>
      </c>
      <c r="I5" s="471"/>
      <c r="J5" s="471"/>
      <c r="K5" s="471" t="s">
        <v>188</v>
      </c>
      <c r="L5" s="471"/>
      <c r="M5" s="471" t="s">
        <v>154</v>
      </c>
      <c r="N5" s="471" t="s">
        <v>191</v>
      </c>
      <c r="P5" s="16" t="s">
        <v>202</v>
      </c>
      <c r="Q5" s="16" t="s">
        <v>103</v>
      </c>
      <c r="S5" t="s">
        <v>172</v>
      </c>
      <c r="W5" s="19" t="s">
        <v>262</v>
      </c>
    </row>
    <row r="6" spans="1:26">
      <c r="A6" s="470" t="s">
        <v>115</v>
      </c>
      <c r="B6" s="470">
        <v>5</v>
      </c>
      <c r="C6" s="471"/>
      <c r="D6" s="471"/>
      <c r="E6" s="471" t="s">
        <v>167</v>
      </c>
      <c r="F6" s="471" t="s">
        <v>102</v>
      </c>
      <c r="G6" s="471" t="s">
        <v>177</v>
      </c>
      <c r="H6" s="471" t="s">
        <v>116</v>
      </c>
      <c r="I6" s="471"/>
      <c r="J6" s="471"/>
      <c r="K6" s="471"/>
      <c r="L6" s="471"/>
      <c r="M6" s="471" t="s">
        <v>190</v>
      </c>
      <c r="N6" s="471" t="s">
        <v>124</v>
      </c>
      <c r="P6" s="16" t="s">
        <v>203</v>
      </c>
      <c r="Q6" s="16" t="s">
        <v>204</v>
      </c>
      <c r="S6" t="s">
        <v>173</v>
      </c>
      <c r="W6" s="19" t="s">
        <v>263</v>
      </c>
    </row>
    <row r="7" spans="1:26">
      <c r="A7" s="470" t="s">
        <v>205</v>
      </c>
      <c r="B7" s="470">
        <v>6</v>
      </c>
      <c r="C7" s="471"/>
      <c r="D7" s="471"/>
      <c r="E7" s="471" t="s">
        <v>168</v>
      </c>
      <c r="F7" s="471" t="s">
        <v>171</v>
      </c>
      <c r="G7" s="471" t="s">
        <v>296</v>
      </c>
      <c r="H7" s="473" t="s">
        <v>279</v>
      </c>
      <c r="I7" s="471"/>
      <c r="J7" s="471"/>
      <c r="K7" s="471"/>
      <c r="L7" s="471"/>
      <c r="M7" s="471"/>
      <c r="N7" s="471" t="s">
        <v>192</v>
      </c>
      <c r="P7" s="16" t="s">
        <v>206</v>
      </c>
      <c r="Q7" s="16" t="s">
        <v>207</v>
      </c>
      <c r="S7" t="s">
        <v>174</v>
      </c>
      <c r="W7" s="19" t="s">
        <v>264</v>
      </c>
    </row>
    <row r="8" spans="1:26">
      <c r="A8" s="470" t="s">
        <v>149</v>
      </c>
      <c r="B8" s="470">
        <v>7</v>
      </c>
      <c r="C8" s="471"/>
      <c r="D8" s="471"/>
      <c r="E8" s="471"/>
      <c r="F8" s="471"/>
      <c r="G8" s="471" t="s">
        <v>644</v>
      </c>
      <c r="H8" s="473" t="s">
        <v>278</v>
      </c>
      <c r="I8" s="471"/>
      <c r="J8" s="471"/>
      <c r="K8" s="471"/>
      <c r="L8" s="471"/>
      <c r="M8" s="471"/>
      <c r="N8" s="471" t="s">
        <v>193</v>
      </c>
      <c r="P8" s="16" t="s">
        <v>208</v>
      </c>
      <c r="Q8" s="16" t="s">
        <v>209</v>
      </c>
      <c r="S8" t="s">
        <v>176</v>
      </c>
      <c r="W8" s="19" t="s">
        <v>265</v>
      </c>
    </row>
    <row r="9" spans="1:26">
      <c r="A9" s="470" t="s">
        <v>127</v>
      </c>
      <c r="B9" s="470">
        <v>8</v>
      </c>
      <c r="C9" s="471"/>
      <c r="D9" s="471"/>
      <c r="E9" s="471"/>
      <c r="F9" s="471"/>
      <c r="G9" s="471" t="s">
        <v>665</v>
      </c>
      <c r="H9" s="473" t="s">
        <v>280</v>
      </c>
      <c r="I9" s="471"/>
      <c r="J9" s="471"/>
      <c r="K9" s="471"/>
      <c r="L9" s="471"/>
      <c r="M9" s="471"/>
      <c r="N9" s="471" t="s">
        <v>111</v>
      </c>
      <c r="P9" s="16" t="s">
        <v>210</v>
      </c>
      <c r="Q9" s="16" t="s">
        <v>211</v>
      </c>
      <c r="W9" s="19" t="s">
        <v>267</v>
      </c>
    </row>
    <row r="10" spans="1:26">
      <c r="A10" s="470" t="s">
        <v>118</v>
      </c>
      <c r="B10" s="470">
        <v>9</v>
      </c>
      <c r="C10" s="471"/>
      <c r="D10" s="471"/>
      <c r="E10" s="471"/>
      <c r="F10" s="471"/>
      <c r="G10" s="471" t="s">
        <v>295</v>
      </c>
      <c r="H10" s="473" t="s">
        <v>281</v>
      </c>
      <c r="I10" s="471"/>
      <c r="J10" s="471"/>
      <c r="K10" s="471"/>
      <c r="L10" s="471"/>
      <c r="M10" s="471"/>
      <c r="N10" s="471" t="s">
        <v>194</v>
      </c>
      <c r="P10" s="16" t="s">
        <v>212</v>
      </c>
      <c r="Q10" s="16" t="s">
        <v>213</v>
      </c>
      <c r="W10" s="19" t="s">
        <v>272</v>
      </c>
    </row>
    <row r="11" spans="1:26">
      <c r="A11" s="470" t="s">
        <v>121</v>
      </c>
      <c r="B11" s="470">
        <v>10</v>
      </c>
      <c r="C11" s="471"/>
      <c r="D11" s="471"/>
      <c r="E11" s="471"/>
      <c r="F11" s="471"/>
      <c r="G11" s="471"/>
      <c r="H11" s="473" t="s">
        <v>282</v>
      </c>
      <c r="I11" s="471"/>
      <c r="J11" s="471"/>
      <c r="K11" s="471"/>
      <c r="L11" s="471"/>
      <c r="M11" s="471"/>
      <c r="N11" s="471"/>
      <c r="P11" s="16" t="s">
        <v>214</v>
      </c>
      <c r="Q11" s="16" t="s">
        <v>215</v>
      </c>
      <c r="W11" s="19" t="s">
        <v>271</v>
      </c>
    </row>
    <row r="12" spans="1:26">
      <c r="A12" s="470" t="s">
        <v>216</v>
      </c>
      <c r="B12" s="470">
        <v>11</v>
      </c>
      <c r="C12" s="471"/>
      <c r="D12" s="471"/>
      <c r="E12" s="471"/>
      <c r="F12" s="471"/>
      <c r="G12" s="471"/>
      <c r="H12" s="471"/>
      <c r="I12" s="471"/>
      <c r="J12" s="471"/>
      <c r="K12" s="471"/>
      <c r="L12" s="471"/>
      <c r="M12" s="471"/>
      <c r="N12" s="471"/>
      <c r="P12" s="16" t="s">
        <v>217</v>
      </c>
      <c r="Q12" s="16" t="s">
        <v>117</v>
      </c>
      <c r="W12" s="19" t="s">
        <v>270</v>
      </c>
    </row>
    <row r="13" spans="1:26">
      <c r="A13" s="470" t="s">
        <v>109</v>
      </c>
      <c r="B13" s="470">
        <v>12</v>
      </c>
      <c r="C13" s="471"/>
      <c r="D13" s="471"/>
      <c r="E13" s="471"/>
      <c r="F13" s="471"/>
      <c r="G13" s="471"/>
      <c r="H13" s="471"/>
      <c r="I13" s="471"/>
      <c r="J13" s="471"/>
      <c r="K13" s="471"/>
      <c r="L13" s="471"/>
      <c r="M13" s="471"/>
      <c r="N13" s="471"/>
      <c r="P13" s="16" t="s">
        <v>218</v>
      </c>
      <c r="Q13" s="16" t="s">
        <v>219</v>
      </c>
      <c r="W13" s="19" t="s">
        <v>269</v>
      </c>
    </row>
    <row r="14" spans="1:26">
      <c r="A14" s="470" t="s">
        <v>220</v>
      </c>
      <c r="B14" s="470">
        <v>13</v>
      </c>
      <c r="C14" s="471"/>
      <c r="D14" s="471"/>
      <c r="E14" s="471"/>
      <c r="F14" s="471"/>
      <c r="G14" s="471"/>
      <c r="H14" s="471"/>
      <c r="I14" s="471"/>
      <c r="J14" s="471"/>
      <c r="K14" s="471"/>
      <c r="L14" s="471"/>
      <c r="M14" s="471"/>
      <c r="N14" s="471"/>
      <c r="P14" s="16" t="s">
        <v>221</v>
      </c>
      <c r="Q14" s="16" t="s">
        <v>100</v>
      </c>
      <c r="W14" s="19" t="s">
        <v>268</v>
      </c>
    </row>
    <row r="15" spans="1:26">
      <c r="A15" s="470" t="s">
        <v>222</v>
      </c>
      <c r="B15" s="470">
        <v>14</v>
      </c>
      <c r="C15" s="471"/>
      <c r="D15" s="471"/>
      <c r="E15" s="471"/>
      <c r="F15" s="471"/>
      <c r="G15" s="471"/>
      <c r="H15" s="471"/>
      <c r="I15" s="471"/>
      <c r="J15" s="471"/>
      <c r="K15" s="471"/>
      <c r="L15" s="471"/>
      <c r="M15" s="471"/>
      <c r="N15" s="471"/>
      <c r="P15" s="16" t="s">
        <v>223</v>
      </c>
      <c r="Q15" s="16" t="s">
        <v>224</v>
      </c>
      <c r="W15" s="19" t="s">
        <v>266</v>
      </c>
    </row>
    <row r="16" spans="1:26">
      <c r="A16" s="471"/>
      <c r="B16" s="471"/>
      <c r="C16" s="471"/>
      <c r="D16" s="471"/>
      <c r="E16" s="471"/>
      <c r="F16" s="471"/>
      <c r="G16" s="471"/>
      <c r="H16" s="471"/>
      <c r="I16" s="471"/>
      <c r="J16" s="471"/>
      <c r="K16" s="471"/>
      <c r="L16" s="471"/>
      <c r="M16" s="471"/>
      <c r="N16" s="471"/>
      <c r="P16" s="16" t="s">
        <v>225</v>
      </c>
      <c r="Q16" s="16" t="s">
        <v>226</v>
      </c>
    </row>
    <row r="17" spans="1:17">
      <c r="A17" s="471"/>
      <c r="B17" s="471"/>
      <c r="C17" s="471"/>
      <c r="D17" s="471"/>
      <c r="E17" s="471"/>
      <c r="F17" s="471"/>
      <c r="G17" s="471"/>
      <c r="H17" s="471"/>
      <c r="I17" s="471"/>
      <c r="J17" s="471"/>
      <c r="K17" s="471"/>
      <c r="L17" s="471"/>
      <c r="M17" s="471"/>
      <c r="N17" s="471"/>
      <c r="P17" s="16" t="s">
        <v>227</v>
      </c>
      <c r="Q17" s="16" t="s">
        <v>228</v>
      </c>
    </row>
    <row r="18" spans="1:17">
      <c r="A18" s="471"/>
      <c r="B18" s="471"/>
      <c r="C18" s="471"/>
      <c r="D18" s="471"/>
      <c r="E18" s="471"/>
      <c r="F18" s="471"/>
      <c r="G18" s="471"/>
      <c r="H18" s="471"/>
      <c r="I18" s="471"/>
      <c r="J18" s="471"/>
      <c r="K18" s="471"/>
      <c r="L18" s="471"/>
      <c r="M18" s="471"/>
      <c r="N18" s="471"/>
      <c r="P18" s="16" t="s">
        <v>229</v>
      </c>
      <c r="Q18" s="16" t="s">
        <v>230</v>
      </c>
    </row>
    <row r="19" spans="1:17">
      <c r="A19" s="471"/>
      <c r="B19" s="471"/>
      <c r="C19" s="471"/>
      <c r="D19" s="471"/>
      <c r="E19" s="471"/>
      <c r="F19" s="471"/>
      <c r="G19" s="471"/>
      <c r="H19" s="471"/>
      <c r="I19" s="471"/>
      <c r="J19" s="471"/>
      <c r="K19" s="471"/>
      <c r="L19" s="471"/>
      <c r="M19" s="471"/>
      <c r="N19" s="471"/>
      <c r="P19" s="16" t="s">
        <v>231</v>
      </c>
      <c r="Q19" s="16" t="s">
        <v>158</v>
      </c>
    </row>
    <row r="20" spans="1:17">
      <c r="A20" s="471"/>
      <c r="B20" s="471"/>
      <c r="C20" s="471"/>
      <c r="D20" s="471"/>
      <c r="E20" s="471"/>
      <c r="F20" s="471"/>
      <c r="G20" s="471"/>
      <c r="H20" s="471"/>
      <c r="I20" s="471"/>
      <c r="J20" s="471"/>
      <c r="K20" s="471"/>
      <c r="L20" s="471"/>
      <c r="M20" s="471"/>
      <c r="N20" s="471"/>
      <c r="P20" s="16" t="s">
        <v>232</v>
      </c>
      <c r="Q20" s="16" t="s">
        <v>233</v>
      </c>
    </row>
    <row r="21" spans="1:17">
      <c r="A21" s="471"/>
      <c r="B21" s="471"/>
      <c r="C21" s="471"/>
      <c r="D21" s="471"/>
      <c r="E21" s="471"/>
      <c r="F21" s="471"/>
      <c r="G21" s="471"/>
      <c r="H21" s="471"/>
      <c r="I21" s="471"/>
      <c r="J21" s="471"/>
      <c r="K21" s="471"/>
      <c r="L21" s="471"/>
      <c r="M21" s="471"/>
      <c r="N21" s="471"/>
      <c r="P21" s="16" t="s">
        <v>234</v>
      </c>
      <c r="Q21" s="17" t="s">
        <v>128</v>
      </c>
    </row>
    <row r="22" spans="1:17">
      <c r="A22" s="471"/>
      <c r="B22" s="471"/>
      <c r="C22" s="471"/>
      <c r="D22" s="471"/>
      <c r="E22" s="471"/>
      <c r="F22" s="471"/>
      <c r="G22" s="471"/>
      <c r="H22" s="471"/>
      <c r="I22" s="471"/>
      <c r="J22" s="471"/>
      <c r="K22" s="471"/>
      <c r="L22" s="471"/>
      <c r="M22" s="471"/>
      <c r="N22" s="471"/>
      <c r="P22" s="16" t="s">
        <v>235</v>
      </c>
      <c r="Q22" s="18" t="s">
        <v>120</v>
      </c>
    </row>
    <row r="23" spans="1:17">
      <c r="A23" s="471"/>
      <c r="B23" s="471"/>
      <c r="C23" s="471"/>
      <c r="D23" s="471"/>
      <c r="E23" s="471"/>
      <c r="F23" s="471"/>
      <c r="G23" s="471"/>
      <c r="H23" s="471"/>
      <c r="I23" s="471"/>
      <c r="J23" s="471"/>
      <c r="K23" s="471"/>
      <c r="L23" s="471"/>
      <c r="M23" s="471"/>
      <c r="N23" s="471"/>
      <c r="P23" s="16" t="s">
        <v>68</v>
      </c>
      <c r="Q23" s="17" t="s">
        <v>110</v>
      </c>
    </row>
    <row r="24" spans="1:17">
      <c r="A24" s="471"/>
      <c r="B24" s="471"/>
      <c r="C24" s="471"/>
      <c r="D24" s="471"/>
      <c r="E24" s="471"/>
      <c r="F24" s="471"/>
      <c r="G24" s="471"/>
      <c r="H24" s="471"/>
      <c r="I24" s="471"/>
      <c r="J24" s="471"/>
      <c r="K24" s="471"/>
      <c r="L24" s="471"/>
      <c r="M24" s="471"/>
      <c r="N24" s="471"/>
      <c r="P24" s="16" t="s">
        <v>236</v>
      </c>
      <c r="Q24" s="18" t="s">
        <v>237</v>
      </c>
    </row>
    <row r="25" spans="1:17">
      <c r="A25" s="471"/>
      <c r="B25" s="471"/>
      <c r="C25" s="471"/>
      <c r="D25" s="471"/>
      <c r="E25" s="471"/>
      <c r="F25" s="471"/>
      <c r="G25" s="471"/>
      <c r="H25" s="471"/>
      <c r="I25" s="471"/>
      <c r="J25" s="471"/>
      <c r="K25" s="471"/>
      <c r="L25" s="471"/>
      <c r="M25" s="471"/>
      <c r="N25" s="471"/>
      <c r="P25" s="16" t="s">
        <v>70</v>
      </c>
      <c r="Q25" s="18" t="s">
        <v>238</v>
      </c>
    </row>
    <row r="26" spans="1:17">
      <c r="P26" s="16" t="s">
        <v>239</v>
      </c>
      <c r="Q26" s="18" t="s">
        <v>240</v>
      </c>
    </row>
    <row r="27" spans="1:17">
      <c r="P27" s="16" t="s">
        <v>241</v>
      </c>
      <c r="Q27" s="18" t="s">
        <v>240</v>
      </c>
    </row>
    <row r="28" spans="1:17">
      <c r="P28" s="16" t="s">
        <v>73</v>
      </c>
      <c r="Q28" s="18" t="s">
        <v>242</v>
      </c>
    </row>
    <row r="29" spans="1:17">
      <c r="P29" s="16" t="s">
        <v>243</v>
      </c>
      <c r="Q29" s="18" t="s">
        <v>244</v>
      </c>
    </row>
    <row r="30" spans="1:17">
      <c r="P30" s="16" t="s">
        <v>72</v>
      </c>
      <c r="Q30" s="18" t="s">
        <v>240</v>
      </c>
    </row>
    <row r="31" spans="1:17">
      <c r="P31" s="16" t="s">
        <v>245</v>
      </c>
      <c r="Q31" s="18" t="s">
        <v>240</v>
      </c>
    </row>
    <row r="32" spans="1:17">
      <c r="P32" s="16" t="s">
        <v>75</v>
      </c>
      <c r="Q32" s="598" t="s">
        <v>80</v>
      </c>
    </row>
    <row r="33" spans="16:17">
      <c r="P33" s="16" t="s">
        <v>246</v>
      </c>
      <c r="Q33" s="598" t="s">
        <v>638</v>
      </c>
    </row>
    <row r="34" spans="16:17">
      <c r="P34" s="16" t="s">
        <v>247</v>
      </c>
    </row>
    <row r="35" spans="16:17">
      <c r="P35" s="16" t="s">
        <v>74</v>
      </c>
    </row>
    <row r="36" spans="16:17">
      <c r="P36" s="16" t="s">
        <v>248</v>
      </c>
    </row>
    <row r="37" spans="16:17">
      <c r="P37" s="16" t="s">
        <v>249</v>
      </c>
    </row>
    <row r="38" spans="16:17">
      <c r="P38" s="16" t="s">
        <v>107</v>
      </c>
    </row>
  </sheetData>
  <phoneticPr fontId="14"/>
  <pageMargins left="0.74803149606299213" right="0.74803149606299213" top="0.98425196850393704" bottom="0.98425196850393704" header="0.51181102362204722" footer="0.51181102362204722"/>
  <pageSetup paperSize="9" scale="52" firstPageNumber="0" orientation="landscape" verticalDpi="300" r:id="rId1"/>
  <headerFooter alignWithMargins="0">
    <oddHeader>&amp;R&amp;"ＭＳ ゴシック,標準"&amp;14生産技術体系作成様式　様式②－10（科目設定）</oddHeader>
    <oddFooter>&amp;C&amp;14 12</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41"/>
  <sheetViews>
    <sheetView tabSelected="1" workbookViewId="0">
      <selection activeCell="B2" sqref="B2"/>
    </sheetView>
  </sheetViews>
  <sheetFormatPr defaultRowHeight="13.5"/>
  <cols>
    <col min="1" max="1" width="3.375" customWidth="1"/>
    <col min="7" max="7" width="9.125" customWidth="1"/>
    <col min="8" max="8" width="9.25" customWidth="1"/>
  </cols>
  <sheetData>
    <row r="2" spans="1:11" ht="17.25">
      <c r="B2" s="311" t="s">
        <v>671</v>
      </c>
    </row>
    <row r="4" spans="1:11" ht="13.5" customHeight="1">
      <c r="A4">
        <v>1</v>
      </c>
      <c r="B4" s="854" t="s">
        <v>553</v>
      </c>
      <c r="C4" s="854"/>
      <c r="D4" s="854"/>
      <c r="E4" s="854"/>
      <c r="F4" s="854"/>
      <c r="G4" s="854"/>
      <c r="H4" s="854"/>
      <c r="I4" s="854"/>
      <c r="J4" s="568"/>
      <c r="K4" s="568"/>
    </row>
    <row r="5" spans="1:11">
      <c r="B5" s="854"/>
      <c r="C5" s="854"/>
      <c r="D5" s="854"/>
      <c r="E5" s="854"/>
      <c r="F5" s="854"/>
      <c r="G5" s="854"/>
      <c r="H5" s="854"/>
      <c r="I5" s="854"/>
      <c r="J5" s="568"/>
      <c r="K5" s="568"/>
    </row>
    <row r="6" spans="1:11">
      <c r="A6">
        <v>2</v>
      </c>
      <c r="B6" s="853" t="s">
        <v>554</v>
      </c>
      <c r="C6" s="853"/>
      <c r="D6" s="853"/>
      <c r="E6" s="853"/>
      <c r="F6" s="853"/>
      <c r="G6" s="853"/>
      <c r="H6" s="853"/>
      <c r="I6" s="853"/>
      <c r="J6" s="853"/>
      <c r="K6" s="853"/>
    </row>
    <row r="7" spans="1:11" ht="13.5" customHeight="1">
      <c r="A7">
        <v>3</v>
      </c>
      <c r="B7" s="854" t="s">
        <v>555</v>
      </c>
      <c r="C7" s="854"/>
      <c r="D7" s="854"/>
      <c r="E7" s="854"/>
      <c r="F7" s="854"/>
      <c r="G7" s="854"/>
      <c r="H7" s="854"/>
      <c r="I7" s="854"/>
      <c r="J7" s="854"/>
      <c r="K7" s="854"/>
    </row>
    <row r="8" spans="1:11">
      <c r="A8">
        <v>4</v>
      </c>
      <c r="B8" s="853" t="s">
        <v>556</v>
      </c>
      <c r="C8" s="853"/>
      <c r="D8" s="853"/>
      <c r="E8" s="853"/>
      <c r="F8" s="853"/>
      <c r="G8" s="853"/>
    </row>
    <row r="9" spans="1:11" ht="13.5" customHeight="1">
      <c r="A9">
        <v>5</v>
      </c>
      <c r="B9" s="854" t="s">
        <v>557</v>
      </c>
      <c r="C9" s="854"/>
      <c r="D9" s="854"/>
      <c r="E9" s="854"/>
      <c r="F9" s="854"/>
      <c r="G9" s="854"/>
      <c r="H9" s="854"/>
      <c r="I9" s="854"/>
      <c r="J9" s="854"/>
      <c r="K9" s="854"/>
    </row>
    <row r="10" spans="1:11">
      <c r="A10">
        <v>6</v>
      </c>
      <c r="B10" s="853" t="s">
        <v>558</v>
      </c>
      <c r="C10" s="853"/>
      <c r="D10" s="853"/>
      <c r="E10" s="853"/>
      <c r="F10" s="853"/>
      <c r="G10" s="853"/>
    </row>
    <row r="11" spans="1:11" ht="13.5" customHeight="1">
      <c r="A11">
        <v>7</v>
      </c>
      <c r="B11" s="854" t="s">
        <v>559</v>
      </c>
      <c r="C11" s="854"/>
      <c r="D11" s="854"/>
      <c r="E11" s="854"/>
      <c r="F11" s="854"/>
      <c r="G11" s="854"/>
      <c r="H11" s="854"/>
      <c r="I11" s="854"/>
      <c r="J11" s="854"/>
      <c r="K11" s="854"/>
    </row>
    <row r="12" spans="1:11">
      <c r="A12">
        <v>8</v>
      </c>
      <c r="B12" s="853" t="s">
        <v>560</v>
      </c>
      <c r="C12" s="853"/>
      <c r="D12" s="853"/>
      <c r="E12" s="853"/>
      <c r="F12" s="853"/>
      <c r="G12" s="853"/>
    </row>
    <row r="13" spans="1:11" ht="13.5" customHeight="1">
      <c r="A13">
        <v>9</v>
      </c>
      <c r="B13" s="854" t="s">
        <v>561</v>
      </c>
      <c r="C13" s="854"/>
      <c r="D13" s="854"/>
      <c r="E13" s="854"/>
      <c r="F13" s="854"/>
      <c r="G13" s="854"/>
      <c r="H13" s="854"/>
      <c r="I13" s="854"/>
      <c r="J13" s="854"/>
      <c r="K13" s="854"/>
    </row>
    <row r="14" spans="1:11" ht="13.5" customHeight="1">
      <c r="A14">
        <v>10</v>
      </c>
      <c r="B14" s="854" t="s">
        <v>562</v>
      </c>
      <c r="C14" s="854"/>
      <c r="D14" s="854"/>
      <c r="E14" s="854"/>
      <c r="F14" s="854"/>
      <c r="G14" s="854"/>
      <c r="H14" s="854"/>
      <c r="I14" s="854"/>
      <c r="J14" s="854"/>
      <c r="K14" s="854"/>
    </row>
    <row r="15" spans="1:11" ht="13.5" customHeight="1">
      <c r="A15">
        <v>11</v>
      </c>
      <c r="B15" s="854" t="s">
        <v>563</v>
      </c>
      <c r="C15" s="854"/>
      <c r="D15" s="854"/>
      <c r="E15" s="854"/>
      <c r="F15" s="854"/>
      <c r="G15" s="854"/>
      <c r="H15" s="854"/>
      <c r="I15" s="854"/>
      <c r="J15" s="854"/>
      <c r="K15" s="854"/>
    </row>
    <row r="16" spans="1:11" ht="14.25" thickBot="1"/>
    <row r="17" spans="3:8">
      <c r="C17" s="569" t="s">
        <v>564</v>
      </c>
      <c r="D17" s="570"/>
      <c r="E17" s="570"/>
      <c r="F17" s="570"/>
      <c r="G17" s="569"/>
      <c r="H17" s="571"/>
    </row>
    <row r="18" spans="3:8">
      <c r="C18" s="572" t="s">
        <v>565</v>
      </c>
      <c r="D18" s="573" t="s">
        <v>566</v>
      </c>
      <c r="E18" s="573"/>
      <c r="F18" s="573"/>
      <c r="G18" s="572"/>
      <c r="H18" s="574"/>
    </row>
    <row r="19" spans="3:8">
      <c r="C19" s="572"/>
      <c r="D19" s="573" t="s">
        <v>567</v>
      </c>
      <c r="E19" s="573"/>
      <c r="F19" s="573"/>
      <c r="G19" s="572"/>
      <c r="H19" s="574"/>
    </row>
    <row r="20" spans="3:8">
      <c r="C20" s="572"/>
      <c r="D20" s="573"/>
      <c r="E20" s="573"/>
      <c r="F20" s="573"/>
      <c r="G20" s="572"/>
      <c r="H20" s="574"/>
    </row>
    <row r="21" spans="3:8">
      <c r="C21" s="572"/>
      <c r="D21" s="573"/>
      <c r="E21" s="573"/>
      <c r="F21" s="573"/>
      <c r="G21" s="572"/>
      <c r="H21" s="574"/>
    </row>
    <row r="22" spans="3:8">
      <c r="C22" s="572"/>
      <c r="D22" s="573"/>
      <c r="E22" s="573"/>
      <c r="F22" s="573"/>
      <c r="G22" s="572"/>
      <c r="H22" s="574"/>
    </row>
    <row r="23" spans="3:8">
      <c r="C23" s="572"/>
      <c r="D23" s="573"/>
      <c r="E23" s="573"/>
      <c r="F23" s="573"/>
      <c r="G23" s="572"/>
      <c r="H23" s="574"/>
    </row>
    <row r="24" spans="3:8">
      <c r="C24" s="572"/>
      <c r="D24" s="573"/>
      <c r="E24" s="573"/>
      <c r="F24" s="573"/>
      <c r="G24" s="572"/>
      <c r="H24" s="574"/>
    </row>
    <row r="25" spans="3:8">
      <c r="C25" s="572"/>
      <c r="D25" s="573"/>
      <c r="E25" s="573"/>
      <c r="F25" s="573"/>
      <c r="G25" s="572"/>
      <c r="H25" s="574"/>
    </row>
    <row r="26" spans="3:8">
      <c r="C26" s="572"/>
      <c r="D26" s="573"/>
      <c r="E26" s="573"/>
      <c r="F26" s="575"/>
      <c r="G26" s="576"/>
      <c r="H26" s="574"/>
    </row>
    <row r="27" spans="3:8">
      <c r="C27" s="572"/>
      <c r="D27" s="573"/>
      <c r="E27" s="573"/>
      <c r="F27" s="577"/>
      <c r="G27" s="578"/>
      <c r="H27" s="574"/>
    </row>
    <row r="28" spans="3:8" ht="14.25" thickBot="1">
      <c r="C28" s="579"/>
      <c r="D28" s="580"/>
      <c r="E28" s="580"/>
      <c r="F28" s="581"/>
      <c r="G28" s="578"/>
      <c r="H28" s="574"/>
    </row>
    <row r="29" spans="3:8">
      <c r="C29" s="572"/>
      <c r="D29" s="573"/>
      <c r="E29" s="573"/>
      <c r="F29" s="577"/>
      <c r="G29" s="578"/>
      <c r="H29" s="574"/>
    </row>
    <row r="30" spans="3:8">
      <c r="C30" s="572"/>
      <c r="D30" s="573"/>
      <c r="E30" s="573"/>
      <c r="F30" s="577"/>
      <c r="G30" s="578"/>
      <c r="H30" s="574"/>
    </row>
    <row r="31" spans="3:8">
      <c r="C31" s="572"/>
      <c r="D31" s="573"/>
      <c r="E31" s="573"/>
      <c r="F31" s="575"/>
      <c r="G31" s="576"/>
      <c r="H31" s="574"/>
    </row>
    <row r="32" spans="3:8">
      <c r="C32" s="572"/>
      <c r="D32" s="573"/>
      <c r="E32" s="573"/>
      <c r="F32" s="573"/>
      <c r="G32" s="572" t="s">
        <v>568</v>
      </c>
      <c r="H32" s="574"/>
    </row>
    <row r="33" spans="3:8">
      <c r="C33" s="572"/>
      <c r="D33" s="573"/>
      <c r="E33" s="573"/>
      <c r="F33" s="573"/>
      <c r="G33" s="572" t="s">
        <v>565</v>
      </c>
      <c r="H33" s="574" t="s">
        <v>569</v>
      </c>
    </row>
    <row r="34" spans="3:8">
      <c r="C34" s="572"/>
      <c r="D34" s="573"/>
      <c r="E34" s="573"/>
      <c r="F34" s="573"/>
      <c r="G34" s="572"/>
      <c r="H34" s="574" t="s">
        <v>570</v>
      </c>
    </row>
    <row r="35" spans="3:8">
      <c r="C35" s="572"/>
      <c r="D35" s="573"/>
      <c r="E35" s="573"/>
      <c r="F35" s="573"/>
      <c r="G35" s="572"/>
      <c r="H35" s="574"/>
    </row>
    <row r="36" spans="3:8">
      <c r="C36" s="572"/>
      <c r="D36" s="573"/>
      <c r="E36" s="573"/>
      <c r="F36" s="573"/>
      <c r="G36" s="572"/>
      <c r="H36" s="574"/>
    </row>
    <row r="37" spans="3:8">
      <c r="C37" s="572"/>
      <c r="D37" s="573"/>
      <c r="E37" s="573"/>
      <c r="F37" s="573"/>
      <c r="G37" s="572"/>
      <c r="H37" s="574"/>
    </row>
    <row r="38" spans="3:8">
      <c r="C38" s="572" t="s">
        <v>571</v>
      </c>
      <c r="D38" s="573"/>
      <c r="E38" s="573"/>
      <c r="F38" s="573"/>
      <c r="G38" s="572"/>
      <c r="H38" s="574"/>
    </row>
    <row r="39" spans="3:8">
      <c r="C39" s="572" t="s">
        <v>565</v>
      </c>
      <c r="D39" s="573" t="s">
        <v>572</v>
      </c>
      <c r="E39" s="573"/>
      <c r="F39" s="573"/>
      <c r="G39" s="572"/>
      <c r="H39" s="574"/>
    </row>
    <row r="40" spans="3:8">
      <c r="C40" s="572"/>
      <c r="D40" s="573" t="s">
        <v>573</v>
      </c>
      <c r="E40" s="573"/>
      <c r="F40" s="573"/>
      <c r="G40" s="572"/>
      <c r="H40" s="574"/>
    </row>
    <row r="41" spans="3:8" ht="14.25" thickBot="1">
      <c r="C41" s="579"/>
      <c r="D41" s="580"/>
      <c r="E41" s="580"/>
      <c r="F41" s="580"/>
      <c r="G41" s="579"/>
      <c r="H41" s="582"/>
    </row>
  </sheetData>
  <mergeCells count="11">
    <mergeCell ref="B11:K11"/>
    <mergeCell ref="B12:G12"/>
    <mergeCell ref="B13:K13"/>
    <mergeCell ref="B14:K14"/>
    <mergeCell ref="B15:K15"/>
    <mergeCell ref="B10:G10"/>
    <mergeCell ref="B4:I5"/>
    <mergeCell ref="B6:K6"/>
    <mergeCell ref="B7:K7"/>
    <mergeCell ref="B8:G8"/>
    <mergeCell ref="B9:K9"/>
  </mergeCells>
  <phoneticPr fontId="14"/>
  <pageMargins left="0.9055118110236221" right="0.9055118110236221" top="1.1417322834645669" bottom="0.74803149606299213" header="0.9055118110236221" footer="0.31496062992125984"/>
  <pageSetup paperSize="9" orientation="portrait" r:id="rId1"/>
  <headerFooter>
    <oddHeader>&amp;L肉用牛（肥育）春から秋の耕作放棄地経産牛放牧（全域）</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1"/>
  <sheetViews>
    <sheetView workbookViewId="0">
      <selection activeCell="L31" sqref="L31"/>
    </sheetView>
  </sheetViews>
  <sheetFormatPr defaultRowHeight="13.5"/>
  <cols>
    <col min="2" max="2" width="10.625" customWidth="1"/>
    <col min="9" max="9" width="9.875" bestFit="1" customWidth="1"/>
  </cols>
  <sheetData>
    <row r="1" spans="1:11" ht="17.25">
      <c r="A1" s="583" t="s">
        <v>574</v>
      </c>
    </row>
    <row r="3" spans="1:11">
      <c r="A3" s="584" t="s">
        <v>575</v>
      </c>
      <c r="B3" s="584" t="s">
        <v>576</v>
      </c>
      <c r="C3" s="584" t="s">
        <v>577</v>
      </c>
      <c r="D3" s="584" t="s">
        <v>578</v>
      </c>
      <c r="E3" s="584" t="s">
        <v>579</v>
      </c>
      <c r="F3" s="584" t="s">
        <v>580</v>
      </c>
      <c r="G3" s="584" t="s">
        <v>581</v>
      </c>
      <c r="I3" t="s">
        <v>582</v>
      </c>
      <c r="K3" t="s">
        <v>583</v>
      </c>
    </row>
    <row r="4" spans="1:11">
      <c r="A4" s="585">
        <v>41995</v>
      </c>
      <c r="B4">
        <v>7</v>
      </c>
      <c r="C4" s="586">
        <v>299623</v>
      </c>
      <c r="D4" s="586">
        <v>372600</v>
      </c>
      <c r="E4" s="586">
        <v>203040</v>
      </c>
      <c r="F4">
        <v>488</v>
      </c>
      <c r="G4" s="587">
        <f>C4/F4</f>
        <v>613.98155737704917</v>
      </c>
      <c r="I4" s="587">
        <f>C4*B4</f>
        <v>2097361</v>
      </c>
      <c r="K4" s="587">
        <f>F4*B4</f>
        <v>3416</v>
      </c>
    </row>
    <row r="5" spans="1:11">
      <c r="A5" s="585">
        <v>41985</v>
      </c>
      <c r="B5">
        <v>17</v>
      </c>
      <c r="C5" s="586">
        <v>296809</v>
      </c>
      <c r="D5" s="586">
        <v>509760</v>
      </c>
      <c r="E5" s="586">
        <v>44280</v>
      </c>
      <c r="F5">
        <v>527</v>
      </c>
      <c r="G5" s="587">
        <f t="shared" ref="G5:G28" si="0">C5/F5</f>
        <v>563.2049335863378</v>
      </c>
      <c r="I5" s="587">
        <f t="shared" ref="I5:I28" si="1">C5*B5</f>
        <v>5045753</v>
      </c>
      <c r="K5" s="587">
        <f t="shared" ref="K5:K28" si="2">F5*B5</f>
        <v>8959</v>
      </c>
    </row>
    <row r="6" spans="1:11">
      <c r="A6" s="585">
        <v>41975</v>
      </c>
      <c r="B6">
        <v>11</v>
      </c>
      <c r="C6" s="586">
        <v>324491</v>
      </c>
      <c r="D6" s="586">
        <v>437400</v>
      </c>
      <c r="E6" s="586">
        <v>88560</v>
      </c>
      <c r="F6">
        <v>558</v>
      </c>
      <c r="G6" s="587">
        <f t="shared" si="0"/>
        <v>581.52508960573482</v>
      </c>
      <c r="I6" s="587">
        <f t="shared" si="1"/>
        <v>3569401</v>
      </c>
      <c r="K6" s="587">
        <f t="shared" si="2"/>
        <v>6138</v>
      </c>
    </row>
    <row r="7" spans="1:11">
      <c r="A7" s="585">
        <v>41963</v>
      </c>
      <c r="B7">
        <v>18</v>
      </c>
      <c r="C7" s="586">
        <v>310680</v>
      </c>
      <c r="D7" s="586">
        <v>697680</v>
      </c>
      <c r="E7" s="586">
        <v>89640</v>
      </c>
      <c r="F7">
        <v>536</v>
      </c>
      <c r="G7" s="587">
        <f t="shared" si="0"/>
        <v>579.62686567164178</v>
      </c>
      <c r="I7" s="587">
        <f t="shared" si="1"/>
        <v>5592240</v>
      </c>
      <c r="K7" s="587">
        <f t="shared" si="2"/>
        <v>9648</v>
      </c>
    </row>
    <row r="8" spans="1:11">
      <c r="A8" s="585">
        <v>41955</v>
      </c>
      <c r="B8">
        <v>9</v>
      </c>
      <c r="C8" s="586">
        <v>363840</v>
      </c>
      <c r="D8" s="586">
        <v>622080</v>
      </c>
      <c r="E8" s="586">
        <v>171720</v>
      </c>
      <c r="F8">
        <v>562</v>
      </c>
      <c r="G8" s="587">
        <f t="shared" si="0"/>
        <v>647.40213523131672</v>
      </c>
      <c r="I8" s="587">
        <f t="shared" si="1"/>
        <v>3274560</v>
      </c>
      <c r="K8" s="587">
        <f t="shared" si="2"/>
        <v>5058</v>
      </c>
    </row>
    <row r="9" spans="1:11">
      <c r="A9" s="585">
        <v>41947</v>
      </c>
      <c r="B9">
        <v>12</v>
      </c>
      <c r="C9" s="586">
        <v>297990</v>
      </c>
      <c r="D9" s="586">
        <v>427680</v>
      </c>
      <c r="E9" s="586">
        <v>238680</v>
      </c>
      <c r="F9">
        <v>513</v>
      </c>
      <c r="G9" s="587">
        <f t="shared" si="0"/>
        <v>580.87719298245611</v>
      </c>
      <c r="I9" s="587">
        <f t="shared" si="1"/>
        <v>3575880</v>
      </c>
      <c r="K9" s="587">
        <f t="shared" si="2"/>
        <v>6156</v>
      </c>
    </row>
    <row r="10" spans="1:11">
      <c r="A10" s="585">
        <v>41934</v>
      </c>
      <c r="B10">
        <v>9</v>
      </c>
      <c r="C10" s="586">
        <v>328920</v>
      </c>
      <c r="D10" s="586">
        <v>440640</v>
      </c>
      <c r="E10" s="586">
        <v>181440</v>
      </c>
      <c r="F10">
        <v>553</v>
      </c>
      <c r="G10" s="587">
        <f t="shared" si="0"/>
        <v>594.79204339963837</v>
      </c>
      <c r="I10" s="587">
        <f t="shared" si="1"/>
        <v>2960280</v>
      </c>
      <c r="K10" s="587">
        <f t="shared" si="2"/>
        <v>4977</v>
      </c>
    </row>
    <row r="11" spans="1:11">
      <c r="A11" s="585">
        <v>41926</v>
      </c>
      <c r="B11">
        <v>6</v>
      </c>
      <c r="C11" s="586">
        <v>206460</v>
      </c>
      <c r="D11" s="586">
        <v>313200</v>
      </c>
      <c r="E11" s="586">
        <v>97200</v>
      </c>
      <c r="F11">
        <v>444</v>
      </c>
      <c r="G11" s="587">
        <f t="shared" si="0"/>
        <v>465</v>
      </c>
      <c r="I11" s="587">
        <f t="shared" si="1"/>
        <v>1238760</v>
      </c>
      <c r="K11" s="587">
        <f t="shared" si="2"/>
        <v>2664</v>
      </c>
    </row>
    <row r="12" spans="1:11">
      <c r="A12" s="585">
        <v>41914</v>
      </c>
      <c r="B12">
        <v>4</v>
      </c>
      <c r="C12" s="586">
        <v>277560</v>
      </c>
      <c r="D12" s="586">
        <v>328320</v>
      </c>
      <c r="E12" s="586">
        <v>213840</v>
      </c>
      <c r="F12">
        <v>510</v>
      </c>
      <c r="G12" s="587">
        <f t="shared" si="0"/>
        <v>544.23529411764707</v>
      </c>
      <c r="I12" s="587">
        <f t="shared" si="1"/>
        <v>1110240</v>
      </c>
      <c r="K12" s="587">
        <f t="shared" si="2"/>
        <v>2040</v>
      </c>
    </row>
    <row r="13" spans="1:11">
      <c r="A13" s="585">
        <v>41904</v>
      </c>
      <c r="B13">
        <v>10</v>
      </c>
      <c r="C13" s="586">
        <v>278100</v>
      </c>
      <c r="D13" s="586">
        <v>453600</v>
      </c>
      <c r="E13" s="586">
        <v>22680</v>
      </c>
      <c r="F13">
        <v>513</v>
      </c>
      <c r="G13" s="587">
        <f t="shared" si="0"/>
        <v>542.10526315789468</v>
      </c>
      <c r="I13" s="587">
        <f t="shared" si="1"/>
        <v>2781000</v>
      </c>
      <c r="K13" s="587">
        <f t="shared" si="2"/>
        <v>5130</v>
      </c>
    </row>
    <row r="14" spans="1:11">
      <c r="A14" s="585">
        <v>41893</v>
      </c>
      <c r="B14">
        <v>5</v>
      </c>
      <c r="C14" s="586">
        <v>270432</v>
      </c>
      <c r="D14" s="586">
        <v>400680</v>
      </c>
      <c r="E14" s="586">
        <v>135000</v>
      </c>
      <c r="F14">
        <v>521</v>
      </c>
      <c r="G14" s="587">
        <f t="shared" si="0"/>
        <v>519.06333973128596</v>
      </c>
      <c r="I14" s="587">
        <f t="shared" si="1"/>
        <v>1352160</v>
      </c>
      <c r="K14" s="587">
        <f t="shared" si="2"/>
        <v>2605</v>
      </c>
    </row>
    <row r="15" spans="1:11">
      <c r="A15" s="585">
        <v>41884</v>
      </c>
      <c r="B15">
        <v>11</v>
      </c>
      <c r="C15" s="586">
        <v>215411</v>
      </c>
      <c r="D15" s="586">
        <v>313200</v>
      </c>
      <c r="E15" s="586">
        <v>65880</v>
      </c>
      <c r="F15">
        <v>499</v>
      </c>
      <c r="G15" s="587">
        <f t="shared" si="0"/>
        <v>431.68537074148298</v>
      </c>
      <c r="I15" s="587">
        <f t="shared" si="1"/>
        <v>2369521</v>
      </c>
      <c r="K15" s="587">
        <f t="shared" si="2"/>
        <v>5489</v>
      </c>
    </row>
    <row r="16" spans="1:11">
      <c r="A16" s="585">
        <v>41873</v>
      </c>
      <c r="B16">
        <v>17</v>
      </c>
      <c r="C16" s="586">
        <v>254054</v>
      </c>
      <c r="D16" s="586">
        <v>375840</v>
      </c>
      <c r="E16" s="586">
        <v>28080</v>
      </c>
      <c r="F16">
        <v>493</v>
      </c>
      <c r="G16" s="587">
        <f t="shared" si="0"/>
        <v>515.32251521298178</v>
      </c>
      <c r="I16" s="587">
        <f t="shared" si="1"/>
        <v>4318918</v>
      </c>
      <c r="K16" s="587">
        <f t="shared" si="2"/>
        <v>8381</v>
      </c>
    </row>
    <row r="17" spans="1:13">
      <c r="A17" s="585">
        <v>41855</v>
      </c>
      <c r="B17">
        <v>12</v>
      </c>
      <c r="C17" s="586">
        <v>238320</v>
      </c>
      <c r="D17" s="586">
        <v>332640</v>
      </c>
      <c r="E17" s="586">
        <v>114480</v>
      </c>
      <c r="F17">
        <v>524</v>
      </c>
      <c r="G17" s="587">
        <f t="shared" si="0"/>
        <v>454.80916030534354</v>
      </c>
      <c r="I17" s="587">
        <f t="shared" si="1"/>
        <v>2859840</v>
      </c>
      <c r="K17" s="587">
        <f t="shared" si="2"/>
        <v>6288</v>
      </c>
    </row>
    <row r="18" spans="1:13">
      <c r="A18" s="585">
        <v>41842</v>
      </c>
      <c r="B18">
        <v>14</v>
      </c>
      <c r="C18" s="586">
        <v>240840</v>
      </c>
      <c r="D18" s="586">
        <v>554040</v>
      </c>
      <c r="E18" s="586">
        <v>81000</v>
      </c>
      <c r="F18">
        <v>526</v>
      </c>
      <c r="G18" s="587">
        <f t="shared" si="0"/>
        <v>457.87072243346006</v>
      </c>
      <c r="I18" s="587">
        <f t="shared" si="1"/>
        <v>3371760</v>
      </c>
      <c r="K18" s="587">
        <f t="shared" si="2"/>
        <v>7364</v>
      </c>
    </row>
    <row r="19" spans="1:13">
      <c r="A19" s="585">
        <v>41834</v>
      </c>
      <c r="B19">
        <v>11</v>
      </c>
      <c r="C19" s="586">
        <v>305542</v>
      </c>
      <c r="D19" s="586">
        <v>408240</v>
      </c>
      <c r="E19" s="586">
        <v>225720</v>
      </c>
      <c r="F19">
        <v>516</v>
      </c>
      <c r="G19" s="587">
        <f t="shared" si="0"/>
        <v>592.13565891472865</v>
      </c>
      <c r="I19" s="587">
        <f t="shared" si="1"/>
        <v>3360962</v>
      </c>
      <c r="K19" s="587">
        <f t="shared" si="2"/>
        <v>5676</v>
      </c>
    </row>
    <row r="20" spans="1:13">
      <c r="A20" s="585">
        <v>41822</v>
      </c>
      <c r="B20">
        <v>2</v>
      </c>
      <c r="C20" s="586">
        <v>308340</v>
      </c>
      <c r="D20" s="586">
        <v>363960</v>
      </c>
      <c r="E20" s="586">
        <v>252720</v>
      </c>
      <c r="F20">
        <v>569</v>
      </c>
      <c r="G20" s="587">
        <f t="shared" si="0"/>
        <v>541.89806678383127</v>
      </c>
      <c r="I20" s="587">
        <f t="shared" si="1"/>
        <v>616680</v>
      </c>
      <c r="K20" s="587">
        <f t="shared" si="2"/>
        <v>1138</v>
      </c>
    </row>
    <row r="21" spans="1:13">
      <c r="A21" s="585">
        <v>41813</v>
      </c>
      <c r="B21">
        <v>15</v>
      </c>
      <c r="C21" s="586">
        <v>289656</v>
      </c>
      <c r="D21" s="586">
        <v>517320</v>
      </c>
      <c r="E21" s="586">
        <v>99360</v>
      </c>
      <c r="F21">
        <v>511</v>
      </c>
      <c r="G21" s="587">
        <f t="shared" si="0"/>
        <v>566.84148727984348</v>
      </c>
      <c r="I21" s="587">
        <f t="shared" si="1"/>
        <v>4344840</v>
      </c>
      <c r="K21" s="587">
        <f t="shared" si="2"/>
        <v>7665</v>
      </c>
    </row>
    <row r="22" spans="1:13">
      <c r="A22" s="585">
        <v>41802</v>
      </c>
      <c r="B22">
        <v>7</v>
      </c>
      <c r="C22" s="586">
        <v>306874</v>
      </c>
      <c r="D22" s="586">
        <v>414720</v>
      </c>
      <c r="E22" s="586">
        <v>219240</v>
      </c>
      <c r="F22">
        <v>545</v>
      </c>
      <c r="G22" s="587">
        <f t="shared" si="0"/>
        <v>563.0715596330275</v>
      </c>
      <c r="I22" s="587">
        <f t="shared" si="1"/>
        <v>2148118</v>
      </c>
      <c r="K22" s="587">
        <f t="shared" si="2"/>
        <v>3815</v>
      </c>
    </row>
    <row r="23" spans="1:13">
      <c r="A23" s="585">
        <v>41792</v>
      </c>
      <c r="B23">
        <v>3</v>
      </c>
      <c r="C23" s="586">
        <v>270000</v>
      </c>
      <c r="D23" s="586">
        <v>358560</v>
      </c>
      <c r="E23" s="586">
        <v>213840</v>
      </c>
      <c r="F23">
        <v>505</v>
      </c>
      <c r="G23" s="587">
        <f t="shared" si="0"/>
        <v>534.65346534653463</v>
      </c>
      <c r="I23" s="587">
        <f t="shared" si="1"/>
        <v>810000</v>
      </c>
      <c r="K23" s="587">
        <f t="shared" si="2"/>
        <v>1515</v>
      </c>
    </row>
    <row r="24" spans="1:13">
      <c r="A24" s="585">
        <v>41781</v>
      </c>
      <c r="B24">
        <v>12</v>
      </c>
      <c r="C24" s="586">
        <v>293760</v>
      </c>
      <c r="D24" s="586">
        <v>440640</v>
      </c>
      <c r="E24" s="586">
        <v>154440</v>
      </c>
      <c r="F24">
        <v>534</v>
      </c>
      <c r="G24" s="587">
        <f t="shared" si="0"/>
        <v>550.11235955056179</v>
      </c>
      <c r="I24" s="587">
        <f t="shared" si="1"/>
        <v>3525120</v>
      </c>
      <c r="K24" s="587">
        <f t="shared" si="2"/>
        <v>6408</v>
      </c>
    </row>
    <row r="25" spans="1:13">
      <c r="A25" s="585">
        <v>41771</v>
      </c>
      <c r="B25">
        <v>13</v>
      </c>
      <c r="C25" s="586">
        <v>280218</v>
      </c>
      <c r="D25" s="586">
        <v>448200</v>
      </c>
      <c r="E25" s="586">
        <v>68040</v>
      </c>
      <c r="F25">
        <v>508</v>
      </c>
      <c r="G25" s="587">
        <f t="shared" si="0"/>
        <v>551.61023622047242</v>
      </c>
      <c r="I25" s="587">
        <f t="shared" si="1"/>
        <v>3642834</v>
      </c>
      <c r="K25" s="587">
        <f t="shared" si="2"/>
        <v>6604</v>
      </c>
    </row>
    <row r="26" spans="1:13">
      <c r="A26" s="585">
        <v>41751</v>
      </c>
      <c r="B26">
        <v>17</v>
      </c>
      <c r="C26" s="586">
        <v>269174</v>
      </c>
      <c r="D26" s="586">
        <v>451440</v>
      </c>
      <c r="E26" s="586">
        <v>118800</v>
      </c>
      <c r="F26">
        <v>533</v>
      </c>
      <c r="G26" s="587">
        <f t="shared" si="0"/>
        <v>505.0168855534709</v>
      </c>
      <c r="I26" s="587">
        <f t="shared" si="1"/>
        <v>4575958</v>
      </c>
      <c r="K26" s="587">
        <f t="shared" si="2"/>
        <v>9061</v>
      </c>
    </row>
    <row r="27" spans="1:13">
      <c r="A27" s="585">
        <v>41743</v>
      </c>
      <c r="B27">
        <v>14</v>
      </c>
      <c r="C27" s="586">
        <v>289363</v>
      </c>
      <c r="D27" s="586">
        <v>399600</v>
      </c>
      <c r="E27" s="586">
        <v>131760</v>
      </c>
      <c r="F27">
        <v>547</v>
      </c>
      <c r="G27" s="587">
        <f t="shared" si="0"/>
        <v>529</v>
      </c>
      <c r="I27" s="587">
        <f t="shared" si="1"/>
        <v>4051082</v>
      </c>
      <c r="K27" s="587">
        <f t="shared" si="2"/>
        <v>7658</v>
      </c>
    </row>
    <row r="28" spans="1:13">
      <c r="A28" s="585">
        <v>41731</v>
      </c>
      <c r="B28">
        <v>5</v>
      </c>
      <c r="C28" s="586">
        <v>397008</v>
      </c>
      <c r="D28" s="586">
        <v>495720</v>
      </c>
      <c r="E28" s="586">
        <v>245160</v>
      </c>
      <c r="F28">
        <v>590</v>
      </c>
      <c r="G28" s="587">
        <f t="shared" si="0"/>
        <v>672.89491525423728</v>
      </c>
      <c r="I28" s="587">
        <f t="shared" si="1"/>
        <v>1985040</v>
      </c>
      <c r="K28" s="587">
        <f t="shared" si="2"/>
        <v>2950</v>
      </c>
    </row>
    <row r="29" spans="1:13">
      <c r="A29" s="584" t="s">
        <v>584</v>
      </c>
      <c r="B29">
        <f>SUM(B4:B28)</f>
        <v>261</v>
      </c>
      <c r="C29" s="586">
        <f>AVERAGEA(C4:C28)</f>
        <v>288538.59999999998</v>
      </c>
      <c r="D29" s="586">
        <f>AVERAGEA(D4:D28)</f>
        <v>435110.40000000002</v>
      </c>
      <c r="E29" s="586">
        <f>AVERAGEA(E4:E28)</f>
        <v>140184</v>
      </c>
      <c r="F29">
        <f>AVERAGEA(F4:F28)</f>
        <v>525</v>
      </c>
      <c r="G29" s="587">
        <f>AVERAGEA(G4:G28)</f>
        <v>547.9494447236392</v>
      </c>
      <c r="H29" s="588" t="s">
        <v>585</v>
      </c>
      <c r="I29" s="589">
        <f>(SUM(I4:I28))/B29</f>
        <v>285740.64367816091</v>
      </c>
      <c r="J29" s="588" t="s">
        <v>586</v>
      </c>
      <c r="K29" s="589">
        <f>(SUM(K4:K28))/B29</f>
        <v>524.14942528735628</v>
      </c>
      <c r="L29" s="588" t="s">
        <v>587</v>
      </c>
      <c r="M29" s="590">
        <f>I29/K29</f>
        <v>545.15111510712484</v>
      </c>
    </row>
    <row r="32" spans="1:13">
      <c r="H32" s="591" t="s">
        <v>588</v>
      </c>
    </row>
    <row r="33" spans="1:8" ht="17.25">
      <c r="A33" s="583" t="s">
        <v>589</v>
      </c>
    </row>
    <row r="35" spans="1:8">
      <c r="A35" t="s">
        <v>590</v>
      </c>
      <c r="E35" t="s">
        <v>591</v>
      </c>
      <c r="H35" s="591"/>
    </row>
    <row r="36" spans="1:8">
      <c r="A36" t="s">
        <v>592</v>
      </c>
      <c r="C36" s="592" t="s">
        <v>593</v>
      </c>
      <c r="E36" t="s">
        <v>594</v>
      </c>
      <c r="G36" s="592" t="s">
        <v>595</v>
      </c>
    </row>
    <row r="37" spans="1:8">
      <c r="A37" t="s">
        <v>596</v>
      </c>
      <c r="C37" s="592" t="s">
        <v>597</v>
      </c>
      <c r="E37" t="s">
        <v>598</v>
      </c>
      <c r="G37" s="592" t="s">
        <v>599</v>
      </c>
    </row>
    <row r="38" spans="1:8">
      <c r="A38" t="s">
        <v>600</v>
      </c>
      <c r="C38" s="593" t="s">
        <v>601</v>
      </c>
      <c r="E38" t="s">
        <v>602</v>
      </c>
      <c r="G38" s="592" t="s">
        <v>603</v>
      </c>
    </row>
    <row r="39" spans="1:8">
      <c r="A39" s="853" t="s">
        <v>604</v>
      </c>
      <c r="B39" s="853"/>
      <c r="C39" s="592" t="s">
        <v>605</v>
      </c>
      <c r="E39" t="s">
        <v>606</v>
      </c>
      <c r="G39" s="592" t="s">
        <v>607</v>
      </c>
    </row>
    <row r="40" spans="1:8">
      <c r="A40" t="s">
        <v>608</v>
      </c>
      <c r="C40" s="594" t="s">
        <v>609</v>
      </c>
      <c r="E40" t="s">
        <v>610</v>
      </c>
      <c r="G40" s="592" t="s">
        <v>611</v>
      </c>
      <c r="H40" t="s">
        <v>612</v>
      </c>
    </row>
    <row r="41" spans="1:8">
      <c r="F41" t="s">
        <v>613</v>
      </c>
      <c r="G41" s="592" t="s">
        <v>614</v>
      </c>
    </row>
    <row r="42" spans="1:8">
      <c r="E42" t="s">
        <v>615</v>
      </c>
    </row>
    <row r="43" spans="1:8">
      <c r="E43" t="s">
        <v>616</v>
      </c>
      <c r="G43" s="592" t="s">
        <v>617</v>
      </c>
      <c r="H43" t="s">
        <v>618</v>
      </c>
    </row>
    <row r="44" spans="1:8">
      <c r="E44" t="s">
        <v>619</v>
      </c>
      <c r="G44" s="592" t="s">
        <v>605</v>
      </c>
      <c r="H44" t="s">
        <v>620</v>
      </c>
    </row>
    <row r="45" spans="1:8">
      <c r="E45" t="s">
        <v>621</v>
      </c>
      <c r="G45" s="592" t="s">
        <v>622</v>
      </c>
      <c r="H45" t="s">
        <v>623</v>
      </c>
    </row>
    <row r="46" spans="1:8">
      <c r="E46" t="s">
        <v>624</v>
      </c>
      <c r="G46" s="592" t="s">
        <v>625</v>
      </c>
    </row>
    <row r="47" spans="1:8">
      <c r="F47" t="s">
        <v>613</v>
      </c>
      <c r="G47" s="592" t="s">
        <v>626</v>
      </c>
    </row>
    <row r="49" spans="6:16">
      <c r="F49" t="s">
        <v>627</v>
      </c>
      <c r="G49" s="594" t="s">
        <v>628</v>
      </c>
    </row>
    <row r="51" spans="6:16">
      <c r="H51" s="855" t="s">
        <v>629</v>
      </c>
      <c r="I51" s="855"/>
      <c r="J51" s="855"/>
      <c r="K51" s="855"/>
      <c r="L51" s="855"/>
      <c r="M51" s="855"/>
      <c r="N51" s="855"/>
      <c r="O51" s="855"/>
      <c r="P51" s="855"/>
    </row>
  </sheetData>
  <mergeCells count="2">
    <mergeCell ref="A39:B39"/>
    <mergeCell ref="H51:P51"/>
  </mergeCells>
  <phoneticPr fontId="14"/>
  <pageMargins left="0.7" right="0.7" top="0.75" bottom="0.75" header="0.3" footer="0.3"/>
  <pageSetup paperSize="9" scale="7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6"/>
  <sheetViews>
    <sheetView workbookViewId="0">
      <selection activeCell="L31" sqref="L31"/>
    </sheetView>
  </sheetViews>
  <sheetFormatPr defaultRowHeight="13.5"/>
  <cols>
    <col min="1" max="1" width="8" customWidth="1"/>
    <col min="2" max="2" width="2.25" customWidth="1"/>
    <col min="3" max="3" width="2.875" customWidth="1"/>
    <col min="4" max="4" width="2.5" customWidth="1"/>
    <col min="5" max="5" width="2.75" customWidth="1"/>
    <col min="6" max="6" width="2.625" customWidth="1"/>
    <col min="7" max="7" width="3.625" customWidth="1"/>
    <col min="8" max="8" width="2.5" customWidth="1"/>
    <col min="9" max="9" width="7.5" customWidth="1"/>
    <col min="10" max="10" width="3" customWidth="1"/>
    <col min="11" max="11" width="3.75" customWidth="1"/>
    <col min="12" max="12" width="1.875" customWidth="1"/>
    <col min="13" max="13" width="2.75" customWidth="1"/>
    <col min="14" max="14" width="2.25" customWidth="1"/>
    <col min="15" max="15" width="3.875" customWidth="1"/>
    <col min="16" max="16" width="2.75" customWidth="1"/>
    <col min="17" max="17" width="9.375" customWidth="1"/>
    <col min="18" max="18" width="3" customWidth="1"/>
  </cols>
  <sheetData>
    <row r="2" spans="1:25">
      <c r="A2" s="853" t="s">
        <v>630</v>
      </c>
      <c r="B2" s="853"/>
      <c r="C2" s="853"/>
      <c r="D2" s="853"/>
      <c r="E2" s="853"/>
      <c r="F2" s="853"/>
      <c r="G2" s="853"/>
      <c r="H2" s="853"/>
      <c r="I2" s="853"/>
      <c r="J2" s="853"/>
      <c r="K2" s="853"/>
      <c r="L2" s="853"/>
      <c r="M2" s="853"/>
      <c r="N2" s="853"/>
      <c r="O2" s="853"/>
      <c r="P2" s="853"/>
      <c r="Q2" s="853"/>
      <c r="R2" s="853"/>
      <c r="S2" s="853"/>
      <c r="T2" s="853"/>
      <c r="U2" s="853"/>
      <c r="V2" s="853"/>
      <c r="W2" s="853"/>
      <c r="X2" s="853"/>
    </row>
    <row r="3" spans="1:25">
      <c r="C3" s="586"/>
    </row>
    <row r="4" spans="1:25">
      <c r="A4" s="853" t="s">
        <v>631</v>
      </c>
      <c r="B4" s="853"/>
      <c r="C4" s="853"/>
      <c r="D4" s="853"/>
      <c r="E4" s="853"/>
      <c r="F4" s="853"/>
      <c r="G4" s="853"/>
      <c r="H4" s="853"/>
      <c r="I4" s="853"/>
      <c r="J4" s="853"/>
      <c r="K4" s="853"/>
      <c r="L4" s="853"/>
      <c r="M4" s="853"/>
      <c r="N4" s="853"/>
      <c r="O4" s="853"/>
      <c r="P4" s="853"/>
      <c r="Q4" s="853"/>
      <c r="R4" s="853"/>
      <c r="S4" s="853"/>
      <c r="T4" s="853"/>
      <c r="U4" s="853"/>
      <c r="V4" s="853"/>
      <c r="W4" s="853"/>
      <c r="X4" s="853"/>
      <c r="Y4" s="853"/>
    </row>
    <row r="6" spans="1:25">
      <c r="A6" s="586">
        <v>272500</v>
      </c>
      <c r="B6" t="s">
        <v>632</v>
      </c>
      <c r="C6" t="s">
        <v>633</v>
      </c>
      <c r="D6">
        <v>2</v>
      </c>
      <c r="E6" t="s">
        <v>634</v>
      </c>
      <c r="F6" t="s">
        <v>633</v>
      </c>
      <c r="G6">
        <v>0.5</v>
      </c>
      <c r="H6" t="s">
        <v>633</v>
      </c>
      <c r="I6">
        <v>7.2800000000000004E-2</v>
      </c>
      <c r="J6" t="s">
        <v>633</v>
      </c>
      <c r="K6" s="595">
        <v>0.5</v>
      </c>
      <c r="L6" s="596" t="s">
        <v>633</v>
      </c>
      <c r="M6">
        <v>8</v>
      </c>
      <c r="N6" s="596" t="s">
        <v>635</v>
      </c>
      <c r="O6" s="587">
        <v>12</v>
      </c>
      <c r="P6" t="s">
        <v>636</v>
      </c>
      <c r="Q6" s="597">
        <f>A6*D6*G6*I6*K6*(M6/O6)</f>
        <v>6612.6666666666661</v>
      </c>
      <c r="R6" t="s">
        <v>632</v>
      </c>
      <c r="S6" t="s">
        <v>637</v>
      </c>
    </row>
  </sheetData>
  <mergeCells count="2">
    <mergeCell ref="A2:X2"/>
    <mergeCell ref="A4:Y4"/>
  </mergeCells>
  <phoneticPr fontId="14"/>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C000"/>
    <pageSetUpPr fitToPage="1"/>
  </sheetPr>
  <dimension ref="B1:AR40"/>
  <sheetViews>
    <sheetView showGridLines="0" view="pageBreakPreview" zoomScaleSheetLayoutView="100" workbookViewId="0">
      <pane xSplit="3" ySplit="8" topLeftCell="D26" activePane="bottomRight" state="frozen"/>
      <selection pane="topRight" activeCell="D1" sqref="D1"/>
      <selection pane="bottomLeft" activeCell="A9" sqref="A9"/>
      <selection pane="bottomRight" activeCell="D35" sqref="D35"/>
    </sheetView>
  </sheetViews>
  <sheetFormatPr defaultRowHeight="12"/>
  <cols>
    <col min="1" max="1" width="2.625" style="11" customWidth="1"/>
    <col min="2" max="2" width="5.875" style="11" customWidth="1"/>
    <col min="3" max="3" width="18.5" style="11" customWidth="1"/>
    <col min="4" max="39" width="6.25" style="11" customWidth="1"/>
    <col min="40" max="40" width="9.125" style="11" bestFit="1" customWidth="1"/>
    <col min="41" max="41" width="4.75" style="11" customWidth="1"/>
    <col min="42" max="16384" width="9" style="11"/>
  </cols>
  <sheetData>
    <row r="1" spans="2:44" ht="17.25" customHeight="1">
      <c r="B1" s="443" t="s">
        <v>129</v>
      </c>
      <c r="C1" s="444"/>
      <c r="N1" s="36"/>
      <c r="O1" s="36"/>
      <c r="Z1" s="36"/>
      <c r="AA1" s="36"/>
      <c r="AL1" s="36"/>
      <c r="AM1" s="36" t="s">
        <v>130</v>
      </c>
    </row>
    <row r="2" spans="2:44">
      <c r="B2" s="745" t="s">
        <v>131</v>
      </c>
      <c r="C2" s="745"/>
      <c r="D2" s="746">
        <v>1</v>
      </c>
      <c r="E2" s="746"/>
      <c r="F2" s="746"/>
      <c r="G2" s="741">
        <v>2</v>
      </c>
      <c r="H2" s="741"/>
      <c r="I2" s="741"/>
      <c r="J2" s="741">
        <v>3</v>
      </c>
      <c r="K2" s="741"/>
      <c r="L2" s="741"/>
      <c r="M2" s="741">
        <v>4</v>
      </c>
      <c r="N2" s="741"/>
      <c r="O2" s="741"/>
      <c r="P2" s="741">
        <v>5</v>
      </c>
      <c r="Q2" s="741"/>
      <c r="R2" s="741"/>
      <c r="S2" s="741">
        <v>6</v>
      </c>
      <c r="T2" s="741"/>
      <c r="U2" s="741"/>
      <c r="V2" s="741">
        <v>7</v>
      </c>
      <c r="W2" s="741"/>
      <c r="X2" s="741"/>
      <c r="Y2" s="741">
        <v>8</v>
      </c>
      <c r="Z2" s="741"/>
      <c r="AA2" s="741"/>
      <c r="AB2" s="741">
        <v>9</v>
      </c>
      <c r="AC2" s="741"/>
      <c r="AD2" s="741"/>
      <c r="AE2" s="741">
        <v>10</v>
      </c>
      <c r="AF2" s="741"/>
      <c r="AG2" s="741"/>
      <c r="AH2" s="741">
        <v>11</v>
      </c>
      <c r="AI2" s="741"/>
      <c r="AJ2" s="741"/>
      <c r="AK2" s="751">
        <v>12</v>
      </c>
      <c r="AL2" s="751"/>
      <c r="AM2" s="751"/>
      <c r="AN2" s="750" t="s">
        <v>132</v>
      </c>
    </row>
    <row r="3" spans="2:44">
      <c r="B3" s="745"/>
      <c r="C3" s="745"/>
      <c r="D3" s="37" t="s">
        <v>133</v>
      </c>
      <c r="E3" s="37" t="s">
        <v>134</v>
      </c>
      <c r="F3" s="37" t="s">
        <v>135</v>
      </c>
      <c r="G3" s="37" t="s">
        <v>133</v>
      </c>
      <c r="H3" s="37" t="s">
        <v>134</v>
      </c>
      <c r="I3" s="37" t="s">
        <v>135</v>
      </c>
      <c r="J3" s="37" t="s">
        <v>133</v>
      </c>
      <c r="K3" s="37" t="s">
        <v>134</v>
      </c>
      <c r="L3" s="37" t="s">
        <v>135</v>
      </c>
      <c r="M3" s="37" t="s">
        <v>133</v>
      </c>
      <c r="N3" s="37" t="s">
        <v>134</v>
      </c>
      <c r="O3" s="37" t="s">
        <v>135</v>
      </c>
      <c r="P3" s="38" t="s">
        <v>133</v>
      </c>
      <c r="Q3" s="37" t="s">
        <v>134</v>
      </c>
      <c r="R3" s="37" t="s">
        <v>135</v>
      </c>
      <c r="S3" s="37" t="s">
        <v>133</v>
      </c>
      <c r="T3" s="37" t="s">
        <v>134</v>
      </c>
      <c r="U3" s="37" t="s">
        <v>135</v>
      </c>
      <c r="V3" s="37" t="s">
        <v>133</v>
      </c>
      <c r="W3" s="37" t="s">
        <v>134</v>
      </c>
      <c r="X3" s="37" t="s">
        <v>135</v>
      </c>
      <c r="Y3" s="37" t="s">
        <v>133</v>
      </c>
      <c r="Z3" s="37" t="s">
        <v>134</v>
      </c>
      <c r="AA3" s="37" t="s">
        <v>135</v>
      </c>
      <c r="AB3" s="38" t="s">
        <v>133</v>
      </c>
      <c r="AC3" s="37" t="s">
        <v>134</v>
      </c>
      <c r="AD3" s="37" t="s">
        <v>135</v>
      </c>
      <c r="AE3" s="37" t="s">
        <v>133</v>
      </c>
      <c r="AF3" s="37" t="s">
        <v>134</v>
      </c>
      <c r="AG3" s="37" t="s">
        <v>135</v>
      </c>
      <c r="AH3" s="37" t="s">
        <v>133</v>
      </c>
      <c r="AI3" s="37" t="s">
        <v>134</v>
      </c>
      <c r="AJ3" s="37" t="s">
        <v>135</v>
      </c>
      <c r="AK3" s="37" t="s">
        <v>133</v>
      </c>
      <c r="AL3" s="37" t="s">
        <v>134</v>
      </c>
      <c r="AM3" s="39" t="s">
        <v>135</v>
      </c>
      <c r="AN3" s="750"/>
    </row>
    <row r="4" spans="2:44" ht="13.5">
      <c r="B4" s="747" t="s">
        <v>275</v>
      </c>
      <c r="C4" s="742" t="s">
        <v>276</v>
      </c>
      <c r="D4" s="40"/>
      <c r="E4" s="41"/>
      <c r="F4" s="41"/>
      <c r="G4" s="41"/>
      <c r="H4" s="41"/>
      <c r="I4" s="42"/>
      <c r="J4" s="42"/>
      <c r="K4" s="41"/>
      <c r="L4" s="41"/>
      <c r="M4" s="41"/>
      <c r="N4" s="41"/>
      <c r="O4" s="41"/>
      <c r="P4" s="40"/>
      <c r="Q4" s="41"/>
      <c r="R4" s="41"/>
      <c r="S4" s="41"/>
      <c r="T4" s="41"/>
      <c r="U4" s="42"/>
      <c r="V4" s="42"/>
      <c r="W4" s="41"/>
      <c r="X4" s="41"/>
      <c r="Y4" s="41"/>
      <c r="Z4" s="41"/>
      <c r="AA4" s="41"/>
      <c r="AB4" s="40"/>
      <c r="AC4" s="41"/>
      <c r="AD4" s="41"/>
      <c r="AE4" s="41"/>
      <c r="AF4" s="41"/>
      <c r="AG4" s="42"/>
      <c r="AH4" s="42"/>
      <c r="AI4" s="41"/>
      <c r="AJ4" s="41"/>
      <c r="AK4" s="41"/>
      <c r="AL4" s="41"/>
      <c r="AM4" s="41"/>
      <c r="AN4" s="43"/>
      <c r="AP4" s="10"/>
      <c r="AQ4" s="10"/>
      <c r="AR4" s="10"/>
    </row>
    <row r="5" spans="2:44" ht="12" customHeight="1">
      <c r="B5" s="748"/>
      <c r="C5" s="743"/>
      <c r="D5" s="40" t="s">
        <v>136</v>
      </c>
      <c r="E5" s="41"/>
      <c r="F5" s="41"/>
      <c r="G5" s="41"/>
      <c r="H5" s="41"/>
      <c r="I5" s="41"/>
      <c r="J5" s="41"/>
      <c r="K5" s="41"/>
      <c r="L5" s="42"/>
      <c r="M5" s="41"/>
      <c r="N5" s="671" t="s">
        <v>533</v>
      </c>
      <c r="O5" s="671" t="s">
        <v>534</v>
      </c>
      <c r="P5" s="671" t="s">
        <v>534</v>
      </c>
      <c r="Q5" s="672" t="s">
        <v>534</v>
      </c>
      <c r="R5" s="672" t="s">
        <v>535</v>
      </c>
      <c r="S5" s="41"/>
      <c r="T5" s="41"/>
      <c r="U5" s="42" t="s">
        <v>536</v>
      </c>
      <c r="V5" s="41"/>
      <c r="W5" s="41"/>
      <c r="X5" s="42" t="s">
        <v>536</v>
      </c>
      <c r="Y5" s="41"/>
      <c r="Z5" s="41"/>
      <c r="AA5" s="42" t="s">
        <v>536</v>
      </c>
      <c r="AB5" s="41"/>
      <c r="AC5" s="41"/>
      <c r="AD5" s="42" t="s">
        <v>536</v>
      </c>
      <c r="AE5" s="41"/>
      <c r="AF5" s="41"/>
      <c r="AG5" s="42" t="s">
        <v>536</v>
      </c>
      <c r="AH5" s="41"/>
      <c r="AI5" s="41"/>
      <c r="AJ5" s="671" t="s">
        <v>537</v>
      </c>
      <c r="AK5" s="41"/>
      <c r="AL5" s="41"/>
      <c r="AM5" s="41"/>
      <c r="AN5" s="43"/>
      <c r="AP5" s="10"/>
      <c r="AQ5" s="10"/>
      <c r="AR5" s="10"/>
    </row>
    <row r="6" spans="2:44" ht="12" customHeight="1">
      <c r="B6" s="748"/>
      <c r="C6" s="743"/>
      <c r="D6" s="40"/>
      <c r="E6" s="41"/>
      <c r="F6" s="41"/>
      <c r="G6" s="41"/>
      <c r="H6" s="42"/>
      <c r="I6" s="42"/>
      <c r="J6" s="42"/>
      <c r="K6" s="42"/>
      <c r="L6" s="41"/>
      <c r="M6" s="41"/>
      <c r="N6" s="671"/>
      <c r="O6" s="671"/>
      <c r="P6" s="671"/>
      <c r="Q6" s="671" t="s">
        <v>538</v>
      </c>
      <c r="R6" s="671"/>
      <c r="S6" s="41"/>
      <c r="T6" s="41"/>
      <c r="U6" s="42" t="s">
        <v>539</v>
      </c>
      <c r="V6" s="42"/>
      <c r="W6" s="42"/>
      <c r="X6" s="42" t="s">
        <v>539</v>
      </c>
      <c r="Y6" s="41"/>
      <c r="Z6" s="41"/>
      <c r="AA6" s="42" t="s">
        <v>539</v>
      </c>
      <c r="AB6" s="41"/>
      <c r="AC6" s="41"/>
      <c r="AD6" s="41"/>
      <c r="AE6" s="41"/>
      <c r="AF6" s="671"/>
      <c r="AG6" s="671"/>
      <c r="AH6" s="671"/>
      <c r="AI6" s="671"/>
      <c r="AJ6" s="671"/>
      <c r="AK6" s="41"/>
      <c r="AL6" s="41"/>
      <c r="AM6" s="41"/>
      <c r="AN6" s="43"/>
      <c r="AP6" s="10"/>
      <c r="AQ6" s="10"/>
      <c r="AR6" s="10"/>
    </row>
    <row r="7" spans="2:44" ht="12" customHeight="1">
      <c r="B7" s="748"/>
      <c r="C7" s="743"/>
      <c r="D7" s="40"/>
      <c r="E7" s="41"/>
      <c r="F7" s="41"/>
      <c r="G7" s="41"/>
      <c r="H7" s="41"/>
      <c r="I7" s="41"/>
      <c r="J7" s="41"/>
      <c r="K7" s="41"/>
      <c r="L7" s="41"/>
      <c r="M7" s="41"/>
      <c r="N7" s="671"/>
      <c r="O7" s="671"/>
      <c r="P7" s="671"/>
      <c r="Q7" s="671"/>
      <c r="R7" s="41" t="s">
        <v>540</v>
      </c>
      <c r="S7" s="41" t="s">
        <v>541</v>
      </c>
      <c r="T7" s="41" t="s">
        <v>541</v>
      </c>
      <c r="U7" s="41" t="s">
        <v>541</v>
      </c>
      <c r="V7" s="41" t="s">
        <v>541</v>
      </c>
      <c r="W7" s="41" t="s">
        <v>541</v>
      </c>
      <c r="X7" s="41" t="s">
        <v>541</v>
      </c>
      <c r="Y7" s="41" t="s">
        <v>541</v>
      </c>
      <c r="Z7" s="41" t="s">
        <v>541</v>
      </c>
      <c r="AA7" s="41" t="s">
        <v>541</v>
      </c>
      <c r="AB7" s="41" t="s">
        <v>541</v>
      </c>
      <c r="AC7" s="41" t="s">
        <v>541</v>
      </c>
      <c r="AD7" s="41" t="s">
        <v>541</v>
      </c>
      <c r="AE7" s="41" t="s">
        <v>541</v>
      </c>
      <c r="AF7" s="41" t="s">
        <v>541</v>
      </c>
      <c r="AG7" s="41" t="s">
        <v>541</v>
      </c>
      <c r="AH7" s="41" t="s">
        <v>541</v>
      </c>
      <c r="AI7" s="41" t="s">
        <v>541</v>
      </c>
      <c r="AJ7" s="696" t="s">
        <v>670</v>
      </c>
      <c r="AK7" s="41"/>
      <c r="AL7" s="41"/>
      <c r="AM7" s="41"/>
      <c r="AN7" s="43"/>
      <c r="AP7" s="10"/>
      <c r="AQ7" s="10"/>
      <c r="AR7" s="10"/>
    </row>
    <row r="8" spans="2:44" ht="12" customHeight="1">
      <c r="B8" s="749"/>
      <c r="C8" s="744"/>
      <c r="D8" s="44"/>
      <c r="E8" s="45"/>
      <c r="F8" s="45"/>
      <c r="G8" s="45"/>
      <c r="H8" s="45"/>
      <c r="I8" s="45"/>
      <c r="J8" s="45"/>
      <c r="K8" s="45"/>
      <c r="L8" s="45"/>
      <c r="M8" s="45"/>
      <c r="N8" s="45"/>
      <c r="O8" s="45"/>
      <c r="P8" s="44"/>
      <c r="Q8" s="45"/>
      <c r="R8" s="45"/>
      <c r="S8" s="45"/>
      <c r="T8" s="45"/>
      <c r="U8" s="45"/>
      <c r="V8" s="45"/>
      <c r="W8" s="45"/>
      <c r="X8" s="45"/>
      <c r="Y8" s="45"/>
      <c r="Z8" s="45"/>
      <c r="AA8" s="45"/>
      <c r="AB8" s="44"/>
      <c r="AC8" s="45"/>
      <c r="AD8" s="45"/>
      <c r="AE8" s="45"/>
      <c r="AF8" s="45"/>
      <c r="AG8" s="45"/>
      <c r="AH8" s="45"/>
      <c r="AI8" s="45"/>
      <c r="AJ8" s="45"/>
      <c r="AK8" s="45"/>
      <c r="AL8" s="45"/>
      <c r="AM8" s="45"/>
      <c r="AN8" s="43"/>
      <c r="AP8" s="10"/>
      <c r="AQ8" s="10"/>
      <c r="AR8" s="10"/>
    </row>
    <row r="9" spans="2:44" ht="15" customHeight="1">
      <c r="B9" s="739" t="str">
        <f>①技術体系!A6</f>
        <v>経産牛導入</v>
      </c>
      <c r="C9" s="740"/>
      <c r="D9" s="379">
        <f>SUMPRODUCT((③労働時間!$A$5:$A$353=作業体系表!$B9)*(③労働時間!$B$5:$B$353="1月上旬")*(③労働時間!$J$5:$J$353))</f>
        <v>0</v>
      </c>
      <c r="E9" s="379">
        <f>SUMPRODUCT((③労働時間!$A$5:$A$353=作業体系表!$B9)*(③労働時間!$B$5:$B$353="1月中旬")*(③労働時間!$J$5:$J$353))</f>
        <v>0</v>
      </c>
      <c r="F9" s="379">
        <f>SUMPRODUCT((③労働時間!$A$5:$A$353=作業体系表!$B9)*(③労働時間!$B$5:$B$353="1月下旬")*(③労働時間!$J$5:$J$353))</f>
        <v>0</v>
      </c>
      <c r="G9" s="379">
        <f>SUMPRODUCT((③労働時間!$A$5:$A$353=作業体系表!$B9)*(③労働時間!$B$5:$B$353="2月上旬")*(③労働時間!$J$5:$J$353))</f>
        <v>0</v>
      </c>
      <c r="H9" s="379">
        <f>SUMPRODUCT((③労働時間!$A$5:$A$353=作業体系表!$B9)*(③労働時間!$B$5:$B$353="2月中旬")*(③労働時間!$J$5:$J$353))</f>
        <v>0</v>
      </c>
      <c r="I9" s="379">
        <f>SUMPRODUCT((③労働時間!$A$5:$A$353=作業体系表!$B9)*(③労働時間!$B$5:$B$353="2月下旬")*(③労働時間!$J$5:$J$353))</f>
        <v>0</v>
      </c>
      <c r="J9" s="379">
        <f>SUMPRODUCT((③労働時間!$A$5:$A$353=作業体系表!$B9)*(③労働時間!$B$5:$B$353="3月上旬")*(③労働時間!$J$5:$J$353))</f>
        <v>0</v>
      </c>
      <c r="K9" s="379">
        <f>SUMPRODUCT((③労働時間!$A$5:$A$353=作業体系表!$B9)*(③労働時間!$B$5:$B$353="3月中旬")*(③労働時間!$J$5:$J$353))</f>
        <v>0</v>
      </c>
      <c r="L9" s="379">
        <f>SUMPRODUCT((③労働時間!$A$5:$A$353=作業体系表!$B9)*(③労働時間!$B$5:$B$353="3月下旬")*(③労働時間!$J$5:$J$353))</f>
        <v>0</v>
      </c>
      <c r="M9" s="379">
        <f>SUMPRODUCT((③労働時間!$A$5:$A$353=作業体系表!$B9)*(③労働時間!$B$5:$B$353="4月上旬")*(③労働時間!$J$5:$J$353))</f>
        <v>0</v>
      </c>
      <c r="N9" s="379">
        <f>SUMPRODUCT((③労働時間!$A$5:$A$353=作業体系表!$B9)*(③労働時間!$B$5:$B$353="4月中旬")*(③労働時間!$J$5:$J$353))</f>
        <v>0.2</v>
      </c>
      <c r="O9" s="379">
        <f>SUMPRODUCT((③労働時間!$A$5:$A$353=作業体系表!$B9)*(③労働時間!$B$5:$B$353="4月下旬")*(③労働時間!$J$5:$J$353))</f>
        <v>0</v>
      </c>
      <c r="P9" s="380">
        <f>SUMPRODUCT((③労働時間!$A$5:$A$353=作業体系表!$B9)*(③労働時間!$B$5:$B$353="5月上旬")*(③労働時間!$J$5:$J$353))</f>
        <v>0</v>
      </c>
      <c r="Q9" s="379">
        <f>SUMPRODUCT((③労働時間!$A$5:$A$353=作業体系表!$B9)*(③労働時間!$B$5:$B$353="5月中旬")*(③労働時間!$J$5:$J$353))</f>
        <v>0</v>
      </c>
      <c r="R9" s="379">
        <f>SUMPRODUCT((③労働時間!$A$5:$A$353=作業体系表!$B9)*(③労働時間!$B$5:$B$353="5月下旬")*(③労働時間!$J$5:$J$353))</f>
        <v>0</v>
      </c>
      <c r="S9" s="379">
        <f>SUMPRODUCT((③労働時間!$A$5:$A$353=作業体系表!$B9)*(③労働時間!$B$5:$B$353="6月上旬")*(③労働時間!$J$5:$J$353))</f>
        <v>0</v>
      </c>
      <c r="T9" s="379">
        <f>SUMPRODUCT((③労働時間!$A$5:$A$353=作業体系表!$B9)*(③労働時間!$B$5:$B$353="6月中旬")*(③労働時間!$J$5:$J$353))</f>
        <v>0</v>
      </c>
      <c r="U9" s="379">
        <f>SUMPRODUCT((③労働時間!$A$5:$A$353=作業体系表!$B9)*(③労働時間!$B$5:$B$353="6月下旬")*(③労働時間!$J$5:$J$353))</f>
        <v>0</v>
      </c>
      <c r="V9" s="379">
        <f>SUMPRODUCT((③労働時間!$A$5:$A$353=作業体系表!$B9)*(③労働時間!$B$5:$B$353="7月上旬")*(③労働時間!$J$5:$J$353))</f>
        <v>0</v>
      </c>
      <c r="W9" s="379">
        <f>SUMPRODUCT((③労働時間!$A$5:$A$353=作業体系表!$B9)*(③労働時間!$B$5:$B$353="7月中旬")*(③労働時間!$J$5:$J$353))</f>
        <v>0</v>
      </c>
      <c r="X9" s="379">
        <f>SUMPRODUCT((③労働時間!$A$5:$A$353=作業体系表!$B9)*(③労働時間!$B$5:$B$353="7月下旬")*(③労働時間!$J$5:$J$353))</f>
        <v>0</v>
      </c>
      <c r="Y9" s="379">
        <f>SUMPRODUCT((③労働時間!$A$5:$A$353=作業体系表!$B9)*(③労働時間!$B$5:$B$353="8月上旬")*(③労働時間!$J$5:$J$353))</f>
        <v>0</v>
      </c>
      <c r="Z9" s="379">
        <f>SUMPRODUCT((③労働時間!$A$5:$A$353=作業体系表!$B9)*(③労働時間!$B$5:$B$353="8月中旬")*(③労働時間!$J$5:$J$353))</f>
        <v>0</v>
      </c>
      <c r="AA9" s="379">
        <f>SUMPRODUCT((③労働時間!$A$5:$A$353=作業体系表!$B9)*(③労働時間!$B$5:$B$353="8月下旬")*(③労働時間!$J$5:$J$353))</f>
        <v>0</v>
      </c>
      <c r="AB9" s="380">
        <f>SUMPRODUCT((③労働時間!$A$5:$A$353=作業体系表!$B9)*(③労働時間!$B$5:$B$353="9月上旬")*(③労働時間!$J$5:$J$353))</f>
        <v>0</v>
      </c>
      <c r="AC9" s="379">
        <f>SUMPRODUCT((③労働時間!$A$5:$A$353=作業体系表!$B9)*(③労働時間!$B$5:$B$353="9月中旬")*(③労働時間!$J$5:$J$353))</f>
        <v>0</v>
      </c>
      <c r="AD9" s="379">
        <f>SUMPRODUCT((③労働時間!$A$5:$A$353=作業体系表!$B9)*(③労働時間!$B$5:$B$353="9月下旬")*(③労働時間!$J$5:$J$353))</f>
        <v>0</v>
      </c>
      <c r="AE9" s="379">
        <f>SUMPRODUCT((③労働時間!$A$5:$A$353=作業体系表!$B9)*(③労働時間!$B$5:$B$353="10月上旬")*(③労働時間!$J$5:$J$353))</f>
        <v>0</v>
      </c>
      <c r="AF9" s="379">
        <f>SUMPRODUCT((③労働時間!$A$5:$A$353=作業体系表!$B9)*(③労働時間!$B$5:$B$353="10月中旬")*(③労働時間!$J$5:$J$353))</f>
        <v>0</v>
      </c>
      <c r="AG9" s="379">
        <f>SUMPRODUCT((③労働時間!$A$5:$A$353=作業体系表!$B9)*(③労働時間!$B$5:$B$353="10月下旬")*(③労働時間!$J$5:$J$353))</f>
        <v>0</v>
      </c>
      <c r="AH9" s="379">
        <f>SUMPRODUCT((③労働時間!$A$5:$A$353=作業体系表!$B9)*(③労働時間!$B$5:$B$353="11月上旬")*(③労働時間!$J$5:$J$353))</f>
        <v>0</v>
      </c>
      <c r="AI9" s="379">
        <f>SUMPRODUCT((③労働時間!$A$5:$A$353=作業体系表!$B9)*(③労働時間!$B$5:$B$353="11月中旬")*(③労働時間!$J$5:$J$353))</f>
        <v>0</v>
      </c>
      <c r="AJ9" s="379">
        <f>SUMPRODUCT((③労働時間!$A$5:$A$353=作業体系表!$B9)*(③労働時間!$B$5:$B$353="11月下旬")*(③労働時間!$J$5:$J$353))</f>
        <v>0</v>
      </c>
      <c r="AK9" s="379">
        <f>SUMPRODUCT((③労働時間!$A$5:$A$353=作業体系表!$B9)*(③労働時間!$B$5:$B$353="12月上旬")*(③労働時間!$J$5:$J$353))</f>
        <v>0</v>
      </c>
      <c r="AL9" s="379">
        <f>SUMPRODUCT((③労働時間!$A$5:$A$353=作業体系表!$B9)*(③労働時間!$B$5:$B$353="12月中旬")*(③労働時間!$J$5:$J$353))</f>
        <v>0</v>
      </c>
      <c r="AM9" s="381">
        <f>SUMPRODUCT((③労働時間!$A$5:$A$353=作業体系表!$B9)*(③労働時間!$B$5:$B$353="12月下旬")*(③労働時間!$J$5:$J$353))</f>
        <v>0</v>
      </c>
      <c r="AN9" s="382">
        <f>SUM(D9:AM9)</f>
        <v>0.2</v>
      </c>
      <c r="AP9" s="10"/>
      <c r="AQ9" s="10"/>
      <c r="AR9" s="10"/>
    </row>
    <row r="10" spans="2:44" ht="15" customHeight="1">
      <c r="B10" s="737" t="str">
        <f>①技術体系!A7</f>
        <v>放牧馴致</v>
      </c>
      <c r="C10" s="738"/>
      <c r="D10" s="383">
        <f>SUMPRODUCT((③労働時間!$A$5:$A$353=作業体系表!$B10)*(③労働時間!$B$5:$B$353="1月上旬")*(③労働時間!$J$5:$J$353))</f>
        <v>0</v>
      </c>
      <c r="E10" s="383">
        <f>SUMPRODUCT((③労働時間!$A$5:$A$353=作業体系表!$B10)*(③労働時間!$B$5:$B$353="1月中旬")*(③労働時間!$J$5:$J$353))</f>
        <v>0</v>
      </c>
      <c r="F10" s="383">
        <f>SUMPRODUCT((③労働時間!$A$5:$A$353=作業体系表!$B10)*(③労働時間!$B$5:$B$353="1月下旬")*(③労働時間!$J$5:$J$353))</f>
        <v>0</v>
      </c>
      <c r="G10" s="383">
        <f>SUMPRODUCT((③労働時間!$A$5:$A$353=作業体系表!$B10)*(③労働時間!$B$5:$B$353="2月上旬")*(③労働時間!$J$5:$J$353))</f>
        <v>0</v>
      </c>
      <c r="H10" s="383">
        <f>SUMPRODUCT((③労働時間!$A$5:$A$353=作業体系表!$B10)*(③労働時間!$B$5:$B$353="2月中旬")*(③労働時間!$J$5:$J$353))</f>
        <v>0</v>
      </c>
      <c r="I10" s="383">
        <f>SUMPRODUCT((③労働時間!$A$5:$A$353=作業体系表!$B10)*(③労働時間!$B$5:$B$353="2月下旬")*(③労働時間!$J$5:$J$353))</f>
        <v>0</v>
      </c>
      <c r="J10" s="383">
        <f>SUMPRODUCT((③労働時間!$A$5:$A$353=作業体系表!$B10)*(③労働時間!$B$5:$B$353="3月上旬")*(③労働時間!$J$5:$J$353))</f>
        <v>0</v>
      </c>
      <c r="K10" s="383">
        <f>SUMPRODUCT((③労働時間!$A$5:$A$353=作業体系表!$B10)*(③労働時間!$B$5:$B$353="3月中旬")*(③労働時間!$J$5:$J$353))</f>
        <v>0</v>
      </c>
      <c r="L10" s="383">
        <f>SUMPRODUCT((③労働時間!$A$5:$A$353=作業体系表!$B10)*(③労働時間!$B$5:$B$353="3月下旬")*(③労働時間!$J$5:$J$353))</f>
        <v>0</v>
      </c>
      <c r="M10" s="383">
        <f>SUMPRODUCT((③労働時間!$A$5:$A$353=作業体系表!$B10)*(③労働時間!$B$5:$B$353="4月上旬")*(③労働時間!$J$5:$J$353))</f>
        <v>0</v>
      </c>
      <c r="N10" s="383">
        <f>SUMPRODUCT((③労働時間!$A$5:$A$353=作業体系表!$B10)*(③労働時間!$B$5:$B$353="4月中旬")*(③労働時間!$J$5:$J$353))</f>
        <v>0</v>
      </c>
      <c r="O10" s="383">
        <f>SUMPRODUCT((③労働時間!$A$5:$A$353=作業体系表!$B10)*(③労働時間!$B$5:$B$353="4月下旬")*(③労働時間!$J$5:$J$353))</f>
        <v>0</v>
      </c>
      <c r="P10" s="384">
        <f>SUMPRODUCT((③労働時間!$A$5:$A$353=作業体系表!$B10)*(③労働時間!$B$5:$B$353="5月上旬")*(③労働時間!$J$5:$J$353))</f>
        <v>0</v>
      </c>
      <c r="Q10" s="383">
        <f>SUMPRODUCT((③労働時間!$A$5:$A$353=作業体系表!$B10)*(③労働時間!$B$5:$B$353="5月中旬")*(③労働時間!$J$5:$J$353))</f>
        <v>0</v>
      </c>
      <c r="R10" s="383">
        <f>SUMPRODUCT((③労働時間!$A$5:$A$353=作業体系表!$B10)*(③労働時間!$B$5:$B$353="5月下旬")*(③労働時間!$J$5:$J$353))</f>
        <v>0</v>
      </c>
      <c r="S10" s="383">
        <f>SUMPRODUCT((③労働時間!$A$5:$A$353=作業体系表!$B10)*(③労働時間!$B$5:$B$353="6月上旬")*(③労働時間!$J$5:$J$353))</f>
        <v>0</v>
      </c>
      <c r="T10" s="383">
        <f>SUMPRODUCT((③労働時間!$A$5:$A$353=作業体系表!$B10)*(③労働時間!$B$5:$B$353="6月中旬")*(③労働時間!$J$5:$J$353))</f>
        <v>0</v>
      </c>
      <c r="U10" s="383">
        <f>SUMPRODUCT((③労働時間!$A$5:$A$353=作業体系表!$B10)*(③労働時間!$B$5:$B$353="6月下旬")*(③労働時間!$J$5:$J$353))</f>
        <v>0</v>
      </c>
      <c r="V10" s="383">
        <f>SUMPRODUCT((③労働時間!$A$5:$A$353=作業体系表!$B10)*(③労働時間!$B$5:$B$353="7月上旬")*(③労働時間!$J$5:$J$353))</f>
        <v>0</v>
      </c>
      <c r="W10" s="383">
        <f>SUMPRODUCT((③労働時間!$A$5:$A$353=作業体系表!$B10)*(③労働時間!$B$5:$B$353="7月中旬")*(③労働時間!$J$5:$J$353))</f>
        <v>0</v>
      </c>
      <c r="X10" s="383">
        <f>SUMPRODUCT((③労働時間!$A$5:$A$353=作業体系表!$B10)*(③労働時間!$B$5:$B$353="7月下旬")*(③労働時間!$J$5:$J$353))</f>
        <v>0</v>
      </c>
      <c r="Y10" s="383">
        <f>SUMPRODUCT((③労働時間!$A$5:$A$353=作業体系表!$B10)*(③労働時間!$B$5:$B$353="8月上旬")*(③労働時間!$J$5:$J$353))</f>
        <v>0</v>
      </c>
      <c r="Z10" s="383">
        <f>SUMPRODUCT((③労働時間!$A$5:$A$353=作業体系表!$B10)*(③労働時間!$B$5:$B$353="8月中旬")*(③労働時間!$J$5:$J$353))</f>
        <v>0</v>
      </c>
      <c r="AA10" s="383">
        <f>SUMPRODUCT((③労働時間!$A$5:$A$353=作業体系表!$B10)*(③労働時間!$B$5:$B$353="8月下旬")*(③労働時間!$J$5:$J$353))</f>
        <v>0</v>
      </c>
      <c r="AB10" s="384">
        <f>SUMPRODUCT((③労働時間!$A$5:$A$353=作業体系表!$B10)*(③労働時間!$B$5:$B$353="9月上旬")*(③労働時間!$J$5:$J$353))</f>
        <v>0</v>
      </c>
      <c r="AC10" s="383">
        <f>SUMPRODUCT((③労働時間!$A$5:$A$353=作業体系表!$B10)*(③労働時間!$B$5:$B$353="9月中旬")*(③労働時間!$J$5:$J$353))</f>
        <v>0</v>
      </c>
      <c r="AD10" s="383">
        <f>SUMPRODUCT((③労働時間!$A$5:$A$353=作業体系表!$B10)*(③労働時間!$B$5:$B$353="9月下旬")*(③労働時間!$J$5:$J$353))</f>
        <v>0</v>
      </c>
      <c r="AE10" s="383">
        <f>SUMPRODUCT((③労働時間!$A$5:$A$353=作業体系表!$B10)*(③労働時間!$B$5:$B$353="10月上旬")*(③労働時間!$J$5:$J$353))</f>
        <v>0</v>
      </c>
      <c r="AF10" s="383">
        <f>SUMPRODUCT((③労働時間!$A$5:$A$353=作業体系表!$B10)*(③労働時間!$B$5:$B$353="10月中旬")*(③労働時間!$J$5:$J$353))</f>
        <v>0</v>
      </c>
      <c r="AG10" s="383">
        <f>SUMPRODUCT((③労働時間!$A$5:$A$353=作業体系表!$B10)*(③労働時間!$B$5:$B$353="10月下旬")*(③労働時間!$J$5:$J$353))</f>
        <v>0</v>
      </c>
      <c r="AH10" s="383">
        <f>SUMPRODUCT((③労働時間!$A$5:$A$353=作業体系表!$B10)*(③労働時間!$B$5:$B$353="11月上旬")*(③労働時間!$J$5:$J$353))</f>
        <v>0</v>
      </c>
      <c r="AI10" s="383">
        <f>SUMPRODUCT((③労働時間!$A$5:$A$353=作業体系表!$B10)*(③労働時間!$B$5:$B$353="11月中旬")*(③労働時間!$J$5:$J$353))</f>
        <v>0</v>
      </c>
      <c r="AJ10" s="383">
        <f>SUMPRODUCT((③労働時間!$A$5:$A$353=作業体系表!$B10)*(③労働時間!$B$5:$B$353="11月下旬")*(③労働時間!$J$5:$J$353))</f>
        <v>0</v>
      </c>
      <c r="AK10" s="383">
        <f>SUMPRODUCT((③労働時間!$A$5:$A$353=作業体系表!$B10)*(③労働時間!$B$5:$B$353="12月上旬")*(③労働時間!$J$5:$J$353))</f>
        <v>0</v>
      </c>
      <c r="AL10" s="383">
        <f>SUMPRODUCT((③労働時間!$A$5:$A$353=作業体系表!$B10)*(③労働時間!$B$5:$B$353="12月中旬")*(③労働時間!$J$5:$J$353))</f>
        <v>0</v>
      </c>
      <c r="AM10" s="385">
        <f>SUMPRODUCT((③労働時間!$A$5:$A$353=作業体系表!$B10)*(③労働時間!$B$5:$B$353="12月下旬")*(③労働時間!$J$5:$J$353))</f>
        <v>0</v>
      </c>
      <c r="AN10" s="386">
        <f t="shared" ref="AN10:AN28" si="0">SUM(D10:AM10)</f>
        <v>0</v>
      </c>
      <c r="AP10" s="10"/>
      <c r="AQ10" s="10"/>
      <c r="AR10" s="10"/>
    </row>
    <row r="11" spans="2:44" ht="15" customHeight="1">
      <c r="B11" s="737" t="str">
        <f>①技術体系!A8</f>
        <v>下草刈り</v>
      </c>
      <c r="C11" s="738"/>
      <c r="D11" s="383">
        <f>SUMPRODUCT((③労働時間!$A$5:$A$353=作業体系表!$B11)*(③労働時間!$B$5:$B$353="1月上旬")*(③労働時間!$J$5:$J$353))</f>
        <v>0</v>
      </c>
      <c r="E11" s="383">
        <f>SUMPRODUCT((③労働時間!$A$5:$A$353=作業体系表!$B11)*(③労働時間!$B$5:$B$353="1月中旬")*(③労働時間!$J$5:$J$353))</f>
        <v>0</v>
      </c>
      <c r="F11" s="383">
        <f>SUMPRODUCT((③労働時間!$A$5:$A$353=作業体系表!$B11)*(③労働時間!$B$5:$B$353="1月下旬")*(③労働時間!$J$5:$J$353))</f>
        <v>0</v>
      </c>
      <c r="G11" s="383">
        <f>SUMPRODUCT((③労働時間!$A$5:$A$353=作業体系表!$B11)*(③労働時間!$B$5:$B$353="2月上旬")*(③労働時間!$J$5:$J$353))</f>
        <v>0</v>
      </c>
      <c r="H11" s="383">
        <f>SUMPRODUCT((③労働時間!$A$5:$A$353=作業体系表!$B11)*(③労働時間!$B$5:$B$353="2月中旬")*(③労働時間!$J$5:$J$353))</f>
        <v>0</v>
      </c>
      <c r="I11" s="383">
        <f>SUMPRODUCT((③労働時間!$A$5:$A$353=作業体系表!$B11)*(③労働時間!$B$5:$B$353="2月下旬")*(③労働時間!$J$5:$J$353))</f>
        <v>0</v>
      </c>
      <c r="J11" s="383">
        <f>SUMPRODUCT((③労働時間!$A$5:$A$353=作業体系表!$B11)*(③労働時間!$B$5:$B$353="3月上旬")*(③労働時間!$J$5:$J$353))</f>
        <v>0</v>
      </c>
      <c r="K11" s="383">
        <f>SUMPRODUCT((③労働時間!$A$5:$A$353=作業体系表!$B11)*(③労働時間!$B$5:$B$353="3月中旬")*(③労働時間!$J$5:$J$353))</f>
        <v>0</v>
      </c>
      <c r="L11" s="383">
        <f>SUMPRODUCT((③労働時間!$A$5:$A$353=作業体系表!$B11)*(③労働時間!$B$5:$B$353="3月下旬")*(③労働時間!$J$5:$J$353))</f>
        <v>0</v>
      </c>
      <c r="M11" s="383">
        <f>SUMPRODUCT((③労働時間!$A$5:$A$353=作業体系表!$B11)*(③労働時間!$B$5:$B$353="4月上旬")*(③労働時間!$J$5:$J$353))</f>
        <v>0</v>
      </c>
      <c r="N11" s="383">
        <f>SUMPRODUCT((③労働時間!$A$5:$A$353=作業体系表!$B11)*(③労働時間!$B$5:$B$353="4月中旬")*(③労働時間!$J$5:$J$353))</f>
        <v>0</v>
      </c>
      <c r="O11" s="383">
        <f>SUMPRODUCT((③労働時間!$A$5:$A$353=作業体系表!$B11)*(③労働時間!$B$5:$B$353="4月下旬")*(③労働時間!$J$5:$J$353))</f>
        <v>0</v>
      </c>
      <c r="P11" s="384">
        <f>SUMPRODUCT((③労働時間!$A$5:$A$353=作業体系表!$B11)*(③労働時間!$B$5:$B$353="5月上旬")*(③労働時間!$J$5:$J$353))</f>
        <v>0</v>
      </c>
      <c r="Q11" s="383">
        <f>SUMPRODUCT((③労働時間!$A$5:$A$353=作業体系表!$B11)*(③労働時間!$B$5:$B$353="5月中旬")*(③労働時間!$J$5:$J$353))</f>
        <v>0.40000640010240168</v>
      </c>
      <c r="R11" s="383">
        <f>SUMPRODUCT((③労働時間!$A$5:$A$353=作業体系表!$B11)*(③労働時間!$B$5:$B$353="5月下旬")*(③労働時間!$J$5:$J$353))</f>
        <v>0</v>
      </c>
      <c r="S11" s="383">
        <f>SUMPRODUCT((③労働時間!$A$5:$A$353=作業体系表!$B11)*(③労働時間!$B$5:$B$353="6月上旬")*(③労働時間!$J$5:$J$353))</f>
        <v>0</v>
      </c>
      <c r="T11" s="383">
        <f>SUMPRODUCT((③労働時間!$A$5:$A$353=作業体系表!$B11)*(③労働時間!$B$5:$B$353="6月中旬")*(③労働時間!$J$5:$J$353))</f>
        <v>0</v>
      </c>
      <c r="U11" s="383">
        <f>SUMPRODUCT((③労働時間!$A$5:$A$353=作業体系表!$B11)*(③労働時間!$B$5:$B$353="6月下旬")*(③労働時間!$J$5:$J$353))</f>
        <v>0</v>
      </c>
      <c r="V11" s="383">
        <f>SUMPRODUCT((③労働時間!$A$5:$A$353=作業体系表!$B11)*(③労働時間!$B$5:$B$353="7月上旬")*(③労働時間!$J$5:$J$353))</f>
        <v>0</v>
      </c>
      <c r="W11" s="383">
        <f>SUMPRODUCT((③労働時間!$A$5:$A$353=作業体系表!$B11)*(③労働時間!$B$5:$B$353="7月中旬")*(③労働時間!$J$5:$J$353))</f>
        <v>0</v>
      </c>
      <c r="X11" s="383">
        <f>SUMPRODUCT((③労働時間!$A$5:$A$353=作業体系表!$B11)*(③労働時間!$B$5:$B$353="7月下旬")*(③労働時間!$J$5:$J$353))</f>
        <v>0</v>
      </c>
      <c r="Y11" s="383">
        <f>SUMPRODUCT((③労働時間!$A$5:$A$353=作業体系表!$B11)*(③労働時間!$B$5:$B$353="8月上旬")*(③労働時間!$J$5:$J$353))</f>
        <v>0</v>
      </c>
      <c r="Z11" s="383">
        <f>SUMPRODUCT((③労働時間!$A$5:$A$353=作業体系表!$B11)*(③労働時間!$B$5:$B$353="8月中旬")*(③労働時間!$J$5:$J$353))</f>
        <v>0</v>
      </c>
      <c r="AA11" s="383">
        <f>SUMPRODUCT((③労働時間!$A$5:$A$353=作業体系表!$B11)*(③労働時間!$B$5:$B$353="8月下旬")*(③労働時間!$J$5:$J$353))</f>
        <v>0</v>
      </c>
      <c r="AB11" s="384">
        <f>SUMPRODUCT((③労働時間!$A$5:$A$353=作業体系表!$B11)*(③労働時間!$B$5:$B$353="9月上旬")*(③労働時間!$J$5:$J$353))</f>
        <v>0</v>
      </c>
      <c r="AC11" s="383">
        <f>SUMPRODUCT((③労働時間!$A$5:$A$353=作業体系表!$B11)*(③労働時間!$B$5:$B$353="9月中旬")*(③労働時間!$J$5:$J$353))</f>
        <v>0</v>
      </c>
      <c r="AD11" s="383">
        <f>SUMPRODUCT((③労働時間!$A$5:$A$353=作業体系表!$B11)*(③労働時間!$B$5:$B$353="9月下旬")*(③労働時間!$J$5:$J$353))</f>
        <v>0</v>
      </c>
      <c r="AE11" s="383">
        <f>SUMPRODUCT((③労働時間!$A$5:$A$353=作業体系表!$B11)*(③労働時間!$B$5:$B$353="10月上旬")*(③労働時間!$J$5:$J$353))</f>
        <v>0</v>
      </c>
      <c r="AF11" s="383">
        <f>SUMPRODUCT((③労働時間!$A$5:$A$353=作業体系表!$B11)*(③労働時間!$B$5:$B$353="10月中旬")*(③労働時間!$J$5:$J$353))</f>
        <v>0</v>
      </c>
      <c r="AG11" s="383">
        <f>SUMPRODUCT((③労働時間!$A$5:$A$353=作業体系表!$B11)*(③労働時間!$B$5:$B$353="10月下旬")*(③労働時間!$J$5:$J$353))</f>
        <v>0</v>
      </c>
      <c r="AH11" s="383">
        <f>SUMPRODUCT((③労働時間!$A$5:$A$353=作業体系表!$B11)*(③労働時間!$B$5:$B$353="11月上旬")*(③労働時間!$J$5:$J$353))</f>
        <v>0</v>
      </c>
      <c r="AI11" s="383">
        <f>SUMPRODUCT((③労働時間!$A$5:$A$353=作業体系表!$B11)*(③労働時間!$B$5:$B$353="11月中旬")*(③労働時間!$J$5:$J$353))</f>
        <v>0</v>
      </c>
      <c r="AJ11" s="383">
        <f>SUMPRODUCT((③労働時間!$A$5:$A$353=作業体系表!$B11)*(③労働時間!$B$5:$B$353="11月下旬")*(③労働時間!$J$5:$J$353))</f>
        <v>0</v>
      </c>
      <c r="AK11" s="383">
        <f>SUMPRODUCT((③労働時間!$A$5:$A$353=作業体系表!$B11)*(③労働時間!$B$5:$B$353="12月上旬")*(③労働時間!$J$5:$J$353))</f>
        <v>0</v>
      </c>
      <c r="AL11" s="383">
        <f>SUMPRODUCT((③労働時間!$A$5:$A$353=作業体系表!$B11)*(③労働時間!$B$5:$B$353="12月中旬")*(③労働時間!$J$5:$J$353))</f>
        <v>0</v>
      </c>
      <c r="AM11" s="385">
        <f>SUMPRODUCT((③労働時間!$A$5:$A$353=作業体系表!$B11)*(③労働時間!$B$5:$B$353="12月下旬")*(③労働時間!$J$5:$J$353))</f>
        <v>0</v>
      </c>
      <c r="AN11" s="386">
        <f t="shared" si="0"/>
        <v>0.40000640010240168</v>
      </c>
      <c r="AP11" s="10"/>
      <c r="AQ11" s="10"/>
      <c r="AR11" s="10"/>
    </row>
    <row r="12" spans="2:44" ht="15" customHeight="1">
      <c r="B12" s="737" t="str">
        <f>①技術体系!A9</f>
        <v>放牧施設設置</v>
      </c>
      <c r="C12" s="738"/>
      <c r="D12" s="383">
        <f>SUMPRODUCT((③労働時間!$A$5:$A$353=作業体系表!$B12)*(③労働時間!$B$5:$B$353="1月上旬")*(③労働時間!$J$5:$J$353))</f>
        <v>0</v>
      </c>
      <c r="E12" s="383">
        <f>SUMPRODUCT((③労働時間!$A$5:$A$353=作業体系表!$B12)*(③労働時間!$B$5:$B$353="1月中旬")*(③労働時間!$J$5:$J$353))</f>
        <v>0</v>
      </c>
      <c r="F12" s="383">
        <f>SUMPRODUCT((③労働時間!$A$5:$A$353=作業体系表!$B12)*(③労働時間!$B$5:$B$353="1月下旬")*(③労働時間!$J$5:$J$353))</f>
        <v>0</v>
      </c>
      <c r="G12" s="383">
        <f>SUMPRODUCT((③労働時間!$A$5:$A$353=作業体系表!$B12)*(③労働時間!$B$5:$B$353="2月上旬")*(③労働時間!$J$5:$J$353))</f>
        <v>0</v>
      </c>
      <c r="H12" s="383">
        <f>SUMPRODUCT((③労働時間!$A$5:$A$353=作業体系表!$B12)*(③労働時間!$B$5:$B$353="2月中旬")*(③労働時間!$J$5:$J$353))</f>
        <v>0</v>
      </c>
      <c r="I12" s="383">
        <f>SUMPRODUCT((③労働時間!$A$5:$A$353=作業体系表!$B12)*(③労働時間!$B$5:$B$353="2月下旬")*(③労働時間!$J$5:$J$353))</f>
        <v>0</v>
      </c>
      <c r="J12" s="383">
        <f>SUMPRODUCT((③労働時間!$A$5:$A$353=作業体系表!$B12)*(③労働時間!$B$5:$B$353="3月上旬")*(③労働時間!$J$5:$J$353))</f>
        <v>0</v>
      </c>
      <c r="K12" s="383">
        <f>SUMPRODUCT((③労働時間!$A$5:$A$353=作業体系表!$B12)*(③労働時間!$B$5:$B$353="3月中旬")*(③労働時間!$J$5:$J$353))</f>
        <v>0</v>
      </c>
      <c r="L12" s="383">
        <f>SUMPRODUCT((③労働時間!$A$5:$A$353=作業体系表!$B12)*(③労働時間!$B$5:$B$353="3月下旬")*(③労働時間!$J$5:$J$353))</f>
        <v>0</v>
      </c>
      <c r="M12" s="383">
        <f>SUMPRODUCT((③労働時間!$A$5:$A$353=作業体系表!$B12)*(③労働時間!$B$5:$B$353="4月上旬")*(③労働時間!$J$5:$J$353))</f>
        <v>0</v>
      </c>
      <c r="N12" s="383">
        <f>SUMPRODUCT((③労働時間!$A$5:$A$353=作業体系表!$B12)*(③労働時間!$B$5:$B$353="4月中旬")*(③労働時間!$J$5:$J$353))</f>
        <v>0</v>
      </c>
      <c r="O12" s="383">
        <f>SUMPRODUCT((③労働時間!$A$5:$A$353=作業体系表!$B12)*(③労働時間!$B$5:$B$353="4月下旬")*(③労働時間!$J$5:$J$353))</f>
        <v>0</v>
      </c>
      <c r="P12" s="384">
        <f>SUMPRODUCT((③労働時間!$A$5:$A$353=作業体系表!$B12)*(③労働時間!$B$5:$B$353="5月上旬")*(③労働時間!$J$5:$J$353))</f>
        <v>0</v>
      </c>
      <c r="Q12" s="383">
        <f>SUMPRODUCT((③労働時間!$A$5:$A$353=作業体系表!$B12)*(③労働時間!$B$5:$B$353="5月中旬")*(③労働時間!$J$5:$J$353))</f>
        <v>1</v>
      </c>
      <c r="R12" s="383">
        <f>SUMPRODUCT((③労働時間!$A$5:$A$353=作業体系表!$B12)*(③労働時間!$B$5:$B$353="5月下旬")*(③労働時間!$J$5:$J$353))</f>
        <v>0</v>
      </c>
      <c r="S12" s="383">
        <f>SUMPRODUCT((③労働時間!$A$5:$A$353=作業体系表!$B12)*(③労働時間!$B$5:$B$353="6月上旬")*(③労働時間!$J$5:$J$353))</f>
        <v>0</v>
      </c>
      <c r="T12" s="383">
        <f>SUMPRODUCT((③労働時間!$A$5:$A$353=作業体系表!$B12)*(③労働時間!$B$5:$B$353="6月中旬")*(③労働時間!$J$5:$J$353))</f>
        <v>0</v>
      </c>
      <c r="U12" s="383">
        <f>SUMPRODUCT((③労働時間!$A$5:$A$353=作業体系表!$B12)*(③労働時間!$B$5:$B$353="6月下旬")*(③労働時間!$J$5:$J$353))</f>
        <v>0</v>
      </c>
      <c r="V12" s="383">
        <f>SUMPRODUCT((③労働時間!$A$5:$A$353=作業体系表!$B12)*(③労働時間!$B$5:$B$353="7月上旬")*(③労働時間!$J$5:$J$353))</f>
        <v>0</v>
      </c>
      <c r="W12" s="383">
        <f>SUMPRODUCT((③労働時間!$A$5:$A$353=作業体系表!$B12)*(③労働時間!$B$5:$B$353="7月中旬")*(③労働時間!$J$5:$J$353))</f>
        <v>0</v>
      </c>
      <c r="X12" s="383">
        <f>SUMPRODUCT((③労働時間!$A$5:$A$353=作業体系表!$B12)*(③労働時間!$B$5:$B$353="7月下旬")*(③労働時間!$J$5:$J$353))</f>
        <v>0</v>
      </c>
      <c r="Y12" s="383">
        <f>SUMPRODUCT((③労働時間!$A$5:$A$353=作業体系表!$B12)*(③労働時間!$B$5:$B$353="8月上旬")*(③労働時間!$J$5:$J$353))</f>
        <v>0</v>
      </c>
      <c r="Z12" s="383">
        <f>SUMPRODUCT((③労働時間!$A$5:$A$353=作業体系表!$B12)*(③労働時間!$B$5:$B$353="8月中旬")*(③労働時間!$J$5:$J$353))</f>
        <v>0</v>
      </c>
      <c r="AA12" s="383">
        <f>SUMPRODUCT((③労働時間!$A$5:$A$353=作業体系表!$B12)*(③労働時間!$B$5:$B$353="8月下旬")*(③労働時間!$J$5:$J$353))</f>
        <v>0</v>
      </c>
      <c r="AB12" s="384">
        <f>SUMPRODUCT((③労働時間!$A$5:$A$353=作業体系表!$B12)*(③労働時間!$B$5:$B$353="9月上旬")*(③労働時間!$J$5:$J$353))</f>
        <v>0</v>
      </c>
      <c r="AC12" s="383">
        <f>SUMPRODUCT((③労働時間!$A$5:$A$353=作業体系表!$B12)*(③労働時間!$B$5:$B$353="9月中旬")*(③労働時間!$J$5:$J$353))</f>
        <v>0</v>
      </c>
      <c r="AD12" s="383">
        <f>SUMPRODUCT((③労働時間!$A$5:$A$353=作業体系表!$B12)*(③労働時間!$B$5:$B$353="9月下旬")*(③労働時間!$J$5:$J$353))</f>
        <v>0</v>
      </c>
      <c r="AE12" s="383">
        <f>SUMPRODUCT((③労働時間!$A$5:$A$353=作業体系表!$B12)*(③労働時間!$B$5:$B$353="10月上旬")*(③労働時間!$J$5:$J$353))</f>
        <v>0</v>
      </c>
      <c r="AF12" s="383">
        <f>SUMPRODUCT((③労働時間!$A$5:$A$353=作業体系表!$B12)*(③労働時間!$B$5:$B$353="10月中旬")*(③労働時間!$J$5:$J$353))</f>
        <v>0</v>
      </c>
      <c r="AG12" s="383">
        <f>SUMPRODUCT((③労働時間!$A$5:$A$353=作業体系表!$B12)*(③労働時間!$B$5:$B$353="10月下旬")*(③労働時間!$J$5:$J$353))</f>
        <v>0</v>
      </c>
      <c r="AH12" s="383">
        <f>SUMPRODUCT((③労働時間!$A$5:$A$353=作業体系表!$B12)*(③労働時間!$B$5:$B$353="11月上旬")*(③労働時間!$J$5:$J$353))</f>
        <v>0</v>
      </c>
      <c r="AI12" s="383">
        <f>SUMPRODUCT((③労働時間!$A$5:$A$353=作業体系表!$B12)*(③労働時間!$B$5:$B$353="11月中旬")*(③労働時間!$J$5:$J$353))</f>
        <v>0</v>
      </c>
      <c r="AJ12" s="383">
        <f>SUMPRODUCT((③労働時間!$A$5:$A$353=作業体系表!$B12)*(③労働時間!$B$5:$B$353="11月下旬")*(③労働時間!$J$5:$J$353))</f>
        <v>0</v>
      </c>
      <c r="AK12" s="383">
        <f>SUMPRODUCT((③労働時間!$A$5:$A$353=作業体系表!$B12)*(③労働時間!$B$5:$B$353="12月上旬")*(③労働時間!$J$5:$J$353))</f>
        <v>0</v>
      </c>
      <c r="AL12" s="383">
        <f>SUMPRODUCT((③労働時間!$A$5:$A$353=作業体系表!$B12)*(③労働時間!$B$5:$B$353="12月中旬")*(③労働時間!$J$5:$J$353))</f>
        <v>0</v>
      </c>
      <c r="AM12" s="385">
        <f>SUMPRODUCT((③労働時間!$A$5:$A$353=作業体系表!$B12)*(③労働時間!$B$5:$B$353="12月下旬")*(③労働時間!$J$5:$J$353))</f>
        <v>0</v>
      </c>
      <c r="AN12" s="386">
        <f t="shared" si="0"/>
        <v>1</v>
      </c>
    </row>
    <row r="13" spans="2:44" ht="15" customHeight="1">
      <c r="B13" s="737" t="str">
        <f>①技術体系!A10</f>
        <v>入牧(牧区１)</v>
      </c>
      <c r="C13" s="738"/>
      <c r="D13" s="383">
        <f>SUMPRODUCT((③労働時間!$A$5:$A$353=作業体系表!$B13)*(③労働時間!$B$5:$B$353="1月上旬")*(③労働時間!$J$5:$J$353))</f>
        <v>0</v>
      </c>
      <c r="E13" s="383">
        <f>SUMPRODUCT((③労働時間!$A$5:$A$353=作業体系表!$B13)*(③労働時間!$B$5:$B$353="1月中旬")*(③労働時間!$J$5:$J$353))</f>
        <v>0</v>
      </c>
      <c r="F13" s="383">
        <f>SUMPRODUCT((③労働時間!$A$5:$A$353=作業体系表!$B13)*(③労働時間!$B$5:$B$353="1月下旬")*(③労働時間!$J$5:$J$353))</f>
        <v>0</v>
      </c>
      <c r="G13" s="383">
        <f>SUMPRODUCT((③労働時間!$A$5:$A$353=作業体系表!$B13)*(③労働時間!$B$5:$B$353="2月上旬")*(③労働時間!$J$5:$J$353))</f>
        <v>0</v>
      </c>
      <c r="H13" s="383">
        <f>SUMPRODUCT((③労働時間!$A$5:$A$353=作業体系表!$B13)*(③労働時間!$B$5:$B$353="2月中旬")*(③労働時間!$J$5:$J$353))</f>
        <v>0</v>
      </c>
      <c r="I13" s="383">
        <f>SUMPRODUCT((③労働時間!$A$5:$A$353=作業体系表!$B13)*(③労働時間!$B$5:$B$353="2月下旬")*(③労働時間!$J$5:$J$353))</f>
        <v>0</v>
      </c>
      <c r="J13" s="383">
        <f>SUMPRODUCT((③労働時間!$A$5:$A$353=作業体系表!$B13)*(③労働時間!$B$5:$B$353="3月上旬")*(③労働時間!$J$5:$J$353))</f>
        <v>0</v>
      </c>
      <c r="K13" s="383">
        <f>SUMPRODUCT((③労働時間!$A$5:$A$353=作業体系表!$B13)*(③労働時間!$B$5:$B$353="3月中旬")*(③労働時間!$J$5:$J$353))</f>
        <v>0</v>
      </c>
      <c r="L13" s="383">
        <f>SUMPRODUCT((③労働時間!$A$5:$A$353=作業体系表!$B13)*(③労働時間!$B$5:$B$353="3月下旬")*(③労働時間!$J$5:$J$353))</f>
        <v>0</v>
      </c>
      <c r="M13" s="383">
        <f>SUMPRODUCT((③労働時間!$A$5:$A$353=作業体系表!$B13)*(③労働時間!$B$5:$B$353="4月上旬")*(③労働時間!$J$5:$J$353))</f>
        <v>0</v>
      </c>
      <c r="N13" s="383">
        <f>SUMPRODUCT((③労働時間!$A$5:$A$353=作業体系表!$B13)*(③労働時間!$B$5:$B$353="4月中旬")*(③労働時間!$J$5:$J$353))</f>
        <v>0</v>
      </c>
      <c r="O13" s="383">
        <f>SUMPRODUCT((③労働時間!$A$5:$A$353=作業体系表!$B13)*(③労働時間!$B$5:$B$353="4月下旬")*(③労働時間!$J$5:$J$353))</f>
        <v>0</v>
      </c>
      <c r="P13" s="384">
        <f>SUMPRODUCT((③労働時間!$A$5:$A$353=作業体系表!$B13)*(③労働時間!$B$5:$B$353="5月上旬")*(③労働時間!$J$5:$J$353))</f>
        <v>0</v>
      </c>
      <c r="Q13" s="383">
        <f>SUMPRODUCT((③労働時間!$A$5:$A$353=作業体系表!$B13)*(③労働時間!$B$5:$B$353="5月中旬")*(③労働時間!$J$5:$J$353))</f>
        <v>0</v>
      </c>
      <c r="R13" s="383">
        <f>SUMPRODUCT((③労働時間!$A$5:$A$353=作業体系表!$B13)*(③労働時間!$B$5:$B$353="5月下旬")*(③労働時間!$J$5:$J$353))</f>
        <v>0.1</v>
      </c>
      <c r="S13" s="383">
        <f>SUMPRODUCT((③労働時間!$A$5:$A$353=作業体系表!$B13)*(③労働時間!$B$5:$B$353="6月上旬")*(③労働時間!$J$5:$J$353))</f>
        <v>0</v>
      </c>
      <c r="T13" s="383">
        <f>SUMPRODUCT((③労働時間!$A$5:$A$353=作業体系表!$B13)*(③労働時間!$B$5:$B$353="6月中旬")*(③労働時間!$J$5:$J$353))</f>
        <v>0</v>
      </c>
      <c r="U13" s="383">
        <f>SUMPRODUCT((③労働時間!$A$5:$A$353=作業体系表!$B13)*(③労働時間!$B$5:$B$353="6月下旬")*(③労働時間!$J$5:$J$353))</f>
        <v>0</v>
      </c>
      <c r="V13" s="383">
        <f>SUMPRODUCT((③労働時間!$A$5:$A$353=作業体系表!$B13)*(③労働時間!$B$5:$B$353="7月上旬")*(③労働時間!$J$5:$J$353))</f>
        <v>0</v>
      </c>
      <c r="W13" s="383">
        <f>SUMPRODUCT((③労働時間!$A$5:$A$353=作業体系表!$B13)*(③労働時間!$B$5:$B$353="7月中旬")*(③労働時間!$J$5:$J$353))</f>
        <v>0</v>
      </c>
      <c r="X13" s="383">
        <f>SUMPRODUCT((③労働時間!$A$5:$A$353=作業体系表!$B13)*(③労働時間!$B$5:$B$353="7月下旬")*(③労働時間!$J$5:$J$353))</f>
        <v>0</v>
      </c>
      <c r="Y13" s="383">
        <f>SUMPRODUCT((③労働時間!$A$5:$A$353=作業体系表!$B13)*(③労働時間!$B$5:$B$353="8月上旬")*(③労働時間!$J$5:$J$353))</f>
        <v>0</v>
      </c>
      <c r="Z13" s="383">
        <f>SUMPRODUCT((③労働時間!$A$5:$A$353=作業体系表!$B13)*(③労働時間!$B$5:$B$353="8月中旬")*(③労働時間!$J$5:$J$353))</f>
        <v>0</v>
      </c>
      <c r="AA13" s="383">
        <f>SUMPRODUCT((③労働時間!$A$5:$A$353=作業体系表!$B13)*(③労働時間!$B$5:$B$353="8月下旬")*(③労働時間!$J$5:$J$353))</f>
        <v>0</v>
      </c>
      <c r="AB13" s="384">
        <f>SUMPRODUCT((③労働時間!$A$5:$A$353=作業体系表!$B13)*(③労働時間!$B$5:$B$353="9月上旬")*(③労働時間!$J$5:$J$353))</f>
        <v>0</v>
      </c>
      <c r="AC13" s="383">
        <f>SUMPRODUCT((③労働時間!$A$5:$A$353=作業体系表!$B13)*(③労働時間!$B$5:$B$353="9月中旬")*(③労働時間!$J$5:$J$353))</f>
        <v>0</v>
      </c>
      <c r="AD13" s="383">
        <f>SUMPRODUCT((③労働時間!$A$5:$A$353=作業体系表!$B13)*(③労働時間!$B$5:$B$353="9月下旬")*(③労働時間!$J$5:$J$353))</f>
        <v>0</v>
      </c>
      <c r="AE13" s="383">
        <f>SUMPRODUCT((③労働時間!$A$5:$A$353=作業体系表!$B13)*(③労働時間!$B$5:$B$353="10月上旬")*(③労働時間!$J$5:$J$353))</f>
        <v>0</v>
      </c>
      <c r="AF13" s="383">
        <f>SUMPRODUCT((③労働時間!$A$5:$A$353=作業体系表!$B13)*(③労働時間!$B$5:$B$353="10月中旬")*(③労働時間!$J$5:$J$353))</f>
        <v>0</v>
      </c>
      <c r="AG13" s="383">
        <f>SUMPRODUCT((③労働時間!$A$5:$A$353=作業体系表!$B13)*(③労働時間!$B$5:$B$353="10月下旬")*(③労働時間!$J$5:$J$353))</f>
        <v>0</v>
      </c>
      <c r="AH13" s="383">
        <f>SUMPRODUCT((③労働時間!$A$5:$A$353=作業体系表!$B13)*(③労働時間!$B$5:$B$353="11月上旬")*(③労働時間!$J$5:$J$353))</f>
        <v>0</v>
      </c>
      <c r="AI13" s="383">
        <f>SUMPRODUCT((③労働時間!$A$5:$A$353=作業体系表!$B13)*(③労働時間!$B$5:$B$353="11月中旬")*(③労働時間!$J$5:$J$353))</f>
        <v>0</v>
      </c>
      <c r="AJ13" s="383">
        <f>SUMPRODUCT((③労働時間!$A$5:$A$353=作業体系表!$B13)*(③労働時間!$B$5:$B$353="11月下旬")*(③労働時間!$J$5:$J$353))</f>
        <v>0</v>
      </c>
      <c r="AK13" s="383">
        <f>SUMPRODUCT((③労働時間!$A$5:$A$353=作業体系表!$B13)*(③労働時間!$B$5:$B$353="12月上旬")*(③労働時間!$J$5:$J$353))</f>
        <v>0</v>
      </c>
      <c r="AL13" s="383">
        <f>SUMPRODUCT((③労働時間!$A$5:$A$353=作業体系表!$B13)*(③労働時間!$B$5:$B$353="12月中旬")*(③労働時間!$J$5:$J$353))</f>
        <v>0</v>
      </c>
      <c r="AM13" s="385">
        <f>SUMPRODUCT((③労働時間!$A$5:$A$353=作業体系表!$B13)*(③労働時間!$B$5:$B$353="12月下旬")*(③労働時間!$J$5:$J$353))</f>
        <v>0</v>
      </c>
      <c r="AN13" s="386">
        <f t="shared" si="0"/>
        <v>0.1</v>
      </c>
    </row>
    <row r="14" spans="2:44" ht="15" customHeight="1">
      <c r="B14" s="737" t="str">
        <f>①技術体系!A11</f>
        <v>放牧管理(牧区1)</v>
      </c>
      <c r="C14" s="738"/>
      <c r="D14" s="383">
        <f>SUMPRODUCT((③労働時間!$A$5:$A$353=作業体系表!$B14)*(③労働時間!$B$5:$B$353="1月上旬")*(③労働時間!$J$5:$J$353))</f>
        <v>0</v>
      </c>
      <c r="E14" s="383">
        <f>SUMPRODUCT((③労働時間!$A$5:$A$353=作業体系表!$B14)*(③労働時間!$B$5:$B$353="1月中旬")*(③労働時間!$J$5:$J$353))</f>
        <v>0</v>
      </c>
      <c r="F14" s="383">
        <f>SUMPRODUCT((③労働時間!$A$5:$A$353=作業体系表!$B14)*(③労働時間!$B$5:$B$353="1月下旬")*(③労働時間!$J$5:$J$353))</f>
        <v>0</v>
      </c>
      <c r="G14" s="383">
        <f>SUMPRODUCT((③労働時間!$A$5:$A$353=作業体系表!$B14)*(③労働時間!$B$5:$B$353="2月上旬")*(③労働時間!$J$5:$J$353))</f>
        <v>0</v>
      </c>
      <c r="H14" s="383">
        <f>SUMPRODUCT((③労働時間!$A$5:$A$353=作業体系表!$B14)*(③労働時間!$B$5:$B$353="2月中旬")*(③労働時間!$J$5:$J$353))</f>
        <v>0</v>
      </c>
      <c r="I14" s="383">
        <f>SUMPRODUCT((③労働時間!$A$5:$A$353=作業体系表!$B14)*(③労働時間!$B$5:$B$353="2月下旬")*(③労働時間!$J$5:$J$353))</f>
        <v>0</v>
      </c>
      <c r="J14" s="383">
        <f>SUMPRODUCT((③労働時間!$A$5:$A$353=作業体系表!$B14)*(③労働時間!$B$5:$B$353="3月上旬")*(③労働時間!$J$5:$J$353))</f>
        <v>0</v>
      </c>
      <c r="K14" s="383">
        <f>SUMPRODUCT((③労働時間!$A$5:$A$353=作業体系表!$B14)*(③労働時間!$B$5:$B$353="3月中旬")*(③労働時間!$J$5:$J$353))</f>
        <v>0</v>
      </c>
      <c r="L14" s="383">
        <f>SUMPRODUCT((③労働時間!$A$5:$A$353=作業体系表!$B14)*(③労働時間!$B$5:$B$353="3月下旬")*(③労働時間!$J$5:$J$353))</f>
        <v>0</v>
      </c>
      <c r="M14" s="383">
        <f>SUMPRODUCT((③労働時間!$A$5:$A$353=作業体系表!$B14)*(③労働時間!$B$5:$B$353="4月上旬")*(③労働時間!$J$5:$J$353))</f>
        <v>0</v>
      </c>
      <c r="N14" s="383">
        <f>SUMPRODUCT((③労働時間!$A$5:$A$353=作業体系表!$B14)*(③労働時間!$B$5:$B$353="4月中旬")*(③労働時間!$J$5:$J$353))</f>
        <v>0</v>
      </c>
      <c r="O14" s="383">
        <f>SUMPRODUCT((③労働時間!$A$5:$A$353=作業体系表!$B14)*(③労働時間!$B$5:$B$353="4月下旬")*(③労働時間!$J$5:$J$353))</f>
        <v>0</v>
      </c>
      <c r="P14" s="384">
        <f>SUMPRODUCT((③労働時間!$A$5:$A$353=作業体系表!$B14)*(③労働時間!$B$5:$B$353="5月上旬")*(③労働時間!$J$5:$J$353))</f>
        <v>0</v>
      </c>
      <c r="Q14" s="383">
        <f>SUMPRODUCT((③労働時間!$A$5:$A$353=作業体系表!$B14)*(③労働時間!$B$5:$B$353="5月中旬")*(③労働時間!$J$5:$J$353))</f>
        <v>0</v>
      </c>
      <c r="R14" s="383">
        <f>SUMPRODUCT((③労働時間!$A$5:$A$353=作業体系表!$B14)*(③労働時間!$B$5:$B$353="5月下旬")*(③労働時間!$J$5:$J$353))</f>
        <v>0.5</v>
      </c>
      <c r="S14" s="383">
        <f>SUMPRODUCT((③労働時間!$A$5:$A$353=作業体系表!$B14)*(③労働時間!$B$5:$B$353="6月上旬")*(③労働時間!$J$5:$J$353))</f>
        <v>0.5</v>
      </c>
      <c r="T14" s="383">
        <f>SUMPRODUCT((③労働時間!$A$5:$A$353=作業体系表!$B14)*(③労働時間!$B$5:$B$353="6月中旬")*(③労働時間!$J$5:$J$353))</f>
        <v>0.5</v>
      </c>
      <c r="U14" s="383">
        <f>SUMPRODUCT((③労働時間!$A$5:$A$353=作業体系表!$B14)*(③労働時間!$B$5:$B$353="6月下旬")*(③労働時間!$J$5:$J$353))</f>
        <v>0</v>
      </c>
      <c r="V14" s="383">
        <f>SUMPRODUCT((③労働時間!$A$5:$A$353=作業体系表!$B14)*(③労働時間!$B$5:$B$353="7月上旬")*(③労働時間!$J$5:$J$353))</f>
        <v>0</v>
      </c>
      <c r="W14" s="383">
        <f>SUMPRODUCT((③労働時間!$A$5:$A$353=作業体系表!$B14)*(③労働時間!$B$5:$B$353="7月中旬")*(③労働時間!$J$5:$J$353))</f>
        <v>0</v>
      </c>
      <c r="X14" s="383">
        <f>SUMPRODUCT((③労働時間!$A$5:$A$353=作業体系表!$B14)*(③労働時間!$B$5:$B$353="7月下旬")*(③労働時間!$J$5:$J$353))</f>
        <v>0</v>
      </c>
      <c r="Y14" s="383">
        <f>SUMPRODUCT((③労働時間!$A$5:$A$353=作業体系表!$B14)*(③労働時間!$B$5:$B$353="8月上旬")*(③労働時間!$J$5:$J$353))</f>
        <v>0</v>
      </c>
      <c r="Z14" s="383">
        <f>SUMPRODUCT((③労働時間!$A$5:$A$353=作業体系表!$B14)*(③労働時間!$B$5:$B$353="8月中旬")*(③労働時間!$J$5:$J$353))</f>
        <v>0</v>
      </c>
      <c r="AA14" s="383">
        <f>SUMPRODUCT((③労働時間!$A$5:$A$353=作業体系表!$B14)*(③労働時間!$B$5:$B$353="8月下旬")*(③労働時間!$J$5:$J$353))</f>
        <v>0</v>
      </c>
      <c r="AB14" s="384">
        <f>SUMPRODUCT((③労働時間!$A$5:$A$353=作業体系表!$B14)*(③労働時間!$B$5:$B$353="9月上旬")*(③労働時間!$J$5:$J$353))</f>
        <v>0</v>
      </c>
      <c r="AC14" s="383">
        <f>SUMPRODUCT((③労働時間!$A$5:$A$353=作業体系表!$B14)*(③労働時間!$B$5:$B$353="9月中旬")*(③労働時間!$J$5:$J$353))</f>
        <v>0</v>
      </c>
      <c r="AD14" s="383">
        <f>SUMPRODUCT((③労働時間!$A$5:$A$353=作業体系表!$B14)*(③労働時間!$B$5:$B$353="9月下旬")*(③労働時間!$J$5:$J$353))</f>
        <v>0</v>
      </c>
      <c r="AE14" s="383">
        <f>SUMPRODUCT((③労働時間!$A$5:$A$353=作業体系表!$B14)*(③労働時間!$B$5:$B$353="10月上旬")*(③労働時間!$J$5:$J$353))</f>
        <v>0</v>
      </c>
      <c r="AF14" s="383">
        <f>SUMPRODUCT((③労働時間!$A$5:$A$353=作業体系表!$B14)*(③労働時間!$B$5:$B$353="10月中旬")*(③労働時間!$J$5:$J$353))</f>
        <v>0</v>
      </c>
      <c r="AG14" s="383">
        <f>SUMPRODUCT((③労働時間!$A$5:$A$353=作業体系表!$B14)*(③労働時間!$B$5:$B$353="10月下旬")*(③労働時間!$J$5:$J$353))</f>
        <v>0</v>
      </c>
      <c r="AH14" s="383">
        <f>SUMPRODUCT((③労働時間!$A$5:$A$353=作業体系表!$B14)*(③労働時間!$B$5:$B$353="11月上旬")*(③労働時間!$J$5:$J$353))</f>
        <v>0</v>
      </c>
      <c r="AI14" s="383">
        <f>SUMPRODUCT((③労働時間!$A$5:$A$353=作業体系表!$B14)*(③労働時間!$B$5:$B$353="11月中旬")*(③労働時間!$J$5:$J$353))</f>
        <v>0</v>
      </c>
      <c r="AJ14" s="383">
        <f>SUMPRODUCT((③労働時間!$A$5:$A$353=作業体系表!$B14)*(③労働時間!$B$5:$B$353="11月下旬")*(③労働時間!$J$5:$J$353))</f>
        <v>0</v>
      </c>
      <c r="AK14" s="383">
        <f>SUMPRODUCT((③労働時間!$A$5:$A$353=作業体系表!$B14)*(③労働時間!$B$5:$B$353="12月上旬")*(③労働時間!$J$5:$J$353))</f>
        <v>0</v>
      </c>
      <c r="AL14" s="383">
        <f>SUMPRODUCT((③労働時間!$A$5:$A$353=作業体系表!$B14)*(③労働時間!$B$5:$B$353="12月中旬")*(③労働時間!$J$5:$J$353))</f>
        <v>0</v>
      </c>
      <c r="AM14" s="385">
        <f>SUMPRODUCT((③労働時間!$A$5:$A$353=作業体系表!$B14)*(③労働時間!$B$5:$B$353="12月下旬")*(③労働時間!$J$5:$J$353))</f>
        <v>0</v>
      </c>
      <c r="AN14" s="386">
        <f t="shared" si="0"/>
        <v>1.5</v>
      </c>
    </row>
    <row r="15" spans="2:44" ht="15" customHeight="1">
      <c r="B15" s="737" t="str">
        <f>①技術体系!A12</f>
        <v>転牧(牧区２)</v>
      </c>
      <c r="C15" s="738"/>
      <c r="D15" s="383">
        <f>SUMPRODUCT((③労働時間!$A$5:$A$353=作業体系表!$B15)*(③労働時間!$B$5:$B$353="1月上旬")*(③労働時間!$J$5:$J$353))</f>
        <v>0</v>
      </c>
      <c r="E15" s="383">
        <f>SUMPRODUCT((③労働時間!$A$5:$A$353=作業体系表!$B15)*(③労働時間!$B$5:$B$353="1月中旬")*(③労働時間!$J$5:$J$353))</f>
        <v>0</v>
      </c>
      <c r="F15" s="383">
        <f>SUMPRODUCT((③労働時間!$A$5:$A$353=作業体系表!$B15)*(③労働時間!$B$5:$B$353="1月下旬")*(③労働時間!$J$5:$J$353))</f>
        <v>0</v>
      </c>
      <c r="G15" s="383">
        <f>SUMPRODUCT((③労働時間!$A$5:$A$353=作業体系表!$B15)*(③労働時間!$B$5:$B$353="2月上旬")*(③労働時間!$J$5:$J$353))</f>
        <v>0</v>
      </c>
      <c r="H15" s="383">
        <f>SUMPRODUCT((③労働時間!$A$5:$A$353=作業体系表!$B15)*(③労働時間!$B$5:$B$353="2月中旬")*(③労働時間!$J$5:$J$353))</f>
        <v>0</v>
      </c>
      <c r="I15" s="383">
        <f>SUMPRODUCT((③労働時間!$A$5:$A$353=作業体系表!$B15)*(③労働時間!$B$5:$B$353="2月下旬")*(③労働時間!$J$5:$J$353))</f>
        <v>0</v>
      </c>
      <c r="J15" s="383">
        <f>SUMPRODUCT((③労働時間!$A$5:$A$353=作業体系表!$B15)*(③労働時間!$B$5:$B$353="3月上旬")*(③労働時間!$J$5:$J$353))</f>
        <v>0</v>
      </c>
      <c r="K15" s="383">
        <f>SUMPRODUCT((③労働時間!$A$5:$A$353=作業体系表!$B15)*(③労働時間!$B$5:$B$353="3月中旬")*(③労働時間!$J$5:$J$353))</f>
        <v>0</v>
      </c>
      <c r="L15" s="383">
        <f>SUMPRODUCT((③労働時間!$A$5:$A$353=作業体系表!$B15)*(③労働時間!$B$5:$B$353="3月下旬")*(③労働時間!$J$5:$J$353))</f>
        <v>0</v>
      </c>
      <c r="M15" s="383">
        <f>SUMPRODUCT((③労働時間!$A$5:$A$353=作業体系表!$B15)*(③労働時間!$B$5:$B$353="4月上旬")*(③労働時間!$J$5:$J$353))</f>
        <v>0</v>
      </c>
      <c r="N15" s="383">
        <f>SUMPRODUCT((③労働時間!$A$5:$A$353=作業体系表!$B15)*(③労働時間!$B$5:$B$353="4月中旬")*(③労働時間!$J$5:$J$353))</f>
        <v>0</v>
      </c>
      <c r="O15" s="383">
        <f>SUMPRODUCT((③労働時間!$A$5:$A$353=作業体系表!$B15)*(③労働時間!$B$5:$B$353="4月下旬")*(③労働時間!$J$5:$J$353))</f>
        <v>0</v>
      </c>
      <c r="P15" s="384">
        <f>SUMPRODUCT((③労働時間!$A$5:$A$353=作業体系表!$B15)*(③労働時間!$B$5:$B$353="5月上旬")*(③労働時間!$J$5:$J$353))</f>
        <v>0</v>
      </c>
      <c r="Q15" s="383">
        <f>SUMPRODUCT((③労働時間!$A$5:$A$353=作業体系表!$B15)*(③労働時間!$B$5:$B$353="5月中旬")*(③労働時間!$J$5:$J$353))</f>
        <v>0</v>
      </c>
      <c r="R15" s="383">
        <f>SUMPRODUCT((③労働時間!$A$5:$A$353=作業体系表!$B15)*(③労働時間!$B$5:$B$353="5月下旬")*(③労働時間!$J$5:$J$353))</f>
        <v>0</v>
      </c>
      <c r="S15" s="383">
        <f>SUMPRODUCT((③労働時間!$A$5:$A$353=作業体系表!$B15)*(③労働時間!$B$5:$B$353="6月上旬")*(③労働時間!$J$5:$J$353))</f>
        <v>0</v>
      </c>
      <c r="T15" s="383">
        <f>SUMPRODUCT((③労働時間!$A$5:$A$353=作業体系表!$B15)*(③労働時間!$B$5:$B$353="6月中旬")*(③労働時間!$J$5:$J$353))</f>
        <v>0</v>
      </c>
      <c r="U15" s="383">
        <f>SUMPRODUCT((③労働時間!$A$5:$A$353=作業体系表!$B15)*(③労働時間!$B$5:$B$353="6月下旬")*(③労働時間!$J$5:$J$353))</f>
        <v>0.1</v>
      </c>
      <c r="V15" s="383">
        <f>SUMPRODUCT((③労働時間!$A$5:$A$353=作業体系表!$B15)*(③労働時間!$B$5:$B$353="7月上旬")*(③労働時間!$J$5:$J$353))</f>
        <v>0</v>
      </c>
      <c r="W15" s="383">
        <f>SUMPRODUCT((③労働時間!$A$5:$A$353=作業体系表!$B15)*(③労働時間!$B$5:$B$353="7月中旬")*(③労働時間!$J$5:$J$353))</f>
        <v>0</v>
      </c>
      <c r="X15" s="383">
        <f>SUMPRODUCT((③労働時間!$A$5:$A$353=作業体系表!$B15)*(③労働時間!$B$5:$B$353="7月下旬")*(③労働時間!$J$5:$J$353))</f>
        <v>0</v>
      </c>
      <c r="Y15" s="383">
        <f>SUMPRODUCT((③労働時間!$A$5:$A$353=作業体系表!$B15)*(③労働時間!$B$5:$B$353="8月上旬")*(③労働時間!$J$5:$J$353))</f>
        <v>0</v>
      </c>
      <c r="Z15" s="383">
        <f>SUMPRODUCT((③労働時間!$A$5:$A$353=作業体系表!$B15)*(③労働時間!$B$5:$B$353="8月中旬")*(③労働時間!$J$5:$J$353))</f>
        <v>0</v>
      </c>
      <c r="AA15" s="383">
        <f>SUMPRODUCT((③労働時間!$A$5:$A$353=作業体系表!$B15)*(③労働時間!$B$5:$B$353="8月下旬")*(③労働時間!$J$5:$J$353))</f>
        <v>0</v>
      </c>
      <c r="AB15" s="384">
        <f>SUMPRODUCT((③労働時間!$A$5:$A$353=作業体系表!$B15)*(③労働時間!$B$5:$B$353="9月上旬")*(③労働時間!$J$5:$J$353))</f>
        <v>0</v>
      </c>
      <c r="AC15" s="383">
        <f>SUMPRODUCT((③労働時間!$A$5:$A$353=作業体系表!$B15)*(③労働時間!$B$5:$B$353="9月中旬")*(③労働時間!$J$5:$J$353))</f>
        <v>0</v>
      </c>
      <c r="AD15" s="383">
        <f>SUMPRODUCT((③労働時間!$A$5:$A$353=作業体系表!$B15)*(③労働時間!$B$5:$B$353="9月下旬")*(③労働時間!$J$5:$J$353))</f>
        <v>0</v>
      </c>
      <c r="AE15" s="383">
        <f>SUMPRODUCT((③労働時間!$A$5:$A$353=作業体系表!$B15)*(③労働時間!$B$5:$B$353="10月上旬")*(③労働時間!$J$5:$J$353))</f>
        <v>0</v>
      </c>
      <c r="AF15" s="383">
        <f>SUMPRODUCT((③労働時間!$A$5:$A$353=作業体系表!$B15)*(③労働時間!$B$5:$B$353="10月中旬")*(③労働時間!$J$5:$J$353))</f>
        <v>0</v>
      </c>
      <c r="AG15" s="383">
        <f>SUMPRODUCT((③労働時間!$A$5:$A$353=作業体系表!$B15)*(③労働時間!$B$5:$B$353="10月下旬")*(③労働時間!$J$5:$J$353))</f>
        <v>0</v>
      </c>
      <c r="AH15" s="383">
        <f>SUMPRODUCT((③労働時間!$A$5:$A$353=作業体系表!$B15)*(③労働時間!$B$5:$B$353="11月上旬")*(③労働時間!$J$5:$J$353))</f>
        <v>0</v>
      </c>
      <c r="AI15" s="383">
        <f>SUMPRODUCT((③労働時間!$A$5:$A$353=作業体系表!$B15)*(③労働時間!$B$5:$B$353="11月中旬")*(③労働時間!$J$5:$J$353))</f>
        <v>0</v>
      </c>
      <c r="AJ15" s="383">
        <f>SUMPRODUCT((③労働時間!$A$5:$A$353=作業体系表!$B15)*(③労働時間!$B$5:$B$353="11月下旬")*(③労働時間!$J$5:$J$353))</f>
        <v>0</v>
      </c>
      <c r="AK15" s="383">
        <f>SUMPRODUCT((③労働時間!$A$5:$A$353=作業体系表!$B15)*(③労働時間!$B$5:$B$353="12月上旬")*(③労働時間!$J$5:$J$353))</f>
        <v>0</v>
      </c>
      <c r="AL15" s="383">
        <f>SUMPRODUCT((③労働時間!$A$5:$A$353=作業体系表!$B15)*(③労働時間!$B$5:$B$353="12月中旬")*(③労働時間!$J$5:$J$353))</f>
        <v>0</v>
      </c>
      <c r="AM15" s="385">
        <f>SUMPRODUCT((③労働時間!$A$5:$A$353=作業体系表!$B15)*(③労働時間!$B$5:$B$353="12月下旬")*(③労働時間!$J$5:$J$353))</f>
        <v>0</v>
      </c>
      <c r="AN15" s="386">
        <f t="shared" si="0"/>
        <v>0.1</v>
      </c>
    </row>
    <row r="16" spans="2:44" ht="15" customHeight="1">
      <c r="B16" s="737" t="str">
        <f>①技術体系!A13</f>
        <v>放牧管理(牧区2)</v>
      </c>
      <c r="C16" s="738"/>
      <c r="D16" s="383">
        <f>SUMPRODUCT((③労働時間!$A$5:$A$353=作業体系表!$B16)*(③労働時間!$B$5:$B$353="1月上旬")*(③労働時間!$J$5:$J$353))</f>
        <v>0</v>
      </c>
      <c r="E16" s="383">
        <f>SUMPRODUCT((③労働時間!$A$5:$A$353=作業体系表!$B16)*(③労働時間!$B$5:$B$353="1月中旬")*(③労働時間!$J$5:$J$353))</f>
        <v>0</v>
      </c>
      <c r="F16" s="383">
        <f>SUMPRODUCT((③労働時間!$A$5:$A$353=作業体系表!$B16)*(③労働時間!$B$5:$B$353="1月下旬")*(③労働時間!$J$5:$J$353))</f>
        <v>0</v>
      </c>
      <c r="G16" s="383">
        <f>SUMPRODUCT((③労働時間!$A$5:$A$353=作業体系表!$B16)*(③労働時間!$B$5:$B$353="2月上旬")*(③労働時間!$J$5:$J$353))</f>
        <v>0</v>
      </c>
      <c r="H16" s="383">
        <f>SUMPRODUCT((③労働時間!$A$5:$A$353=作業体系表!$B16)*(③労働時間!$B$5:$B$353="2月中旬")*(③労働時間!$J$5:$J$353))</f>
        <v>0</v>
      </c>
      <c r="I16" s="383">
        <f>SUMPRODUCT((③労働時間!$A$5:$A$353=作業体系表!$B16)*(③労働時間!$B$5:$B$353="2月下旬")*(③労働時間!$J$5:$J$353))</f>
        <v>0</v>
      </c>
      <c r="J16" s="383">
        <f>SUMPRODUCT((③労働時間!$A$5:$A$353=作業体系表!$B16)*(③労働時間!$B$5:$B$353="3月上旬")*(③労働時間!$J$5:$J$353))</f>
        <v>0</v>
      </c>
      <c r="K16" s="383">
        <f>SUMPRODUCT((③労働時間!$A$5:$A$353=作業体系表!$B16)*(③労働時間!$B$5:$B$353="3月中旬")*(③労働時間!$J$5:$J$353))</f>
        <v>0</v>
      </c>
      <c r="L16" s="383">
        <f>SUMPRODUCT((③労働時間!$A$5:$A$353=作業体系表!$B16)*(③労働時間!$B$5:$B$353="3月下旬")*(③労働時間!$J$5:$J$353))</f>
        <v>0</v>
      </c>
      <c r="M16" s="383">
        <f>SUMPRODUCT((③労働時間!$A$5:$A$353=作業体系表!$B16)*(③労働時間!$B$5:$B$353="4月上旬")*(③労働時間!$J$5:$J$353))</f>
        <v>0</v>
      </c>
      <c r="N16" s="383">
        <f>SUMPRODUCT((③労働時間!$A$5:$A$353=作業体系表!$B16)*(③労働時間!$B$5:$B$353="4月中旬")*(③労働時間!$J$5:$J$353))</f>
        <v>0</v>
      </c>
      <c r="O16" s="383">
        <f>SUMPRODUCT((③労働時間!$A$5:$A$353=作業体系表!$B16)*(③労働時間!$B$5:$B$353="4月下旬")*(③労働時間!$J$5:$J$353))</f>
        <v>0</v>
      </c>
      <c r="P16" s="384">
        <f>SUMPRODUCT((③労働時間!$A$5:$A$353=作業体系表!$B16)*(③労働時間!$B$5:$B$353="5月上旬")*(③労働時間!$J$5:$J$353))</f>
        <v>0</v>
      </c>
      <c r="Q16" s="383">
        <f>SUMPRODUCT((③労働時間!$A$5:$A$353=作業体系表!$B16)*(③労働時間!$B$5:$B$353="5月中旬")*(③労働時間!$J$5:$J$353))</f>
        <v>0</v>
      </c>
      <c r="R16" s="383">
        <f>SUMPRODUCT((③労働時間!$A$5:$A$353=作業体系表!$B16)*(③労働時間!$B$5:$B$353="5月下旬")*(③労働時間!$J$5:$J$353))</f>
        <v>0</v>
      </c>
      <c r="S16" s="383">
        <f>SUMPRODUCT((③労働時間!$A$5:$A$353=作業体系表!$B16)*(③労働時間!$B$5:$B$353="6月上旬")*(③労働時間!$J$5:$J$353))</f>
        <v>0</v>
      </c>
      <c r="T16" s="383">
        <f>SUMPRODUCT((③労働時間!$A$5:$A$353=作業体系表!$B16)*(③労働時間!$B$5:$B$353="6月中旬")*(③労働時間!$J$5:$J$353))</f>
        <v>0</v>
      </c>
      <c r="U16" s="383">
        <f>SUMPRODUCT((③労働時間!$A$5:$A$353=作業体系表!$B16)*(③労働時間!$B$5:$B$353="6月下旬")*(③労働時間!$J$5:$J$353))</f>
        <v>0.5</v>
      </c>
      <c r="V16" s="383">
        <f>SUMPRODUCT((③労働時間!$A$5:$A$353=作業体系表!$B16)*(③労働時間!$B$5:$B$353="7月上旬")*(③労働時間!$J$5:$J$353))</f>
        <v>0.5</v>
      </c>
      <c r="W16" s="383">
        <f>SUMPRODUCT((③労働時間!$A$5:$A$353=作業体系表!$B16)*(③労働時間!$B$5:$B$353="7月中旬")*(③労働時間!$J$5:$J$353))</f>
        <v>0.5</v>
      </c>
      <c r="X16" s="383">
        <f>SUMPRODUCT((③労働時間!$A$5:$A$353=作業体系表!$B16)*(③労働時間!$B$5:$B$353="7月下旬")*(③労働時間!$J$5:$J$353))</f>
        <v>0</v>
      </c>
      <c r="Y16" s="383">
        <f>SUMPRODUCT((③労働時間!$A$5:$A$353=作業体系表!$B16)*(③労働時間!$B$5:$B$353="8月上旬")*(③労働時間!$J$5:$J$353))</f>
        <v>0</v>
      </c>
      <c r="Z16" s="383">
        <f>SUMPRODUCT((③労働時間!$A$5:$A$353=作業体系表!$B16)*(③労働時間!$B$5:$B$353="8月中旬")*(③労働時間!$J$5:$J$353))</f>
        <v>0</v>
      </c>
      <c r="AA16" s="383">
        <f>SUMPRODUCT((③労働時間!$A$5:$A$353=作業体系表!$B16)*(③労働時間!$B$5:$B$353="8月下旬")*(③労働時間!$J$5:$J$353))</f>
        <v>0</v>
      </c>
      <c r="AB16" s="384">
        <f>SUMPRODUCT((③労働時間!$A$5:$A$353=作業体系表!$B16)*(③労働時間!$B$5:$B$353="9月上旬")*(③労働時間!$J$5:$J$353))</f>
        <v>0</v>
      </c>
      <c r="AC16" s="383">
        <f>SUMPRODUCT((③労働時間!$A$5:$A$353=作業体系表!$B16)*(③労働時間!$B$5:$B$353="9月中旬")*(③労働時間!$J$5:$J$353))</f>
        <v>0</v>
      </c>
      <c r="AD16" s="383">
        <f>SUMPRODUCT((③労働時間!$A$5:$A$353=作業体系表!$B16)*(③労働時間!$B$5:$B$353="9月下旬")*(③労働時間!$J$5:$J$353))</f>
        <v>0</v>
      </c>
      <c r="AE16" s="383">
        <f>SUMPRODUCT((③労働時間!$A$5:$A$353=作業体系表!$B16)*(③労働時間!$B$5:$B$353="10月上旬")*(③労働時間!$J$5:$J$353))</f>
        <v>0</v>
      </c>
      <c r="AF16" s="383">
        <f>SUMPRODUCT((③労働時間!$A$5:$A$353=作業体系表!$B16)*(③労働時間!$B$5:$B$353="10月中旬")*(③労働時間!$J$5:$J$353))</f>
        <v>0</v>
      </c>
      <c r="AG16" s="383">
        <f>SUMPRODUCT((③労働時間!$A$5:$A$353=作業体系表!$B16)*(③労働時間!$B$5:$B$353="10月下旬")*(③労働時間!$J$5:$J$353))</f>
        <v>0</v>
      </c>
      <c r="AH16" s="383">
        <f>SUMPRODUCT((③労働時間!$A$5:$A$353=作業体系表!$B16)*(③労働時間!$B$5:$B$353="11月上旬")*(③労働時間!$J$5:$J$353))</f>
        <v>0</v>
      </c>
      <c r="AI16" s="383">
        <f>SUMPRODUCT((③労働時間!$A$5:$A$353=作業体系表!$B16)*(③労働時間!$B$5:$B$353="11月中旬")*(③労働時間!$J$5:$J$353))</f>
        <v>0</v>
      </c>
      <c r="AJ16" s="383">
        <f>SUMPRODUCT((③労働時間!$A$5:$A$353=作業体系表!$B16)*(③労働時間!$B$5:$B$353="11月下旬")*(③労働時間!$J$5:$J$353))</f>
        <v>0</v>
      </c>
      <c r="AK16" s="383">
        <f>SUMPRODUCT((③労働時間!$A$5:$A$353=作業体系表!$B16)*(③労働時間!$B$5:$B$353="12月上旬")*(③労働時間!$J$5:$J$353))</f>
        <v>0</v>
      </c>
      <c r="AL16" s="383">
        <f>SUMPRODUCT((③労働時間!$A$5:$A$353=作業体系表!$B16)*(③労働時間!$B$5:$B$353="12月中旬")*(③労働時間!$J$5:$J$353))</f>
        <v>0</v>
      </c>
      <c r="AM16" s="385">
        <f>SUMPRODUCT((③労働時間!$A$5:$A$353=作業体系表!$B16)*(③労働時間!$B$5:$B$353="12月下旬")*(③労働時間!$J$5:$J$353))</f>
        <v>0</v>
      </c>
      <c r="AN16" s="386">
        <f t="shared" si="0"/>
        <v>1.5</v>
      </c>
    </row>
    <row r="17" spans="2:40" ht="15" customHeight="1">
      <c r="B17" s="737" t="str">
        <f>①技術体系!A14</f>
        <v>化粧刈(牧区１)</v>
      </c>
      <c r="C17" s="738"/>
      <c r="D17" s="383">
        <f>SUMPRODUCT((③労働時間!$A$5:$A$353=作業体系表!$B17)*(③労働時間!$B$5:$B$353="1月上旬")*(③労働時間!$J$5:$J$353))</f>
        <v>0</v>
      </c>
      <c r="E17" s="383">
        <f>SUMPRODUCT((③労働時間!$A$5:$A$353=作業体系表!$B17)*(③労働時間!$B$5:$B$353="1月中旬")*(③労働時間!$J$5:$J$353))</f>
        <v>0</v>
      </c>
      <c r="F17" s="383">
        <f>SUMPRODUCT((③労働時間!$A$5:$A$353=作業体系表!$B17)*(③労働時間!$B$5:$B$353="1月下旬")*(③労働時間!$J$5:$J$353))</f>
        <v>0</v>
      </c>
      <c r="G17" s="383">
        <f>SUMPRODUCT((③労働時間!$A$5:$A$353=作業体系表!$B17)*(③労働時間!$B$5:$B$353="2月上旬")*(③労働時間!$J$5:$J$353))</f>
        <v>0</v>
      </c>
      <c r="H17" s="383">
        <f>SUMPRODUCT((③労働時間!$A$5:$A$353=作業体系表!$B17)*(③労働時間!$B$5:$B$353="2月中旬")*(③労働時間!$J$5:$J$353))</f>
        <v>0</v>
      </c>
      <c r="I17" s="383">
        <f>SUMPRODUCT((③労働時間!$A$5:$A$353=作業体系表!$B17)*(③労働時間!$B$5:$B$353="2月下旬")*(③労働時間!$J$5:$J$353))</f>
        <v>0</v>
      </c>
      <c r="J17" s="383">
        <f>SUMPRODUCT((③労働時間!$A$5:$A$353=作業体系表!$B17)*(③労働時間!$B$5:$B$353="3月上旬")*(③労働時間!$J$5:$J$353))</f>
        <v>0</v>
      </c>
      <c r="K17" s="383">
        <f>SUMPRODUCT((③労働時間!$A$5:$A$353=作業体系表!$B17)*(③労働時間!$B$5:$B$353="3月中旬")*(③労働時間!$J$5:$J$353))</f>
        <v>0</v>
      </c>
      <c r="L17" s="383">
        <f>SUMPRODUCT((③労働時間!$A$5:$A$353=作業体系表!$B17)*(③労働時間!$B$5:$B$353="3月下旬")*(③労働時間!$J$5:$J$353))</f>
        <v>0</v>
      </c>
      <c r="M17" s="383">
        <f>SUMPRODUCT((③労働時間!$A$5:$A$353=作業体系表!$B17)*(③労働時間!$B$5:$B$353="4月上旬")*(③労働時間!$J$5:$J$353))</f>
        <v>0</v>
      </c>
      <c r="N17" s="383">
        <f>SUMPRODUCT((③労働時間!$A$5:$A$353=作業体系表!$B17)*(③労働時間!$B$5:$B$353="4月中旬")*(③労働時間!$J$5:$J$353))</f>
        <v>0</v>
      </c>
      <c r="O17" s="383">
        <f>SUMPRODUCT((③労働時間!$A$5:$A$353=作業体系表!$B17)*(③労働時間!$B$5:$B$353="4月下旬")*(③労働時間!$J$5:$J$353))</f>
        <v>0</v>
      </c>
      <c r="P17" s="384">
        <f>SUMPRODUCT((③労働時間!$A$5:$A$353=作業体系表!$B17)*(③労働時間!$B$5:$B$353="5月上旬")*(③労働時間!$J$5:$J$353))</f>
        <v>0</v>
      </c>
      <c r="Q17" s="383">
        <f>SUMPRODUCT((③労働時間!$A$5:$A$353=作業体系表!$B17)*(③労働時間!$B$5:$B$353="5月中旬")*(③労働時間!$J$5:$J$353))</f>
        <v>0</v>
      </c>
      <c r="R17" s="383">
        <f>SUMPRODUCT((③労働時間!$A$5:$A$353=作業体系表!$B17)*(③労働時間!$B$5:$B$353="5月下旬")*(③労働時間!$J$5:$J$353))</f>
        <v>0</v>
      </c>
      <c r="S17" s="383">
        <f>SUMPRODUCT((③労働時間!$A$5:$A$353=作業体系表!$B17)*(③労働時間!$B$5:$B$353="6月上旬")*(③労働時間!$J$5:$J$353))</f>
        <v>0</v>
      </c>
      <c r="T17" s="383">
        <f>SUMPRODUCT((③労働時間!$A$5:$A$353=作業体系表!$B17)*(③労働時間!$B$5:$B$353="6月中旬")*(③労働時間!$J$5:$J$353))</f>
        <v>0</v>
      </c>
      <c r="U17" s="383">
        <f>SUMPRODUCT((③労働時間!$A$5:$A$353=作業体系表!$B17)*(③労働時間!$B$5:$B$353="6月下旬")*(③労働時間!$J$5:$J$353))</f>
        <v>0.10000160002560042</v>
      </c>
      <c r="V17" s="383">
        <f>SUMPRODUCT((③労働時間!$A$5:$A$353=作業体系表!$B17)*(③労働時間!$B$5:$B$353="7月上旬")*(③労働時間!$J$5:$J$353))</f>
        <v>0</v>
      </c>
      <c r="W17" s="383">
        <f>SUMPRODUCT((③労働時間!$A$5:$A$353=作業体系表!$B17)*(③労働時間!$B$5:$B$353="7月中旬")*(③労働時間!$J$5:$J$353))</f>
        <v>0</v>
      </c>
      <c r="X17" s="383">
        <f>SUMPRODUCT((③労働時間!$A$5:$A$353=作業体系表!$B17)*(③労働時間!$B$5:$B$353="7月下旬")*(③労働時間!$J$5:$J$353))</f>
        <v>0</v>
      </c>
      <c r="Y17" s="383">
        <f>SUMPRODUCT((③労働時間!$A$5:$A$353=作業体系表!$B17)*(③労働時間!$B$5:$B$353="8月上旬")*(③労働時間!$J$5:$J$353))</f>
        <v>0</v>
      </c>
      <c r="Z17" s="383">
        <f>SUMPRODUCT((③労働時間!$A$5:$A$353=作業体系表!$B17)*(③労働時間!$B$5:$B$353="8月中旬")*(③労働時間!$J$5:$J$353))</f>
        <v>0</v>
      </c>
      <c r="AA17" s="383">
        <f>SUMPRODUCT((③労働時間!$A$5:$A$353=作業体系表!$B17)*(③労働時間!$B$5:$B$353="8月下旬")*(③労働時間!$J$5:$J$353))</f>
        <v>0</v>
      </c>
      <c r="AB17" s="384">
        <f>SUMPRODUCT((③労働時間!$A$5:$A$353=作業体系表!$B17)*(③労働時間!$B$5:$B$353="9月上旬")*(③労働時間!$J$5:$J$353))</f>
        <v>0</v>
      </c>
      <c r="AC17" s="383">
        <f>SUMPRODUCT((③労働時間!$A$5:$A$353=作業体系表!$B17)*(③労働時間!$B$5:$B$353="9月中旬")*(③労働時間!$J$5:$J$353))</f>
        <v>0</v>
      </c>
      <c r="AD17" s="383">
        <f>SUMPRODUCT((③労働時間!$A$5:$A$353=作業体系表!$B17)*(③労働時間!$B$5:$B$353="9月下旬")*(③労働時間!$J$5:$J$353))</f>
        <v>0</v>
      </c>
      <c r="AE17" s="383">
        <f>SUMPRODUCT((③労働時間!$A$5:$A$353=作業体系表!$B17)*(③労働時間!$B$5:$B$353="10月上旬")*(③労働時間!$J$5:$J$353))</f>
        <v>0</v>
      </c>
      <c r="AF17" s="383">
        <f>SUMPRODUCT((③労働時間!$A$5:$A$353=作業体系表!$B17)*(③労働時間!$B$5:$B$353="10月中旬")*(③労働時間!$J$5:$J$353))</f>
        <v>0</v>
      </c>
      <c r="AG17" s="383">
        <f>SUMPRODUCT((③労働時間!$A$5:$A$353=作業体系表!$B17)*(③労働時間!$B$5:$B$353="10月下旬")*(③労働時間!$J$5:$J$353))</f>
        <v>0</v>
      </c>
      <c r="AH17" s="383">
        <f>SUMPRODUCT((③労働時間!$A$5:$A$353=作業体系表!$B17)*(③労働時間!$B$5:$B$353="11月上旬")*(③労働時間!$J$5:$J$353))</f>
        <v>0</v>
      </c>
      <c r="AI17" s="383">
        <f>SUMPRODUCT((③労働時間!$A$5:$A$353=作業体系表!$B17)*(③労働時間!$B$5:$B$353="11月中旬")*(③労働時間!$J$5:$J$353))</f>
        <v>0</v>
      </c>
      <c r="AJ17" s="383">
        <f>SUMPRODUCT((③労働時間!$A$5:$A$353=作業体系表!$B17)*(③労働時間!$B$5:$B$353="11月下旬")*(③労働時間!$J$5:$J$353))</f>
        <v>0</v>
      </c>
      <c r="AK17" s="383">
        <f>SUMPRODUCT((③労働時間!$A$5:$A$353=作業体系表!$B17)*(③労働時間!$B$5:$B$353="12月上旬")*(③労働時間!$J$5:$J$353))</f>
        <v>0</v>
      </c>
      <c r="AL17" s="383">
        <f>SUMPRODUCT((③労働時間!$A$5:$A$353=作業体系表!$B17)*(③労働時間!$B$5:$B$353="12月中旬")*(③労働時間!$J$5:$J$353))</f>
        <v>0</v>
      </c>
      <c r="AM17" s="385">
        <f>SUMPRODUCT((③労働時間!$A$5:$A$353=作業体系表!$B17)*(③労働時間!$B$5:$B$353="12月下旬")*(③労働時間!$J$5:$J$353))</f>
        <v>0</v>
      </c>
      <c r="AN17" s="386">
        <f t="shared" si="0"/>
        <v>0.10000160002560042</v>
      </c>
    </row>
    <row r="18" spans="2:40" ht="15" customHeight="1">
      <c r="B18" s="737" t="str">
        <f>①技術体系!A15</f>
        <v>転牧(牧区３)</v>
      </c>
      <c r="C18" s="738"/>
      <c r="D18" s="383">
        <f>SUMPRODUCT((③労働時間!$A$5:$A$353=作業体系表!$B18)*(③労働時間!$B$5:$B$353="1月上旬")*(③労働時間!$J$5:$J$353))</f>
        <v>0</v>
      </c>
      <c r="E18" s="383">
        <f>SUMPRODUCT((③労働時間!$A$5:$A$353=作業体系表!$B18)*(③労働時間!$B$5:$B$353="1月中旬")*(③労働時間!$J$5:$J$353))</f>
        <v>0</v>
      </c>
      <c r="F18" s="383">
        <f>SUMPRODUCT((③労働時間!$A$5:$A$353=作業体系表!$B18)*(③労働時間!$B$5:$B$353="1月下旬")*(③労働時間!$J$5:$J$353))</f>
        <v>0</v>
      </c>
      <c r="G18" s="383">
        <f>SUMPRODUCT((③労働時間!$A$5:$A$353=作業体系表!$B18)*(③労働時間!$B$5:$B$353="2月上旬")*(③労働時間!$J$5:$J$353))</f>
        <v>0</v>
      </c>
      <c r="H18" s="383">
        <f>SUMPRODUCT((③労働時間!$A$5:$A$353=作業体系表!$B18)*(③労働時間!$B$5:$B$353="2月中旬")*(③労働時間!$J$5:$J$353))</f>
        <v>0</v>
      </c>
      <c r="I18" s="383">
        <f>SUMPRODUCT((③労働時間!$A$5:$A$353=作業体系表!$B18)*(③労働時間!$B$5:$B$353="2月下旬")*(③労働時間!$J$5:$J$353))</f>
        <v>0</v>
      </c>
      <c r="J18" s="383">
        <f>SUMPRODUCT((③労働時間!$A$5:$A$353=作業体系表!$B18)*(③労働時間!$B$5:$B$353="3月上旬")*(③労働時間!$J$5:$J$353))</f>
        <v>0</v>
      </c>
      <c r="K18" s="383">
        <f>SUMPRODUCT((③労働時間!$A$5:$A$353=作業体系表!$B18)*(③労働時間!$B$5:$B$353="3月中旬")*(③労働時間!$J$5:$J$353))</f>
        <v>0</v>
      </c>
      <c r="L18" s="383">
        <f>SUMPRODUCT((③労働時間!$A$5:$A$353=作業体系表!$B18)*(③労働時間!$B$5:$B$353="3月下旬")*(③労働時間!$J$5:$J$353))</f>
        <v>0</v>
      </c>
      <c r="M18" s="383">
        <f>SUMPRODUCT((③労働時間!$A$5:$A$353=作業体系表!$B18)*(③労働時間!$B$5:$B$353="4月上旬")*(③労働時間!$J$5:$J$353))</f>
        <v>0</v>
      </c>
      <c r="N18" s="383">
        <f>SUMPRODUCT((③労働時間!$A$5:$A$353=作業体系表!$B18)*(③労働時間!$B$5:$B$353="4月中旬")*(③労働時間!$J$5:$J$353))</f>
        <v>0</v>
      </c>
      <c r="O18" s="383">
        <f>SUMPRODUCT((③労働時間!$A$5:$A$353=作業体系表!$B18)*(③労働時間!$B$5:$B$353="4月下旬")*(③労働時間!$J$5:$J$353))</f>
        <v>0</v>
      </c>
      <c r="P18" s="384">
        <f>SUMPRODUCT((③労働時間!$A$5:$A$353=作業体系表!$B18)*(③労働時間!$B$5:$B$353="5月上旬")*(③労働時間!$J$5:$J$353))</f>
        <v>0</v>
      </c>
      <c r="Q18" s="383">
        <f>SUMPRODUCT((③労働時間!$A$5:$A$353=作業体系表!$B18)*(③労働時間!$B$5:$B$353="5月中旬")*(③労働時間!$J$5:$J$353))</f>
        <v>0</v>
      </c>
      <c r="R18" s="383">
        <f>SUMPRODUCT((③労働時間!$A$5:$A$353=作業体系表!$B18)*(③労働時間!$B$5:$B$353="5月下旬")*(③労働時間!$J$5:$J$353))</f>
        <v>0</v>
      </c>
      <c r="S18" s="383">
        <f>SUMPRODUCT((③労働時間!$A$5:$A$353=作業体系表!$B18)*(③労働時間!$B$5:$B$353="6月上旬")*(③労働時間!$J$5:$J$353))</f>
        <v>0</v>
      </c>
      <c r="T18" s="383">
        <f>SUMPRODUCT((③労働時間!$A$5:$A$353=作業体系表!$B18)*(③労働時間!$B$5:$B$353="6月中旬")*(③労働時間!$J$5:$J$353))</f>
        <v>0</v>
      </c>
      <c r="U18" s="383">
        <f>SUMPRODUCT((③労働時間!$A$5:$A$353=作業体系表!$B18)*(③労働時間!$B$5:$B$353="6月下旬")*(③労働時間!$J$5:$J$353))</f>
        <v>0</v>
      </c>
      <c r="V18" s="383">
        <f>SUMPRODUCT((③労働時間!$A$5:$A$353=作業体系表!$B18)*(③労働時間!$B$5:$B$353="7月上旬")*(③労働時間!$J$5:$J$353))</f>
        <v>0</v>
      </c>
      <c r="W18" s="383">
        <f>SUMPRODUCT((③労働時間!$A$5:$A$353=作業体系表!$B18)*(③労働時間!$B$5:$B$353="7月中旬")*(③労働時間!$J$5:$J$353))</f>
        <v>0</v>
      </c>
      <c r="X18" s="383">
        <f>SUMPRODUCT((③労働時間!$A$5:$A$353=作業体系表!$B18)*(③労働時間!$B$5:$B$353="7月下旬")*(③労働時間!$J$5:$J$353))</f>
        <v>0.1</v>
      </c>
      <c r="Y18" s="383">
        <f>SUMPRODUCT((③労働時間!$A$5:$A$353=作業体系表!$B18)*(③労働時間!$B$5:$B$353="8月上旬")*(③労働時間!$J$5:$J$353))</f>
        <v>0</v>
      </c>
      <c r="Z18" s="383">
        <f>SUMPRODUCT((③労働時間!$A$5:$A$353=作業体系表!$B18)*(③労働時間!$B$5:$B$353="8月中旬")*(③労働時間!$J$5:$J$353))</f>
        <v>0</v>
      </c>
      <c r="AA18" s="383">
        <f>SUMPRODUCT((③労働時間!$A$5:$A$353=作業体系表!$B18)*(③労働時間!$B$5:$B$353="8月下旬")*(③労働時間!$J$5:$J$353))</f>
        <v>0</v>
      </c>
      <c r="AB18" s="384">
        <f>SUMPRODUCT((③労働時間!$A$5:$A$353=作業体系表!$B18)*(③労働時間!$B$5:$B$353="9月上旬")*(③労働時間!$J$5:$J$353))</f>
        <v>0</v>
      </c>
      <c r="AC18" s="383">
        <f>SUMPRODUCT((③労働時間!$A$5:$A$353=作業体系表!$B18)*(③労働時間!$B$5:$B$353="9月中旬")*(③労働時間!$J$5:$J$353))</f>
        <v>0</v>
      </c>
      <c r="AD18" s="383">
        <f>SUMPRODUCT((③労働時間!$A$5:$A$353=作業体系表!$B18)*(③労働時間!$B$5:$B$353="9月下旬")*(③労働時間!$J$5:$J$353))</f>
        <v>0</v>
      </c>
      <c r="AE18" s="383">
        <f>SUMPRODUCT((③労働時間!$A$5:$A$353=作業体系表!$B18)*(③労働時間!$B$5:$B$353="10月上旬")*(③労働時間!$J$5:$J$353))</f>
        <v>0</v>
      </c>
      <c r="AF18" s="383">
        <f>SUMPRODUCT((③労働時間!$A$5:$A$353=作業体系表!$B18)*(③労働時間!$B$5:$B$353="10月中旬")*(③労働時間!$J$5:$J$353))</f>
        <v>0</v>
      </c>
      <c r="AG18" s="383">
        <f>SUMPRODUCT((③労働時間!$A$5:$A$353=作業体系表!$B18)*(③労働時間!$B$5:$B$353="10月下旬")*(③労働時間!$J$5:$J$353))</f>
        <v>0</v>
      </c>
      <c r="AH18" s="383">
        <f>SUMPRODUCT((③労働時間!$A$5:$A$353=作業体系表!$B18)*(③労働時間!$B$5:$B$353="11月上旬")*(③労働時間!$J$5:$J$353))</f>
        <v>0</v>
      </c>
      <c r="AI18" s="383">
        <f>SUMPRODUCT((③労働時間!$A$5:$A$353=作業体系表!$B18)*(③労働時間!$B$5:$B$353="11月中旬")*(③労働時間!$J$5:$J$353))</f>
        <v>0</v>
      </c>
      <c r="AJ18" s="383">
        <f>SUMPRODUCT((③労働時間!$A$5:$A$353=作業体系表!$B18)*(③労働時間!$B$5:$B$353="11月下旬")*(③労働時間!$J$5:$J$353))</f>
        <v>0</v>
      </c>
      <c r="AK18" s="383">
        <f>SUMPRODUCT((③労働時間!$A$5:$A$353=作業体系表!$B18)*(③労働時間!$B$5:$B$353="12月上旬")*(③労働時間!$J$5:$J$353))</f>
        <v>0</v>
      </c>
      <c r="AL18" s="383">
        <f>SUMPRODUCT((③労働時間!$A$5:$A$353=作業体系表!$B18)*(③労働時間!$B$5:$B$353="12月中旬")*(③労働時間!$J$5:$J$353))</f>
        <v>0</v>
      </c>
      <c r="AM18" s="385">
        <f>SUMPRODUCT((③労働時間!$A$5:$A$353=作業体系表!$B18)*(③労働時間!$B$5:$B$353="12月下旬")*(③労働時間!$J$5:$J$353))</f>
        <v>0</v>
      </c>
      <c r="AN18" s="386">
        <f t="shared" si="0"/>
        <v>0.1</v>
      </c>
    </row>
    <row r="19" spans="2:40" ht="15" customHeight="1">
      <c r="B19" s="737" t="str">
        <f>①技術体系!A16</f>
        <v>放牧管理(牧区3)</v>
      </c>
      <c r="C19" s="738"/>
      <c r="D19" s="383">
        <f>SUMPRODUCT((③労働時間!$A$5:$A$353=作業体系表!$B19)*(③労働時間!$B$5:$B$353="1月上旬")*(③労働時間!$J$5:$J$353))</f>
        <v>0</v>
      </c>
      <c r="E19" s="383">
        <f>SUMPRODUCT((③労働時間!$A$5:$A$353=作業体系表!$B19)*(③労働時間!$B$5:$B$353="1月中旬")*(③労働時間!$J$5:$J$353))</f>
        <v>0</v>
      </c>
      <c r="F19" s="383">
        <f>SUMPRODUCT((③労働時間!$A$5:$A$353=作業体系表!$B19)*(③労働時間!$B$5:$B$353="1月下旬")*(③労働時間!$J$5:$J$353))</f>
        <v>0</v>
      </c>
      <c r="G19" s="383">
        <f>SUMPRODUCT((③労働時間!$A$5:$A$353=作業体系表!$B19)*(③労働時間!$B$5:$B$353="2月上旬")*(③労働時間!$J$5:$J$353))</f>
        <v>0</v>
      </c>
      <c r="H19" s="383">
        <f>SUMPRODUCT((③労働時間!$A$5:$A$353=作業体系表!$B19)*(③労働時間!$B$5:$B$353="2月中旬")*(③労働時間!$J$5:$J$353))</f>
        <v>0</v>
      </c>
      <c r="I19" s="383">
        <f>SUMPRODUCT((③労働時間!$A$5:$A$353=作業体系表!$B19)*(③労働時間!$B$5:$B$353="2月下旬")*(③労働時間!$J$5:$J$353))</f>
        <v>0</v>
      </c>
      <c r="J19" s="383">
        <f>SUMPRODUCT((③労働時間!$A$5:$A$353=作業体系表!$B19)*(③労働時間!$B$5:$B$353="3月上旬")*(③労働時間!$J$5:$J$353))</f>
        <v>0</v>
      </c>
      <c r="K19" s="383">
        <f>SUMPRODUCT((③労働時間!$A$5:$A$353=作業体系表!$B19)*(③労働時間!$B$5:$B$353="3月中旬")*(③労働時間!$J$5:$J$353))</f>
        <v>0</v>
      </c>
      <c r="L19" s="383">
        <f>SUMPRODUCT((③労働時間!$A$5:$A$353=作業体系表!$B19)*(③労働時間!$B$5:$B$353="3月下旬")*(③労働時間!$J$5:$J$353))</f>
        <v>0</v>
      </c>
      <c r="M19" s="383">
        <f>SUMPRODUCT((③労働時間!$A$5:$A$353=作業体系表!$B19)*(③労働時間!$B$5:$B$353="4月上旬")*(③労働時間!$J$5:$J$353))</f>
        <v>0</v>
      </c>
      <c r="N19" s="383">
        <f>SUMPRODUCT((③労働時間!$A$5:$A$353=作業体系表!$B19)*(③労働時間!$B$5:$B$353="4月中旬")*(③労働時間!$J$5:$J$353))</f>
        <v>0</v>
      </c>
      <c r="O19" s="383">
        <f>SUMPRODUCT((③労働時間!$A$5:$A$353=作業体系表!$B19)*(③労働時間!$B$5:$B$353="4月下旬")*(③労働時間!$J$5:$J$353))</f>
        <v>0</v>
      </c>
      <c r="P19" s="384">
        <f>SUMPRODUCT((③労働時間!$A$5:$A$353=作業体系表!$B19)*(③労働時間!$B$5:$B$353="5月上旬")*(③労働時間!$J$5:$J$353))</f>
        <v>0</v>
      </c>
      <c r="Q19" s="383">
        <f>SUMPRODUCT((③労働時間!$A$5:$A$353=作業体系表!$B19)*(③労働時間!$B$5:$B$353="5月中旬")*(③労働時間!$J$5:$J$353))</f>
        <v>0</v>
      </c>
      <c r="R19" s="383">
        <f>SUMPRODUCT((③労働時間!$A$5:$A$353=作業体系表!$B19)*(③労働時間!$B$5:$B$353="5月下旬")*(③労働時間!$J$5:$J$353))</f>
        <v>0</v>
      </c>
      <c r="S19" s="383">
        <f>SUMPRODUCT((③労働時間!$A$5:$A$353=作業体系表!$B19)*(③労働時間!$B$5:$B$353="6月上旬")*(③労働時間!$J$5:$J$353))</f>
        <v>0</v>
      </c>
      <c r="T19" s="383">
        <f>SUMPRODUCT((③労働時間!$A$5:$A$353=作業体系表!$B19)*(③労働時間!$B$5:$B$353="6月中旬")*(③労働時間!$J$5:$J$353))</f>
        <v>0</v>
      </c>
      <c r="U19" s="383">
        <f>SUMPRODUCT((③労働時間!$A$5:$A$353=作業体系表!$B19)*(③労働時間!$B$5:$B$353="6月下旬")*(③労働時間!$J$5:$J$353))</f>
        <v>0</v>
      </c>
      <c r="V19" s="383">
        <f>SUMPRODUCT((③労働時間!$A$5:$A$353=作業体系表!$B19)*(③労働時間!$B$5:$B$353="7月上旬")*(③労働時間!$J$5:$J$353))</f>
        <v>0</v>
      </c>
      <c r="W19" s="383">
        <f>SUMPRODUCT((③労働時間!$A$5:$A$353=作業体系表!$B19)*(③労働時間!$B$5:$B$353="7月中旬")*(③労働時間!$J$5:$J$353))</f>
        <v>0</v>
      </c>
      <c r="X19" s="383">
        <f>SUMPRODUCT((③労働時間!$A$5:$A$353=作業体系表!$B19)*(③労働時間!$B$5:$B$353="7月下旬")*(③労働時間!$J$5:$J$353))</f>
        <v>0.5</v>
      </c>
      <c r="Y19" s="383">
        <f>SUMPRODUCT((③労働時間!$A$5:$A$353=作業体系表!$B19)*(③労働時間!$B$5:$B$353="8月上旬")*(③労働時間!$J$5:$J$353))</f>
        <v>0.5</v>
      </c>
      <c r="Z19" s="383">
        <f>SUMPRODUCT((③労働時間!$A$5:$A$353=作業体系表!$B19)*(③労働時間!$B$5:$B$353="8月中旬")*(③労働時間!$J$5:$J$353))</f>
        <v>0.5</v>
      </c>
      <c r="AA19" s="383">
        <f>SUMPRODUCT((③労働時間!$A$5:$A$353=作業体系表!$B19)*(③労働時間!$B$5:$B$353="8月下旬")*(③労働時間!$J$5:$J$353))</f>
        <v>0</v>
      </c>
      <c r="AB19" s="384">
        <f>SUMPRODUCT((③労働時間!$A$5:$A$353=作業体系表!$B19)*(③労働時間!$B$5:$B$353="9月上旬")*(③労働時間!$J$5:$J$353))</f>
        <v>0</v>
      </c>
      <c r="AC19" s="383">
        <f>SUMPRODUCT((③労働時間!$A$5:$A$353=作業体系表!$B19)*(③労働時間!$B$5:$B$353="9月中旬")*(③労働時間!$J$5:$J$353))</f>
        <v>0</v>
      </c>
      <c r="AD19" s="383">
        <f>SUMPRODUCT((③労働時間!$A$5:$A$353=作業体系表!$B19)*(③労働時間!$B$5:$B$353="9月下旬")*(③労働時間!$J$5:$J$353))</f>
        <v>0</v>
      </c>
      <c r="AE19" s="383">
        <f>SUMPRODUCT((③労働時間!$A$5:$A$353=作業体系表!$B19)*(③労働時間!$B$5:$B$353="10月上旬")*(③労働時間!$J$5:$J$353))</f>
        <v>0</v>
      </c>
      <c r="AF19" s="383">
        <f>SUMPRODUCT((③労働時間!$A$5:$A$353=作業体系表!$B19)*(③労働時間!$B$5:$B$353="10月中旬")*(③労働時間!$J$5:$J$353))</f>
        <v>0</v>
      </c>
      <c r="AG19" s="383">
        <f>SUMPRODUCT((③労働時間!$A$5:$A$353=作業体系表!$B19)*(③労働時間!$B$5:$B$353="10月下旬")*(③労働時間!$J$5:$J$353))</f>
        <v>0</v>
      </c>
      <c r="AH19" s="383">
        <f>SUMPRODUCT((③労働時間!$A$5:$A$353=作業体系表!$B19)*(③労働時間!$B$5:$B$353="11月上旬")*(③労働時間!$J$5:$J$353))</f>
        <v>0</v>
      </c>
      <c r="AI19" s="383">
        <f>SUMPRODUCT((③労働時間!$A$5:$A$353=作業体系表!$B19)*(③労働時間!$B$5:$B$353="11月中旬")*(③労働時間!$J$5:$J$353))</f>
        <v>0</v>
      </c>
      <c r="AJ19" s="383">
        <f>SUMPRODUCT((③労働時間!$A$5:$A$353=作業体系表!$B19)*(③労働時間!$B$5:$B$353="11月下旬")*(③労働時間!$J$5:$J$353))</f>
        <v>0</v>
      </c>
      <c r="AK19" s="383">
        <f>SUMPRODUCT((③労働時間!$A$5:$A$353=作業体系表!$B19)*(③労働時間!$B$5:$B$353="12月上旬")*(③労働時間!$J$5:$J$353))</f>
        <v>0</v>
      </c>
      <c r="AL19" s="383">
        <f>SUMPRODUCT((③労働時間!$A$5:$A$353=作業体系表!$B19)*(③労働時間!$B$5:$B$353="12月中旬")*(③労働時間!$J$5:$J$353))</f>
        <v>0</v>
      </c>
      <c r="AM19" s="385">
        <f>SUMPRODUCT((③労働時間!$A$5:$A$353=作業体系表!$B19)*(③労働時間!$B$5:$B$353="12月下旬")*(③労働時間!$J$5:$J$353))</f>
        <v>0</v>
      </c>
      <c r="AN19" s="386">
        <f t="shared" si="0"/>
        <v>1.5</v>
      </c>
    </row>
    <row r="20" spans="2:40" ht="15" customHeight="1">
      <c r="B20" s="737" t="str">
        <f>①技術体系!A17</f>
        <v>化粧刈(牧区２)</v>
      </c>
      <c r="C20" s="738"/>
      <c r="D20" s="383">
        <f>SUMPRODUCT((③労働時間!$A$5:$A$353=作業体系表!$B20)*(③労働時間!$B$5:$B$353="1月上旬")*(③労働時間!$J$5:$J$353))</f>
        <v>0</v>
      </c>
      <c r="E20" s="383">
        <f>SUMPRODUCT((③労働時間!$A$5:$A$353=作業体系表!$B20)*(③労働時間!$B$5:$B$353="1月中旬")*(③労働時間!$J$5:$J$353))</f>
        <v>0</v>
      </c>
      <c r="F20" s="383">
        <f>SUMPRODUCT((③労働時間!$A$5:$A$353=作業体系表!$B20)*(③労働時間!$B$5:$B$353="1月下旬")*(③労働時間!$J$5:$J$353))</f>
        <v>0</v>
      </c>
      <c r="G20" s="383">
        <f>SUMPRODUCT((③労働時間!$A$5:$A$353=作業体系表!$B20)*(③労働時間!$B$5:$B$353="2月上旬")*(③労働時間!$J$5:$J$353))</f>
        <v>0</v>
      </c>
      <c r="H20" s="383">
        <f>SUMPRODUCT((③労働時間!$A$5:$A$353=作業体系表!$B20)*(③労働時間!$B$5:$B$353="2月中旬")*(③労働時間!$J$5:$J$353))</f>
        <v>0</v>
      </c>
      <c r="I20" s="383">
        <f>SUMPRODUCT((③労働時間!$A$5:$A$353=作業体系表!$B20)*(③労働時間!$B$5:$B$353="2月下旬")*(③労働時間!$J$5:$J$353))</f>
        <v>0</v>
      </c>
      <c r="J20" s="383">
        <f>SUMPRODUCT((③労働時間!$A$5:$A$353=作業体系表!$B20)*(③労働時間!$B$5:$B$353="3月上旬")*(③労働時間!$J$5:$J$353))</f>
        <v>0</v>
      </c>
      <c r="K20" s="383">
        <f>SUMPRODUCT((③労働時間!$A$5:$A$353=作業体系表!$B20)*(③労働時間!$B$5:$B$353="3月中旬")*(③労働時間!$J$5:$J$353))</f>
        <v>0</v>
      </c>
      <c r="L20" s="383">
        <f>SUMPRODUCT((③労働時間!$A$5:$A$353=作業体系表!$B20)*(③労働時間!$B$5:$B$353="3月下旬")*(③労働時間!$J$5:$J$353))</f>
        <v>0</v>
      </c>
      <c r="M20" s="383">
        <f>SUMPRODUCT((③労働時間!$A$5:$A$353=作業体系表!$B20)*(③労働時間!$B$5:$B$353="4月上旬")*(③労働時間!$J$5:$J$353))</f>
        <v>0</v>
      </c>
      <c r="N20" s="383">
        <f>SUMPRODUCT((③労働時間!$A$5:$A$353=作業体系表!$B20)*(③労働時間!$B$5:$B$353="4月中旬")*(③労働時間!$J$5:$J$353))</f>
        <v>0</v>
      </c>
      <c r="O20" s="383">
        <f>SUMPRODUCT((③労働時間!$A$5:$A$353=作業体系表!$B20)*(③労働時間!$B$5:$B$353="4月下旬")*(③労働時間!$J$5:$J$353))</f>
        <v>0</v>
      </c>
      <c r="P20" s="384">
        <f>SUMPRODUCT((③労働時間!$A$5:$A$353=作業体系表!$B20)*(③労働時間!$B$5:$B$353="5月上旬")*(③労働時間!$J$5:$J$353))</f>
        <v>0</v>
      </c>
      <c r="Q20" s="383">
        <f>SUMPRODUCT((③労働時間!$A$5:$A$353=作業体系表!$B20)*(③労働時間!$B$5:$B$353="5月中旬")*(③労働時間!$J$5:$J$353))</f>
        <v>0</v>
      </c>
      <c r="R20" s="383">
        <f>SUMPRODUCT((③労働時間!$A$5:$A$353=作業体系表!$B20)*(③労働時間!$B$5:$B$353="5月下旬")*(③労働時間!$J$5:$J$353))</f>
        <v>0</v>
      </c>
      <c r="S20" s="383">
        <f>SUMPRODUCT((③労働時間!$A$5:$A$353=作業体系表!$B20)*(③労働時間!$B$5:$B$353="6月上旬")*(③労働時間!$J$5:$J$353))</f>
        <v>0</v>
      </c>
      <c r="T20" s="383">
        <f>SUMPRODUCT((③労働時間!$A$5:$A$353=作業体系表!$B20)*(③労働時間!$B$5:$B$353="6月中旬")*(③労働時間!$J$5:$J$353))</f>
        <v>0</v>
      </c>
      <c r="U20" s="383">
        <f>SUMPRODUCT((③労働時間!$A$5:$A$353=作業体系表!$B20)*(③労働時間!$B$5:$B$353="6月下旬")*(③労働時間!$J$5:$J$353))</f>
        <v>0</v>
      </c>
      <c r="V20" s="383">
        <f>SUMPRODUCT((③労働時間!$A$5:$A$353=作業体系表!$B20)*(③労働時間!$B$5:$B$353="7月上旬")*(③労働時間!$J$5:$J$353))</f>
        <v>0</v>
      </c>
      <c r="W20" s="383">
        <f>SUMPRODUCT((③労働時間!$A$5:$A$353=作業体系表!$B20)*(③労働時間!$B$5:$B$353="7月中旬")*(③労働時間!$J$5:$J$353))</f>
        <v>0</v>
      </c>
      <c r="X20" s="383">
        <f>SUMPRODUCT((③労働時間!$A$5:$A$353=作業体系表!$B20)*(③労働時間!$B$5:$B$353="7月下旬")*(③労働時間!$J$5:$J$353))</f>
        <v>0.10000160002560042</v>
      </c>
      <c r="Y20" s="383">
        <f>SUMPRODUCT((③労働時間!$A$5:$A$353=作業体系表!$B20)*(③労働時間!$B$5:$B$353="8月上旬")*(③労働時間!$J$5:$J$353))</f>
        <v>0</v>
      </c>
      <c r="Z20" s="383">
        <f>SUMPRODUCT((③労働時間!$A$5:$A$353=作業体系表!$B20)*(③労働時間!$B$5:$B$353="8月中旬")*(③労働時間!$J$5:$J$353))</f>
        <v>0</v>
      </c>
      <c r="AA20" s="383">
        <f>SUMPRODUCT((③労働時間!$A$5:$A$353=作業体系表!$B20)*(③労働時間!$B$5:$B$353="8月下旬")*(③労働時間!$J$5:$J$353))</f>
        <v>0</v>
      </c>
      <c r="AB20" s="384">
        <f>SUMPRODUCT((③労働時間!$A$5:$A$353=作業体系表!$B20)*(③労働時間!$B$5:$B$353="9月上旬")*(③労働時間!$J$5:$J$353))</f>
        <v>0</v>
      </c>
      <c r="AC20" s="383">
        <f>SUMPRODUCT((③労働時間!$A$5:$A$353=作業体系表!$B20)*(③労働時間!$B$5:$B$353="9月中旬")*(③労働時間!$J$5:$J$353))</f>
        <v>0</v>
      </c>
      <c r="AD20" s="383">
        <f>SUMPRODUCT((③労働時間!$A$5:$A$353=作業体系表!$B20)*(③労働時間!$B$5:$B$353="9月下旬")*(③労働時間!$J$5:$J$353))</f>
        <v>0</v>
      </c>
      <c r="AE20" s="383">
        <f>SUMPRODUCT((③労働時間!$A$5:$A$353=作業体系表!$B20)*(③労働時間!$B$5:$B$353="10月上旬")*(③労働時間!$J$5:$J$353))</f>
        <v>0</v>
      </c>
      <c r="AF20" s="383">
        <f>SUMPRODUCT((③労働時間!$A$5:$A$353=作業体系表!$B20)*(③労働時間!$B$5:$B$353="10月中旬")*(③労働時間!$J$5:$J$353))</f>
        <v>0</v>
      </c>
      <c r="AG20" s="383">
        <f>SUMPRODUCT((③労働時間!$A$5:$A$353=作業体系表!$B20)*(③労働時間!$B$5:$B$353="10月下旬")*(③労働時間!$J$5:$J$353))</f>
        <v>0</v>
      </c>
      <c r="AH20" s="383">
        <f>SUMPRODUCT((③労働時間!$A$5:$A$353=作業体系表!$B20)*(③労働時間!$B$5:$B$353="11月上旬")*(③労働時間!$J$5:$J$353))</f>
        <v>0</v>
      </c>
      <c r="AI20" s="383">
        <f>SUMPRODUCT((③労働時間!$A$5:$A$353=作業体系表!$B20)*(③労働時間!$B$5:$B$353="11月中旬")*(③労働時間!$J$5:$J$353))</f>
        <v>0</v>
      </c>
      <c r="AJ20" s="383">
        <f>SUMPRODUCT((③労働時間!$A$5:$A$353=作業体系表!$B20)*(③労働時間!$B$5:$B$353="11月下旬")*(③労働時間!$J$5:$J$353))</f>
        <v>0</v>
      </c>
      <c r="AK20" s="383">
        <f>SUMPRODUCT((③労働時間!$A$5:$A$353=作業体系表!$B20)*(③労働時間!$B$5:$B$353="12月上旬")*(③労働時間!$J$5:$J$353))</f>
        <v>0</v>
      </c>
      <c r="AL20" s="383">
        <f>SUMPRODUCT((③労働時間!$A$5:$A$353=作業体系表!$B20)*(③労働時間!$B$5:$B$353="12月中旬")*(③労働時間!$J$5:$J$353))</f>
        <v>0</v>
      </c>
      <c r="AM20" s="385">
        <f>SUMPRODUCT((③労働時間!$A$5:$A$353=作業体系表!$B20)*(③労働時間!$B$5:$B$353="12月下旬")*(③労働時間!$J$5:$J$353))</f>
        <v>0</v>
      </c>
      <c r="AN20" s="386">
        <f t="shared" si="0"/>
        <v>0.10000160002560042</v>
      </c>
    </row>
    <row r="21" spans="2:40" ht="15" customHeight="1">
      <c r="B21" s="737" t="str">
        <f>①技術体系!A18</f>
        <v>転牧(牧区１)</v>
      </c>
      <c r="C21" s="738"/>
      <c r="D21" s="383">
        <f>SUMPRODUCT((③労働時間!$A$5:$A$353=作業体系表!$B21)*(③労働時間!$B$5:$B$353="1月上旬")*(③労働時間!$J$5:$J$353))</f>
        <v>0</v>
      </c>
      <c r="E21" s="383">
        <f>SUMPRODUCT((③労働時間!$A$5:$A$353=作業体系表!$B21)*(③労働時間!$B$5:$B$353="1月中旬")*(③労働時間!$J$5:$J$353))</f>
        <v>0</v>
      </c>
      <c r="F21" s="383">
        <f>SUMPRODUCT((③労働時間!$A$5:$A$353=作業体系表!$B21)*(③労働時間!$B$5:$B$353="1月下旬")*(③労働時間!$J$5:$J$353))</f>
        <v>0</v>
      </c>
      <c r="G21" s="383">
        <f>SUMPRODUCT((③労働時間!$A$5:$A$353=作業体系表!$B21)*(③労働時間!$B$5:$B$353="2月上旬")*(③労働時間!$J$5:$J$353))</f>
        <v>0</v>
      </c>
      <c r="H21" s="383">
        <f>SUMPRODUCT((③労働時間!$A$5:$A$353=作業体系表!$B21)*(③労働時間!$B$5:$B$353="2月中旬")*(③労働時間!$J$5:$J$353))</f>
        <v>0</v>
      </c>
      <c r="I21" s="383">
        <f>SUMPRODUCT((③労働時間!$A$5:$A$353=作業体系表!$B21)*(③労働時間!$B$5:$B$353="2月下旬")*(③労働時間!$J$5:$J$353))</f>
        <v>0</v>
      </c>
      <c r="J21" s="383">
        <f>SUMPRODUCT((③労働時間!$A$5:$A$353=作業体系表!$B21)*(③労働時間!$B$5:$B$353="3月上旬")*(③労働時間!$J$5:$J$353))</f>
        <v>0</v>
      </c>
      <c r="K21" s="383">
        <f>SUMPRODUCT((③労働時間!$A$5:$A$353=作業体系表!$B21)*(③労働時間!$B$5:$B$353="3月中旬")*(③労働時間!$J$5:$J$353))</f>
        <v>0</v>
      </c>
      <c r="L21" s="383">
        <f>SUMPRODUCT((③労働時間!$A$5:$A$353=作業体系表!$B21)*(③労働時間!$B$5:$B$353="3月下旬")*(③労働時間!$J$5:$J$353))</f>
        <v>0</v>
      </c>
      <c r="M21" s="383">
        <f>SUMPRODUCT((③労働時間!$A$5:$A$353=作業体系表!$B21)*(③労働時間!$B$5:$B$353="4月上旬")*(③労働時間!$J$5:$J$353))</f>
        <v>0</v>
      </c>
      <c r="N21" s="383">
        <f>SUMPRODUCT((③労働時間!$A$5:$A$353=作業体系表!$B21)*(③労働時間!$B$5:$B$353="4月中旬")*(③労働時間!$J$5:$J$353))</f>
        <v>0</v>
      </c>
      <c r="O21" s="383">
        <f>SUMPRODUCT((③労働時間!$A$5:$A$353=作業体系表!$B21)*(③労働時間!$B$5:$B$353="4月下旬")*(③労働時間!$J$5:$J$353))</f>
        <v>0</v>
      </c>
      <c r="P21" s="384">
        <f>SUMPRODUCT((③労働時間!$A$5:$A$353=作業体系表!$B21)*(③労働時間!$B$5:$B$353="5月上旬")*(③労働時間!$J$5:$J$353))</f>
        <v>0</v>
      </c>
      <c r="Q21" s="383">
        <f>SUMPRODUCT((③労働時間!$A$5:$A$353=作業体系表!$B21)*(③労働時間!$B$5:$B$353="5月中旬")*(③労働時間!$J$5:$J$353))</f>
        <v>0</v>
      </c>
      <c r="R21" s="383">
        <f>SUMPRODUCT((③労働時間!$A$5:$A$353=作業体系表!$B21)*(③労働時間!$B$5:$B$353="5月下旬")*(③労働時間!$J$5:$J$353))</f>
        <v>0</v>
      </c>
      <c r="S21" s="383">
        <f>SUMPRODUCT((③労働時間!$A$5:$A$353=作業体系表!$B21)*(③労働時間!$B$5:$B$353="6月上旬")*(③労働時間!$J$5:$J$353))</f>
        <v>0</v>
      </c>
      <c r="T21" s="383">
        <f>SUMPRODUCT((③労働時間!$A$5:$A$353=作業体系表!$B21)*(③労働時間!$B$5:$B$353="6月中旬")*(③労働時間!$J$5:$J$353))</f>
        <v>0</v>
      </c>
      <c r="U21" s="383">
        <f>SUMPRODUCT((③労働時間!$A$5:$A$353=作業体系表!$B21)*(③労働時間!$B$5:$B$353="6月下旬")*(③労働時間!$J$5:$J$353))</f>
        <v>0</v>
      </c>
      <c r="V21" s="383">
        <f>SUMPRODUCT((③労働時間!$A$5:$A$353=作業体系表!$B21)*(③労働時間!$B$5:$B$353="7月上旬")*(③労働時間!$J$5:$J$353))</f>
        <v>0</v>
      </c>
      <c r="W21" s="383">
        <f>SUMPRODUCT((③労働時間!$A$5:$A$353=作業体系表!$B21)*(③労働時間!$B$5:$B$353="7月中旬")*(③労働時間!$J$5:$J$353))</f>
        <v>0</v>
      </c>
      <c r="X21" s="383">
        <f>SUMPRODUCT((③労働時間!$A$5:$A$353=作業体系表!$B21)*(③労働時間!$B$5:$B$353="7月下旬")*(③労働時間!$J$5:$J$353))</f>
        <v>0</v>
      </c>
      <c r="Y21" s="383">
        <f>SUMPRODUCT((③労働時間!$A$5:$A$353=作業体系表!$B21)*(③労働時間!$B$5:$B$353="8月上旬")*(③労働時間!$J$5:$J$353))</f>
        <v>0</v>
      </c>
      <c r="Z21" s="383">
        <f>SUMPRODUCT((③労働時間!$A$5:$A$353=作業体系表!$B21)*(③労働時間!$B$5:$B$353="8月中旬")*(③労働時間!$J$5:$J$353))</f>
        <v>0</v>
      </c>
      <c r="AA21" s="383">
        <f>SUMPRODUCT((③労働時間!$A$5:$A$353=作業体系表!$B21)*(③労働時間!$B$5:$B$353="8月下旬")*(③労働時間!$J$5:$J$353))</f>
        <v>0.1</v>
      </c>
      <c r="AB21" s="384">
        <f>SUMPRODUCT((③労働時間!$A$5:$A$353=作業体系表!$B21)*(③労働時間!$B$5:$B$353="9月上旬")*(③労働時間!$J$5:$J$353))</f>
        <v>0</v>
      </c>
      <c r="AC21" s="383">
        <f>SUMPRODUCT((③労働時間!$A$5:$A$353=作業体系表!$B21)*(③労働時間!$B$5:$B$353="9月中旬")*(③労働時間!$J$5:$J$353))</f>
        <v>0</v>
      </c>
      <c r="AD21" s="383">
        <f>SUMPRODUCT((③労働時間!$A$5:$A$353=作業体系表!$B21)*(③労働時間!$B$5:$B$353="9月下旬")*(③労働時間!$J$5:$J$353))</f>
        <v>0</v>
      </c>
      <c r="AE21" s="383">
        <f>SUMPRODUCT((③労働時間!$A$5:$A$353=作業体系表!$B21)*(③労働時間!$B$5:$B$353="10月上旬")*(③労働時間!$J$5:$J$353))</f>
        <v>0</v>
      </c>
      <c r="AF21" s="383">
        <f>SUMPRODUCT((③労働時間!$A$5:$A$353=作業体系表!$B21)*(③労働時間!$B$5:$B$353="10月中旬")*(③労働時間!$J$5:$J$353))</f>
        <v>0</v>
      </c>
      <c r="AG21" s="383">
        <f>SUMPRODUCT((③労働時間!$A$5:$A$353=作業体系表!$B21)*(③労働時間!$B$5:$B$353="10月下旬")*(③労働時間!$J$5:$J$353))</f>
        <v>0</v>
      </c>
      <c r="AH21" s="383">
        <f>SUMPRODUCT((③労働時間!$A$5:$A$353=作業体系表!$B21)*(③労働時間!$B$5:$B$353="11月上旬")*(③労働時間!$J$5:$J$353))</f>
        <v>0</v>
      </c>
      <c r="AI21" s="383">
        <f>SUMPRODUCT((③労働時間!$A$5:$A$353=作業体系表!$B21)*(③労働時間!$B$5:$B$353="11月中旬")*(③労働時間!$J$5:$J$353))</f>
        <v>0</v>
      </c>
      <c r="AJ21" s="383">
        <f>SUMPRODUCT((③労働時間!$A$5:$A$353=作業体系表!$B21)*(③労働時間!$B$5:$B$353="11月下旬")*(③労働時間!$J$5:$J$353))</f>
        <v>0</v>
      </c>
      <c r="AK21" s="383">
        <f>SUMPRODUCT((③労働時間!$A$5:$A$353=作業体系表!$B21)*(③労働時間!$B$5:$B$353="12月上旬")*(③労働時間!$J$5:$J$353))</f>
        <v>0</v>
      </c>
      <c r="AL21" s="383">
        <f>SUMPRODUCT((③労働時間!$A$5:$A$353=作業体系表!$B21)*(③労働時間!$B$5:$B$353="12月中旬")*(③労働時間!$J$5:$J$353))</f>
        <v>0</v>
      </c>
      <c r="AM21" s="385">
        <f>SUMPRODUCT((③労働時間!$A$5:$A$353=作業体系表!$B21)*(③労働時間!$B$5:$B$353="12月下旬")*(③労働時間!$J$5:$J$353))</f>
        <v>0</v>
      </c>
      <c r="AN21" s="386">
        <f t="shared" si="0"/>
        <v>0.1</v>
      </c>
    </row>
    <row r="22" spans="2:40" ht="15" customHeight="1">
      <c r="B22" s="737" t="str">
        <f>①技術体系!A19</f>
        <v>放牧管理(牧区1')</v>
      </c>
      <c r="C22" s="738"/>
      <c r="D22" s="383">
        <f>SUMPRODUCT((③労働時間!$A$5:$A$353=作業体系表!$B22)*(③労働時間!$B$5:$B$353="1月上旬")*(③労働時間!$J$5:$J$353))</f>
        <v>0</v>
      </c>
      <c r="E22" s="383">
        <f>SUMPRODUCT((③労働時間!$A$5:$A$353=作業体系表!$B22)*(③労働時間!$B$5:$B$353="1月中旬")*(③労働時間!$J$5:$J$353))</f>
        <v>0</v>
      </c>
      <c r="F22" s="383">
        <f>SUMPRODUCT((③労働時間!$A$5:$A$353=作業体系表!$B22)*(③労働時間!$B$5:$B$353="1月下旬")*(③労働時間!$J$5:$J$353))</f>
        <v>0</v>
      </c>
      <c r="G22" s="383">
        <f>SUMPRODUCT((③労働時間!$A$5:$A$353=作業体系表!$B22)*(③労働時間!$B$5:$B$353="2月上旬")*(③労働時間!$J$5:$J$353))</f>
        <v>0</v>
      </c>
      <c r="H22" s="383">
        <f>SUMPRODUCT((③労働時間!$A$5:$A$353=作業体系表!$B22)*(③労働時間!$B$5:$B$353="2月中旬")*(③労働時間!$J$5:$J$353))</f>
        <v>0</v>
      </c>
      <c r="I22" s="383">
        <f>SUMPRODUCT((③労働時間!$A$5:$A$353=作業体系表!$B22)*(③労働時間!$B$5:$B$353="2月下旬")*(③労働時間!$J$5:$J$353))</f>
        <v>0</v>
      </c>
      <c r="J22" s="383">
        <f>SUMPRODUCT((③労働時間!$A$5:$A$353=作業体系表!$B22)*(③労働時間!$B$5:$B$353="3月上旬")*(③労働時間!$J$5:$J$353))</f>
        <v>0</v>
      </c>
      <c r="K22" s="383">
        <f>SUMPRODUCT((③労働時間!$A$5:$A$353=作業体系表!$B22)*(③労働時間!$B$5:$B$353="3月中旬")*(③労働時間!$J$5:$J$353))</f>
        <v>0</v>
      </c>
      <c r="L22" s="383">
        <f>SUMPRODUCT((③労働時間!$A$5:$A$353=作業体系表!$B22)*(③労働時間!$B$5:$B$353="3月下旬")*(③労働時間!$J$5:$J$353))</f>
        <v>0</v>
      </c>
      <c r="M22" s="383">
        <f>SUMPRODUCT((③労働時間!$A$5:$A$353=作業体系表!$B22)*(③労働時間!$B$5:$B$353="4月上旬")*(③労働時間!$J$5:$J$353))</f>
        <v>0</v>
      </c>
      <c r="N22" s="383">
        <f>SUMPRODUCT((③労働時間!$A$5:$A$353=作業体系表!$B22)*(③労働時間!$B$5:$B$353="4月中旬")*(③労働時間!$J$5:$J$353))</f>
        <v>0</v>
      </c>
      <c r="O22" s="383">
        <f>SUMPRODUCT((③労働時間!$A$5:$A$353=作業体系表!$B22)*(③労働時間!$B$5:$B$353="4月下旬")*(③労働時間!$J$5:$J$353))</f>
        <v>0</v>
      </c>
      <c r="P22" s="384">
        <f>SUMPRODUCT((③労働時間!$A$5:$A$353=作業体系表!$B22)*(③労働時間!$B$5:$B$353="5月上旬")*(③労働時間!$J$5:$J$353))</f>
        <v>0</v>
      </c>
      <c r="Q22" s="383">
        <f>SUMPRODUCT((③労働時間!$A$5:$A$353=作業体系表!$B22)*(③労働時間!$B$5:$B$353="5月中旬")*(③労働時間!$J$5:$J$353))</f>
        <v>0</v>
      </c>
      <c r="R22" s="383">
        <f>SUMPRODUCT((③労働時間!$A$5:$A$353=作業体系表!$B22)*(③労働時間!$B$5:$B$353="5月下旬")*(③労働時間!$J$5:$J$353))</f>
        <v>0</v>
      </c>
      <c r="S22" s="383">
        <f>SUMPRODUCT((③労働時間!$A$5:$A$353=作業体系表!$B22)*(③労働時間!$B$5:$B$353="6月上旬")*(③労働時間!$J$5:$J$353))</f>
        <v>0</v>
      </c>
      <c r="T22" s="383">
        <f>SUMPRODUCT((③労働時間!$A$5:$A$353=作業体系表!$B22)*(③労働時間!$B$5:$B$353="6月中旬")*(③労働時間!$J$5:$J$353))</f>
        <v>0</v>
      </c>
      <c r="U22" s="383">
        <f>SUMPRODUCT((③労働時間!$A$5:$A$353=作業体系表!$B22)*(③労働時間!$B$5:$B$353="6月下旬")*(③労働時間!$J$5:$J$353))</f>
        <v>0</v>
      </c>
      <c r="V22" s="383">
        <f>SUMPRODUCT((③労働時間!$A$5:$A$353=作業体系表!$B22)*(③労働時間!$B$5:$B$353="7月上旬")*(③労働時間!$J$5:$J$353))</f>
        <v>0</v>
      </c>
      <c r="W22" s="383">
        <f>SUMPRODUCT((③労働時間!$A$5:$A$353=作業体系表!$B22)*(③労働時間!$B$5:$B$353="7月中旬")*(③労働時間!$J$5:$J$353))</f>
        <v>0</v>
      </c>
      <c r="X22" s="383">
        <f>SUMPRODUCT((③労働時間!$A$5:$A$353=作業体系表!$B22)*(③労働時間!$B$5:$B$353="7月下旬")*(③労働時間!$J$5:$J$353))</f>
        <v>0</v>
      </c>
      <c r="Y22" s="383">
        <f>SUMPRODUCT((③労働時間!$A$5:$A$353=作業体系表!$B22)*(③労働時間!$B$5:$B$353="8月上旬")*(③労働時間!$J$5:$J$353))</f>
        <v>0</v>
      </c>
      <c r="Z22" s="383">
        <f>SUMPRODUCT((③労働時間!$A$5:$A$353=作業体系表!$B22)*(③労働時間!$B$5:$B$353="8月中旬")*(③労働時間!$J$5:$J$353))</f>
        <v>0</v>
      </c>
      <c r="AA22" s="383">
        <f>SUMPRODUCT((③労働時間!$A$5:$A$353=作業体系表!$B22)*(③労働時間!$B$5:$B$353="8月下旬")*(③労働時間!$J$5:$J$353))</f>
        <v>0.5</v>
      </c>
      <c r="AB22" s="384">
        <f>SUMPRODUCT((③労働時間!$A$5:$A$353=作業体系表!$B22)*(③労働時間!$B$5:$B$353="9月上旬")*(③労働時間!$J$5:$J$353))</f>
        <v>0.5</v>
      </c>
      <c r="AC22" s="383">
        <f>SUMPRODUCT((③労働時間!$A$5:$A$353=作業体系表!$B22)*(③労働時間!$B$5:$B$353="9月中旬")*(③労働時間!$J$5:$J$353))</f>
        <v>0.5</v>
      </c>
      <c r="AD22" s="383">
        <f>SUMPRODUCT((③労働時間!$A$5:$A$353=作業体系表!$B22)*(③労働時間!$B$5:$B$353="9月下旬")*(③労働時間!$J$5:$J$353))</f>
        <v>0</v>
      </c>
      <c r="AE22" s="383">
        <f>SUMPRODUCT((③労働時間!$A$5:$A$353=作業体系表!$B22)*(③労働時間!$B$5:$B$353="10月上旬")*(③労働時間!$J$5:$J$353))</f>
        <v>0</v>
      </c>
      <c r="AF22" s="383">
        <f>SUMPRODUCT((③労働時間!$A$5:$A$353=作業体系表!$B22)*(③労働時間!$B$5:$B$353="10月中旬")*(③労働時間!$J$5:$J$353))</f>
        <v>0</v>
      </c>
      <c r="AG22" s="383">
        <f>SUMPRODUCT((③労働時間!$A$5:$A$353=作業体系表!$B22)*(③労働時間!$B$5:$B$353="10月下旬")*(③労働時間!$J$5:$J$353))</f>
        <v>0</v>
      </c>
      <c r="AH22" s="383">
        <f>SUMPRODUCT((③労働時間!$A$5:$A$353=作業体系表!$B22)*(③労働時間!$B$5:$B$353="11月上旬")*(③労働時間!$J$5:$J$353))</f>
        <v>0</v>
      </c>
      <c r="AI22" s="383">
        <f>SUMPRODUCT((③労働時間!$A$5:$A$353=作業体系表!$B22)*(③労働時間!$B$5:$B$353="11月中旬")*(③労働時間!$J$5:$J$353))</f>
        <v>0</v>
      </c>
      <c r="AJ22" s="383">
        <f>SUMPRODUCT((③労働時間!$A$5:$A$353=作業体系表!$B22)*(③労働時間!$B$5:$B$353="11月下旬")*(③労働時間!$J$5:$J$353))</f>
        <v>0</v>
      </c>
      <c r="AK22" s="383">
        <f>SUMPRODUCT((③労働時間!$A$5:$A$353=作業体系表!$B22)*(③労働時間!$B$5:$B$353="12月上旬")*(③労働時間!$J$5:$J$353))</f>
        <v>0</v>
      </c>
      <c r="AL22" s="383">
        <f>SUMPRODUCT((③労働時間!$A$5:$A$353=作業体系表!$B22)*(③労働時間!$B$5:$B$353="12月中旬")*(③労働時間!$J$5:$J$353))</f>
        <v>0</v>
      </c>
      <c r="AM22" s="385">
        <f>SUMPRODUCT((③労働時間!$A$5:$A$353=作業体系表!$B22)*(③労働時間!$B$5:$B$353="12月下旬")*(③労働時間!$J$5:$J$353))</f>
        <v>0</v>
      </c>
      <c r="AN22" s="386">
        <f t="shared" si="0"/>
        <v>1.5</v>
      </c>
    </row>
    <row r="23" spans="2:40" ht="15" customHeight="1">
      <c r="B23" s="737" t="str">
        <f>①技術体系!A20</f>
        <v>化粧刈(牧区３)</v>
      </c>
      <c r="C23" s="738"/>
      <c r="D23" s="383">
        <f>SUMPRODUCT((③労働時間!$A$5:$A$353=作業体系表!$B23)*(③労働時間!$B$5:$B$353="1月上旬")*(③労働時間!$J$5:$J$353))</f>
        <v>0</v>
      </c>
      <c r="E23" s="383">
        <f>SUMPRODUCT((③労働時間!$A$5:$A$353=作業体系表!$B23)*(③労働時間!$B$5:$B$353="1月中旬")*(③労働時間!$J$5:$J$353))</f>
        <v>0</v>
      </c>
      <c r="F23" s="383">
        <f>SUMPRODUCT((③労働時間!$A$5:$A$353=作業体系表!$B23)*(③労働時間!$B$5:$B$353="1月下旬")*(③労働時間!$J$5:$J$353))</f>
        <v>0</v>
      </c>
      <c r="G23" s="383">
        <f>SUMPRODUCT((③労働時間!$A$5:$A$353=作業体系表!$B23)*(③労働時間!$B$5:$B$353="2月上旬")*(③労働時間!$J$5:$J$353))</f>
        <v>0</v>
      </c>
      <c r="H23" s="383">
        <f>SUMPRODUCT((③労働時間!$A$5:$A$353=作業体系表!$B23)*(③労働時間!$B$5:$B$353="2月中旬")*(③労働時間!$J$5:$J$353))</f>
        <v>0</v>
      </c>
      <c r="I23" s="383">
        <f>SUMPRODUCT((③労働時間!$A$5:$A$353=作業体系表!$B23)*(③労働時間!$B$5:$B$353="2月下旬")*(③労働時間!$J$5:$J$353))</f>
        <v>0</v>
      </c>
      <c r="J23" s="383">
        <f>SUMPRODUCT((③労働時間!$A$5:$A$353=作業体系表!$B23)*(③労働時間!$B$5:$B$353="3月上旬")*(③労働時間!$J$5:$J$353))</f>
        <v>0</v>
      </c>
      <c r="K23" s="383">
        <f>SUMPRODUCT((③労働時間!$A$5:$A$353=作業体系表!$B23)*(③労働時間!$B$5:$B$353="3月中旬")*(③労働時間!$J$5:$J$353))</f>
        <v>0</v>
      </c>
      <c r="L23" s="383">
        <f>SUMPRODUCT((③労働時間!$A$5:$A$353=作業体系表!$B23)*(③労働時間!$B$5:$B$353="3月下旬")*(③労働時間!$J$5:$J$353))</f>
        <v>0</v>
      </c>
      <c r="M23" s="383">
        <f>SUMPRODUCT((③労働時間!$A$5:$A$353=作業体系表!$B23)*(③労働時間!$B$5:$B$353="4月上旬")*(③労働時間!$J$5:$J$353))</f>
        <v>0</v>
      </c>
      <c r="N23" s="383">
        <f>SUMPRODUCT((③労働時間!$A$5:$A$353=作業体系表!$B23)*(③労働時間!$B$5:$B$353="4月中旬")*(③労働時間!$J$5:$J$353))</f>
        <v>0</v>
      </c>
      <c r="O23" s="383">
        <f>SUMPRODUCT((③労働時間!$A$5:$A$353=作業体系表!$B23)*(③労働時間!$B$5:$B$353="4月下旬")*(③労働時間!$J$5:$J$353))</f>
        <v>0</v>
      </c>
      <c r="P23" s="384">
        <f>SUMPRODUCT((③労働時間!$A$5:$A$353=作業体系表!$B23)*(③労働時間!$B$5:$B$353="5月上旬")*(③労働時間!$J$5:$J$353))</f>
        <v>0</v>
      </c>
      <c r="Q23" s="383">
        <f>SUMPRODUCT((③労働時間!$A$5:$A$353=作業体系表!$B23)*(③労働時間!$B$5:$B$353="5月中旬")*(③労働時間!$J$5:$J$353))</f>
        <v>0</v>
      </c>
      <c r="R23" s="383">
        <f>SUMPRODUCT((③労働時間!$A$5:$A$353=作業体系表!$B23)*(③労働時間!$B$5:$B$353="5月下旬")*(③労働時間!$J$5:$J$353))</f>
        <v>0</v>
      </c>
      <c r="S23" s="383">
        <f>SUMPRODUCT((③労働時間!$A$5:$A$353=作業体系表!$B23)*(③労働時間!$B$5:$B$353="6月上旬")*(③労働時間!$J$5:$J$353))</f>
        <v>0</v>
      </c>
      <c r="T23" s="383">
        <f>SUMPRODUCT((③労働時間!$A$5:$A$353=作業体系表!$B23)*(③労働時間!$B$5:$B$353="6月中旬")*(③労働時間!$J$5:$J$353))</f>
        <v>0</v>
      </c>
      <c r="U23" s="383">
        <f>SUMPRODUCT((③労働時間!$A$5:$A$353=作業体系表!$B23)*(③労働時間!$B$5:$B$353="6月下旬")*(③労働時間!$J$5:$J$353))</f>
        <v>0</v>
      </c>
      <c r="V23" s="383">
        <f>SUMPRODUCT((③労働時間!$A$5:$A$353=作業体系表!$B23)*(③労働時間!$B$5:$B$353="7月上旬")*(③労働時間!$J$5:$J$353))</f>
        <v>0</v>
      </c>
      <c r="W23" s="383">
        <f>SUMPRODUCT((③労働時間!$A$5:$A$353=作業体系表!$B23)*(③労働時間!$B$5:$B$353="7月中旬")*(③労働時間!$J$5:$J$353))</f>
        <v>0</v>
      </c>
      <c r="X23" s="383">
        <f>SUMPRODUCT((③労働時間!$A$5:$A$353=作業体系表!$B23)*(③労働時間!$B$5:$B$353="7月下旬")*(③労働時間!$J$5:$J$353))</f>
        <v>0</v>
      </c>
      <c r="Y23" s="383">
        <f>SUMPRODUCT((③労働時間!$A$5:$A$353=作業体系表!$B23)*(③労働時間!$B$5:$B$353="8月上旬")*(③労働時間!$J$5:$J$353))</f>
        <v>0</v>
      </c>
      <c r="Z23" s="383">
        <f>SUMPRODUCT((③労働時間!$A$5:$A$353=作業体系表!$B23)*(③労働時間!$B$5:$B$353="8月中旬")*(③労働時間!$J$5:$J$353))</f>
        <v>0</v>
      </c>
      <c r="AA23" s="383">
        <f>SUMPRODUCT((③労働時間!$A$5:$A$353=作業体系表!$B23)*(③労働時間!$B$5:$B$353="8月下旬")*(③労働時間!$J$5:$J$353))</f>
        <v>0.10000160002560042</v>
      </c>
      <c r="AB23" s="384">
        <f>SUMPRODUCT((③労働時間!$A$5:$A$353=作業体系表!$B23)*(③労働時間!$B$5:$B$353="9月上旬")*(③労働時間!$J$5:$J$353))</f>
        <v>0</v>
      </c>
      <c r="AC23" s="383">
        <f>SUMPRODUCT((③労働時間!$A$5:$A$353=作業体系表!$B23)*(③労働時間!$B$5:$B$353="9月中旬")*(③労働時間!$J$5:$J$353))</f>
        <v>0</v>
      </c>
      <c r="AD23" s="383">
        <f>SUMPRODUCT((③労働時間!$A$5:$A$353=作業体系表!$B23)*(③労働時間!$B$5:$B$353="9月下旬")*(③労働時間!$J$5:$J$353))</f>
        <v>0</v>
      </c>
      <c r="AE23" s="383">
        <f>SUMPRODUCT((③労働時間!$A$5:$A$353=作業体系表!$B23)*(③労働時間!$B$5:$B$353="10月上旬")*(③労働時間!$J$5:$J$353))</f>
        <v>0</v>
      </c>
      <c r="AF23" s="383">
        <f>SUMPRODUCT((③労働時間!$A$5:$A$353=作業体系表!$B23)*(③労働時間!$B$5:$B$353="10月中旬")*(③労働時間!$J$5:$J$353))</f>
        <v>0</v>
      </c>
      <c r="AG23" s="383">
        <f>SUMPRODUCT((③労働時間!$A$5:$A$353=作業体系表!$B23)*(③労働時間!$B$5:$B$353="10月下旬")*(③労働時間!$J$5:$J$353))</f>
        <v>0</v>
      </c>
      <c r="AH23" s="383">
        <f>SUMPRODUCT((③労働時間!$A$5:$A$353=作業体系表!$B23)*(③労働時間!$B$5:$B$353="11月上旬")*(③労働時間!$J$5:$J$353))</f>
        <v>0</v>
      </c>
      <c r="AI23" s="383">
        <f>SUMPRODUCT((③労働時間!$A$5:$A$353=作業体系表!$B23)*(③労働時間!$B$5:$B$353="11月中旬")*(③労働時間!$J$5:$J$353))</f>
        <v>0</v>
      </c>
      <c r="AJ23" s="383">
        <f>SUMPRODUCT((③労働時間!$A$5:$A$353=作業体系表!$B23)*(③労働時間!$B$5:$B$353="11月下旬")*(③労働時間!$J$5:$J$353))</f>
        <v>0</v>
      </c>
      <c r="AK23" s="383">
        <f>SUMPRODUCT((③労働時間!$A$5:$A$353=作業体系表!$B23)*(③労働時間!$B$5:$B$353="12月上旬")*(③労働時間!$J$5:$J$353))</f>
        <v>0</v>
      </c>
      <c r="AL23" s="383">
        <f>SUMPRODUCT((③労働時間!$A$5:$A$353=作業体系表!$B23)*(③労働時間!$B$5:$B$353="12月中旬")*(③労働時間!$J$5:$J$353))</f>
        <v>0</v>
      </c>
      <c r="AM23" s="385">
        <f>SUMPRODUCT((③労働時間!$A$5:$A$353=作業体系表!$B23)*(③労働時間!$B$5:$B$353="12月下旬")*(③労働時間!$J$5:$J$353))</f>
        <v>0</v>
      </c>
      <c r="AN23" s="386">
        <f t="shared" si="0"/>
        <v>0.10000160002560042</v>
      </c>
    </row>
    <row r="24" spans="2:40" ht="15" customHeight="1">
      <c r="B24" s="737" t="str">
        <f>①技術体系!A21</f>
        <v>転牧(牧区２')</v>
      </c>
      <c r="C24" s="738"/>
      <c r="D24" s="383">
        <f>SUMPRODUCT((③労働時間!$A$5:$A$353=作業体系表!$B24)*(③労働時間!$B$5:$B$353="1月上旬")*(③労働時間!$J$5:$J$353))</f>
        <v>0</v>
      </c>
      <c r="E24" s="383">
        <f>SUMPRODUCT((③労働時間!$A$5:$A$353=作業体系表!$B24)*(③労働時間!$B$5:$B$353="1月中旬")*(③労働時間!$J$5:$J$353))</f>
        <v>0</v>
      </c>
      <c r="F24" s="383">
        <f>SUMPRODUCT((③労働時間!$A$5:$A$353=作業体系表!$B24)*(③労働時間!$B$5:$B$353="1月下旬")*(③労働時間!$J$5:$J$353))</f>
        <v>0</v>
      </c>
      <c r="G24" s="383">
        <f>SUMPRODUCT((③労働時間!$A$5:$A$353=作業体系表!$B24)*(③労働時間!$B$5:$B$353="2月上旬")*(③労働時間!$J$5:$J$353))</f>
        <v>0</v>
      </c>
      <c r="H24" s="383">
        <f>SUMPRODUCT((③労働時間!$A$5:$A$353=作業体系表!$B24)*(③労働時間!$B$5:$B$353="2月中旬")*(③労働時間!$J$5:$J$353))</f>
        <v>0</v>
      </c>
      <c r="I24" s="383">
        <f>SUMPRODUCT((③労働時間!$A$5:$A$353=作業体系表!$B24)*(③労働時間!$B$5:$B$353="2月下旬")*(③労働時間!$J$5:$J$353))</f>
        <v>0</v>
      </c>
      <c r="J24" s="383">
        <f>SUMPRODUCT((③労働時間!$A$5:$A$353=作業体系表!$B24)*(③労働時間!$B$5:$B$353="3月上旬")*(③労働時間!$J$5:$J$353))</f>
        <v>0</v>
      </c>
      <c r="K24" s="383">
        <f>SUMPRODUCT((③労働時間!$A$5:$A$353=作業体系表!$B24)*(③労働時間!$B$5:$B$353="3月中旬")*(③労働時間!$J$5:$J$353))</f>
        <v>0</v>
      </c>
      <c r="L24" s="383">
        <f>SUMPRODUCT((③労働時間!$A$5:$A$353=作業体系表!$B24)*(③労働時間!$B$5:$B$353="3月下旬")*(③労働時間!$J$5:$J$353))</f>
        <v>0</v>
      </c>
      <c r="M24" s="383">
        <f>SUMPRODUCT((③労働時間!$A$5:$A$353=作業体系表!$B24)*(③労働時間!$B$5:$B$353="4月上旬")*(③労働時間!$J$5:$J$353))</f>
        <v>0</v>
      </c>
      <c r="N24" s="383">
        <f>SUMPRODUCT((③労働時間!$A$5:$A$353=作業体系表!$B24)*(③労働時間!$B$5:$B$353="4月中旬")*(③労働時間!$J$5:$J$353))</f>
        <v>0</v>
      </c>
      <c r="O24" s="383">
        <f>SUMPRODUCT((③労働時間!$A$5:$A$353=作業体系表!$B24)*(③労働時間!$B$5:$B$353="4月下旬")*(③労働時間!$J$5:$J$353))</f>
        <v>0</v>
      </c>
      <c r="P24" s="384">
        <f>SUMPRODUCT((③労働時間!$A$5:$A$353=作業体系表!$B24)*(③労働時間!$B$5:$B$353="5月上旬")*(③労働時間!$J$5:$J$353))</f>
        <v>0</v>
      </c>
      <c r="Q24" s="383">
        <f>SUMPRODUCT((③労働時間!$A$5:$A$353=作業体系表!$B24)*(③労働時間!$B$5:$B$353="5月中旬")*(③労働時間!$J$5:$J$353))</f>
        <v>0</v>
      </c>
      <c r="R24" s="383">
        <f>SUMPRODUCT((③労働時間!$A$5:$A$353=作業体系表!$B24)*(③労働時間!$B$5:$B$353="5月下旬")*(③労働時間!$J$5:$J$353))</f>
        <v>0</v>
      </c>
      <c r="S24" s="383">
        <f>SUMPRODUCT((③労働時間!$A$5:$A$353=作業体系表!$B24)*(③労働時間!$B$5:$B$353="6月上旬")*(③労働時間!$J$5:$J$353))</f>
        <v>0</v>
      </c>
      <c r="T24" s="383">
        <f>SUMPRODUCT((③労働時間!$A$5:$A$353=作業体系表!$B24)*(③労働時間!$B$5:$B$353="6月中旬")*(③労働時間!$J$5:$J$353))</f>
        <v>0</v>
      </c>
      <c r="U24" s="383">
        <f>SUMPRODUCT((③労働時間!$A$5:$A$353=作業体系表!$B24)*(③労働時間!$B$5:$B$353="6月下旬")*(③労働時間!$J$5:$J$353))</f>
        <v>0</v>
      </c>
      <c r="V24" s="383">
        <f>SUMPRODUCT((③労働時間!$A$5:$A$353=作業体系表!$B24)*(③労働時間!$B$5:$B$353="7月上旬")*(③労働時間!$J$5:$J$353))</f>
        <v>0</v>
      </c>
      <c r="W24" s="383">
        <f>SUMPRODUCT((③労働時間!$A$5:$A$353=作業体系表!$B24)*(③労働時間!$B$5:$B$353="7月中旬")*(③労働時間!$J$5:$J$353))</f>
        <v>0</v>
      </c>
      <c r="X24" s="383">
        <f>SUMPRODUCT((③労働時間!$A$5:$A$353=作業体系表!$B24)*(③労働時間!$B$5:$B$353="7月下旬")*(③労働時間!$J$5:$J$353))</f>
        <v>0</v>
      </c>
      <c r="Y24" s="383">
        <f>SUMPRODUCT((③労働時間!$A$5:$A$353=作業体系表!$B24)*(③労働時間!$B$5:$B$353="8月上旬")*(③労働時間!$J$5:$J$353))</f>
        <v>0</v>
      </c>
      <c r="Z24" s="383">
        <f>SUMPRODUCT((③労働時間!$A$5:$A$353=作業体系表!$B24)*(③労働時間!$B$5:$B$353="8月中旬")*(③労働時間!$J$5:$J$353))</f>
        <v>0</v>
      </c>
      <c r="AA24" s="383">
        <f>SUMPRODUCT((③労働時間!$A$5:$A$353=作業体系表!$B24)*(③労働時間!$B$5:$B$353="8月下旬")*(③労働時間!$J$5:$J$353))</f>
        <v>0</v>
      </c>
      <c r="AB24" s="384">
        <f>SUMPRODUCT((③労働時間!$A$5:$A$353=作業体系表!$B24)*(③労働時間!$B$5:$B$353="9月上旬")*(③労働時間!$J$5:$J$353))</f>
        <v>0</v>
      </c>
      <c r="AC24" s="383">
        <f>SUMPRODUCT((③労働時間!$A$5:$A$353=作業体系表!$B24)*(③労働時間!$B$5:$B$353="9月中旬")*(③労働時間!$J$5:$J$353))</f>
        <v>0</v>
      </c>
      <c r="AD24" s="383">
        <f>SUMPRODUCT((③労働時間!$A$5:$A$353=作業体系表!$B24)*(③労働時間!$B$5:$B$353="9月下旬")*(③労働時間!$J$5:$J$353))</f>
        <v>0.1</v>
      </c>
      <c r="AE24" s="383">
        <f>SUMPRODUCT((③労働時間!$A$5:$A$353=作業体系表!$B24)*(③労働時間!$B$5:$B$353="10月上旬")*(③労働時間!$J$5:$J$353))</f>
        <v>0</v>
      </c>
      <c r="AF24" s="383">
        <f>SUMPRODUCT((③労働時間!$A$5:$A$353=作業体系表!$B24)*(③労働時間!$B$5:$B$353="10月中旬")*(③労働時間!$J$5:$J$353))</f>
        <v>0</v>
      </c>
      <c r="AG24" s="383">
        <f>SUMPRODUCT((③労働時間!$A$5:$A$353=作業体系表!$B24)*(③労働時間!$B$5:$B$353="10月下旬")*(③労働時間!$J$5:$J$353))</f>
        <v>0</v>
      </c>
      <c r="AH24" s="383">
        <f>SUMPRODUCT((③労働時間!$A$5:$A$353=作業体系表!$B24)*(③労働時間!$B$5:$B$353="11月上旬")*(③労働時間!$J$5:$J$353))</f>
        <v>0</v>
      </c>
      <c r="AI24" s="383">
        <f>SUMPRODUCT((③労働時間!$A$5:$A$353=作業体系表!$B24)*(③労働時間!$B$5:$B$353="11月中旬")*(③労働時間!$J$5:$J$353))</f>
        <v>0</v>
      </c>
      <c r="AJ24" s="383">
        <f>SUMPRODUCT((③労働時間!$A$5:$A$353=作業体系表!$B24)*(③労働時間!$B$5:$B$353="11月下旬")*(③労働時間!$J$5:$J$353))</f>
        <v>0</v>
      </c>
      <c r="AK24" s="383">
        <f>SUMPRODUCT((③労働時間!$A$5:$A$353=作業体系表!$B24)*(③労働時間!$B$5:$B$353="12月上旬")*(③労働時間!$J$5:$J$353))</f>
        <v>0</v>
      </c>
      <c r="AL24" s="383">
        <f>SUMPRODUCT((③労働時間!$A$5:$A$353=作業体系表!$B24)*(③労働時間!$B$5:$B$353="12月中旬")*(③労働時間!$J$5:$J$353))</f>
        <v>0</v>
      </c>
      <c r="AM24" s="385">
        <f>SUMPRODUCT((③労働時間!$A$5:$A$353=作業体系表!$B24)*(③労働時間!$B$5:$B$353="12月下旬")*(③労働時間!$J$5:$J$353))</f>
        <v>0</v>
      </c>
      <c r="AN24" s="386">
        <f t="shared" si="0"/>
        <v>0.1</v>
      </c>
    </row>
    <row r="25" spans="2:40" ht="15" customHeight="1">
      <c r="B25" s="737" t="str">
        <f>①技術体系!A22</f>
        <v>放牧管理(牧区2')</v>
      </c>
      <c r="C25" s="738"/>
      <c r="D25" s="383">
        <f>SUMPRODUCT((③労働時間!$A$5:$A$353=作業体系表!$B25)*(③労働時間!$B$5:$B$353="1月上旬")*(③労働時間!$J$5:$J$353))</f>
        <v>0</v>
      </c>
      <c r="E25" s="383">
        <f>SUMPRODUCT((③労働時間!$A$5:$A$353=作業体系表!$B25)*(③労働時間!$B$5:$B$353="1月中旬")*(③労働時間!$J$5:$J$353))</f>
        <v>0</v>
      </c>
      <c r="F25" s="383">
        <f>SUMPRODUCT((③労働時間!$A$5:$A$353=作業体系表!$B25)*(③労働時間!$B$5:$B$353="1月下旬")*(③労働時間!$J$5:$J$353))</f>
        <v>0</v>
      </c>
      <c r="G25" s="383">
        <f>SUMPRODUCT((③労働時間!$A$5:$A$353=作業体系表!$B25)*(③労働時間!$B$5:$B$353="2月上旬")*(③労働時間!$J$5:$J$353))</f>
        <v>0</v>
      </c>
      <c r="H25" s="383">
        <f>SUMPRODUCT((③労働時間!$A$5:$A$353=作業体系表!$B25)*(③労働時間!$B$5:$B$353="2月中旬")*(③労働時間!$J$5:$J$353))</f>
        <v>0</v>
      </c>
      <c r="I25" s="383">
        <f>SUMPRODUCT((③労働時間!$A$5:$A$353=作業体系表!$B25)*(③労働時間!$B$5:$B$353="2月下旬")*(③労働時間!$J$5:$J$353))</f>
        <v>0</v>
      </c>
      <c r="J25" s="383">
        <f>SUMPRODUCT((③労働時間!$A$5:$A$353=作業体系表!$B25)*(③労働時間!$B$5:$B$353="3月上旬")*(③労働時間!$J$5:$J$353))</f>
        <v>0</v>
      </c>
      <c r="K25" s="383">
        <f>SUMPRODUCT((③労働時間!$A$5:$A$353=作業体系表!$B25)*(③労働時間!$B$5:$B$353="3月中旬")*(③労働時間!$J$5:$J$353))</f>
        <v>0</v>
      </c>
      <c r="L25" s="383">
        <f>SUMPRODUCT((③労働時間!$A$5:$A$353=作業体系表!$B25)*(③労働時間!$B$5:$B$353="3月下旬")*(③労働時間!$J$5:$J$353))</f>
        <v>0</v>
      </c>
      <c r="M25" s="383">
        <f>SUMPRODUCT((③労働時間!$A$5:$A$353=作業体系表!$B25)*(③労働時間!$B$5:$B$353="4月上旬")*(③労働時間!$J$5:$J$353))</f>
        <v>0</v>
      </c>
      <c r="N25" s="383">
        <f>SUMPRODUCT((③労働時間!$A$5:$A$353=作業体系表!$B25)*(③労働時間!$B$5:$B$353="4月中旬")*(③労働時間!$J$5:$J$353))</f>
        <v>0</v>
      </c>
      <c r="O25" s="383">
        <f>SUMPRODUCT((③労働時間!$A$5:$A$353=作業体系表!$B25)*(③労働時間!$B$5:$B$353="4月下旬")*(③労働時間!$J$5:$J$353))</f>
        <v>0</v>
      </c>
      <c r="P25" s="384">
        <f>SUMPRODUCT((③労働時間!$A$5:$A$353=作業体系表!$B25)*(③労働時間!$B$5:$B$353="5月上旬")*(③労働時間!$J$5:$J$353))</f>
        <v>0</v>
      </c>
      <c r="Q25" s="383">
        <f>SUMPRODUCT((③労働時間!$A$5:$A$353=作業体系表!$B25)*(③労働時間!$B$5:$B$353="5月中旬")*(③労働時間!$J$5:$J$353))</f>
        <v>0</v>
      </c>
      <c r="R25" s="383">
        <f>SUMPRODUCT((③労働時間!$A$5:$A$353=作業体系表!$B25)*(③労働時間!$B$5:$B$353="5月下旬")*(③労働時間!$J$5:$J$353))</f>
        <v>0</v>
      </c>
      <c r="S25" s="383">
        <f>SUMPRODUCT((③労働時間!$A$5:$A$353=作業体系表!$B25)*(③労働時間!$B$5:$B$353="6月上旬")*(③労働時間!$J$5:$J$353))</f>
        <v>0</v>
      </c>
      <c r="T25" s="383">
        <f>SUMPRODUCT((③労働時間!$A$5:$A$353=作業体系表!$B25)*(③労働時間!$B$5:$B$353="6月中旬")*(③労働時間!$J$5:$J$353))</f>
        <v>0</v>
      </c>
      <c r="U25" s="383">
        <f>SUMPRODUCT((③労働時間!$A$5:$A$353=作業体系表!$B25)*(③労働時間!$B$5:$B$353="6月下旬")*(③労働時間!$J$5:$J$353))</f>
        <v>0</v>
      </c>
      <c r="V25" s="383">
        <f>SUMPRODUCT((③労働時間!$A$5:$A$353=作業体系表!$B25)*(③労働時間!$B$5:$B$353="7月上旬")*(③労働時間!$J$5:$J$353))</f>
        <v>0</v>
      </c>
      <c r="W25" s="383">
        <f>SUMPRODUCT((③労働時間!$A$5:$A$353=作業体系表!$B25)*(③労働時間!$B$5:$B$353="7月中旬")*(③労働時間!$J$5:$J$353))</f>
        <v>0</v>
      </c>
      <c r="X25" s="383">
        <f>SUMPRODUCT((③労働時間!$A$5:$A$353=作業体系表!$B25)*(③労働時間!$B$5:$B$353="7月下旬")*(③労働時間!$J$5:$J$353))</f>
        <v>0</v>
      </c>
      <c r="Y25" s="383">
        <f>SUMPRODUCT((③労働時間!$A$5:$A$353=作業体系表!$B25)*(③労働時間!$B$5:$B$353="8月上旬")*(③労働時間!$J$5:$J$353))</f>
        <v>0</v>
      </c>
      <c r="Z25" s="383">
        <f>SUMPRODUCT((③労働時間!$A$5:$A$353=作業体系表!$B25)*(③労働時間!$B$5:$B$353="8月中旬")*(③労働時間!$J$5:$J$353))</f>
        <v>0</v>
      </c>
      <c r="AA25" s="383">
        <f>SUMPRODUCT((③労働時間!$A$5:$A$353=作業体系表!$B25)*(③労働時間!$B$5:$B$353="8月下旬")*(③労働時間!$J$5:$J$353))</f>
        <v>0</v>
      </c>
      <c r="AB25" s="384">
        <f>SUMPRODUCT((③労働時間!$A$5:$A$353=作業体系表!$B25)*(③労働時間!$B$5:$B$353="9月上旬")*(③労働時間!$J$5:$J$353))</f>
        <v>0</v>
      </c>
      <c r="AC25" s="383">
        <f>SUMPRODUCT((③労働時間!$A$5:$A$353=作業体系表!$B25)*(③労働時間!$B$5:$B$353="9月中旬")*(③労働時間!$J$5:$J$353))</f>
        <v>0</v>
      </c>
      <c r="AD25" s="383">
        <f>SUMPRODUCT((③労働時間!$A$5:$A$353=作業体系表!$B25)*(③労働時間!$B$5:$B$353="9月下旬")*(③労働時間!$J$5:$J$353))</f>
        <v>0.5</v>
      </c>
      <c r="AE25" s="383">
        <f>SUMPRODUCT((③労働時間!$A$5:$A$353=作業体系表!$B25)*(③労働時間!$B$5:$B$353="10月上旬")*(③労働時間!$J$5:$J$353))</f>
        <v>0.5</v>
      </c>
      <c r="AF25" s="383">
        <f>SUMPRODUCT((③労働時間!$A$5:$A$353=作業体系表!$B25)*(③労働時間!$B$5:$B$353="10月中旬")*(③労働時間!$J$5:$J$353))</f>
        <v>0.5</v>
      </c>
      <c r="AG25" s="383">
        <f>SUMPRODUCT((③労働時間!$A$5:$A$353=作業体系表!$B25)*(③労働時間!$B$5:$B$353="10月下旬")*(③労働時間!$J$5:$J$353))</f>
        <v>0</v>
      </c>
      <c r="AH25" s="383">
        <f>SUMPRODUCT((③労働時間!$A$5:$A$353=作業体系表!$B25)*(③労働時間!$B$5:$B$353="11月上旬")*(③労働時間!$J$5:$J$353))</f>
        <v>0</v>
      </c>
      <c r="AI25" s="383">
        <f>SUMPRODUCT((③労働時間!$A$5:$A$353=作業体系表!$B25)*(③労働時間!$B$5:$B$353="11月中旬")*(③労働時間!$J$5:$J$353))</f>
        <v>0</v>
      </c>
      <c r="AJ25" s="383">
        <f>SUMPRODUCT((③労働時間!$A$5:$A$353=作業体系表!$B25)*(③労働時間!$B$5:$B$353="11月下旬")*(③労働時間!$J$5:$J$353))</f>
        <v>0</v>
      </c>
      <c r="AK25" s="383">
        <f>SUMPRODUCT((③労働時間!$A$5:$A$353=作業体系表!$B25)*(③労働時間!$B$5:$B$353="12月上旬")*(③労働時間!$J$5:$J$353))</f>
        <v>0</v>
      </c>
      <c r="AL25" s="383">
        <f>SUMPRODUCT((③労働時間!$A$5:$A$353=作業体系表!$B25)*(③労働時間!$B$5:$B$353="12月中旬")*(③労働時間!$J$5:$J$353))</f>
        <v>0</v>
      </c>
      <c r="AM25" s="385">
        <f>SUMPRODUCT((③労働時間!$A$5:$A$353=作業体系表!$B25)*(③労働時間!$B$5:$B$353="12月下旬")*(③労働時間!$J$5:$J$353))</f>
        <v>0</v>
      </c>
      <c r="AN25" s="386">
        <f t="shared" si="0"/>
        <v>1.5</v>
      </c>
    </row>
    <row r="26" spans="2:40" ht="15" customHeight="1">
      <c r="B26" s="737" t="str">
        <f>①技術体系!A23</f>
        <v>転牧(牧区３')</v>
      </c>
      <c r="C26" s="738"/>
      <c r="D26" s="383">
        <f>SUMPRODUCT((③労働時間!$A$5:$A$353=作業体系表!$B26)*(③労働時間!$B$5:$B$353="1月上旬")*(③労働時間!$J$5:$J$353))</f>
        <v>0</v>
      </c>
      <c r="E26" s="383">
        <f>SUMPRODUCT((③労働時間!$A$5:$A$353=作業体系表!$B26)*(③労働時間!$B$5:$B$353="1月中旬")*(③労働時間!$J$5:$J$353))</f>
        <v>0</v>
      </c>
      <c r="F26" s="383">
        <f>SUMPRODUCT((③労働時間!$A$5:$A$353=作業体系表!$B26)*(③労働時間!$B$5:$B$353="1月下旬")*(③労働時間!$J$5:$J$353))</f>
        <v>0</v>
      </c>
      <c r="G26" s="383">
        <f>SUMPRODUCT((③労働時間!$A$5:$A$353=作業体系表!$B26)*(③労働時間!$B$5:$B$353="2月上旬")*(③労働時間!$J$5:$J$353))</f>
        <v>0</v>
      </c>
      <c r="H26" s="383">
        <f>SUMPRODUCT((③労働時間!$A$5:$A$353=作業体系表!$B26)*(③労働時間!$B$5:$B$353="2月中旬")*(③労働時間!$J$5:$J$353))</f>
        <v>0</v>
      </c>
      <c r="I26" s="383">
        <f>SUMPRODUCT((③労働時間!$A$5:$A$353=作業体系表!$B26)*(③労働時間!$B$5:$B$353="2月下旬")*(③労働時間!$J$5:$J$353))</f>
        <v>0</v>
      </c>
      <c r="J26" s="383">
        <f>SUMPRODUCT((③労働時間!$A$5:$A$353=作業体系表!$B26)*(③労働時間!$B$5:$B$353="3月上旬")*(③労働時間!$J$5:$J$353))</f>
        <v>0</v>
      </c>
      <c r="K26" s="383">
        <f>SUMPRODUCT((③労働時間!$A$5:$A$353=作業体系表!$B26)*(③労働時間!$B$5:$B$353="3月中旬")*(③労働時間!$J$5:$J$353))</f>
        <v>0</v>
      </c>
      <c r="L26" s="383">
        <f>SUMPRODUCT((③労働時間!$A$5:$A$353=作業体系表!$B26)*(③労働時間!$B$5:$B$353="3月下旬")*(③労働時間!$J$5:$J$353))</f>
        <v>0</v>
      </c>
      <c r="M26" s="383">
        <f>SUMPRODUCT((③労働時間!$A$5:$A$353=作業体系表!$B26)*(③労働時間!$B$5:$B$353="4月上旬")*(③労働時間!$J$5:$J$353))</f>
        <v>0</v>
      </c>
      <c r="N26" s="383">
        <f>SUMPRODUCT((③労働時間!$A$5:$A$353=作業体系表!$B26)*(③労働時間!$B$5:$B$353="4月中旬")*(③労働時間!$J$5:$J$353))</f>
        <v>0</v>
      </c>
      <c r="O26" s="383">
        <f>SUMPRODUCT((③労働時間!$A$5:$A$353=作業体系表!$B26)*(③労働時間!$B$5:$B$353="4月下旬")*(③労働時間!$J$5:$J$353))</f>
        <v>0</v>
      </c>
      <c r="P26" s="384">
        <f>SUMPRODUCT((③労働時間!$A$5:$A$353=作業体系表!$B26)*(③労働時間!$B$5:$B$353="5月上旬")*(③労働時間!$J$5:$J$353))</f>
        <v>0</v>
      </c>
      <c r="Q26" s="383">
        <f>SUMPRODUCT((③労働時間!$A$5:$A$353=作業体系表!$B26)*(③労働時間!$B$5:$B$353="5月中旬")*(③労働時間!$J$5:$J$353))</f>
        <v>0</v>
      </c>
      <c r="R26" s="383">
        <f>SUMPRODUCT((③労働時間!$A$5:$A$353=作業体系表!$B26)*(③労働時間!$B$5:$B$353="5月下旬")*(③労働時間!$J$5:$J$353))</f>
        <v>0</v>
      </c>
      <c r="S26" s="383">
        <f>SUMPRODUCT((③労働時間!$A$5:$A$353=作業体系表!$B26)*(③労働時間!$B$5:$B$353="6月上旬")*(③労働時間!$J$5:$J$353))</f>
        <v>0</v>
      </c>
      <c r="T26" s="383">
        <f>SUMPRODUCT((③労働時間!$A$5:$A$353=作業体系表!$B26)*(③労働時間!$B$5:$B$353="6月中旬")*(③労働時間!$J$5:$J$353))</f>
        <v>0</v>
      </c>
      <c r="U26" s="383">
        <f>SUMPRODUCT((③労働時間!$A$5:$A$353=作業体系表!$B26)*(③労働時間!$B$5:$B$353="6月下旬")*(③労働時間!$J$5:$J$353))</f>
        <v>0</v>
      </c>
      <c r="V26" s="383">
        <f>SUMPRODUCT((③労働時間!$A$5:$A$353=作業体系表!$B26)*(③労働時間!$B$5:$B$353="7月上旬")*(③労働時間!$J$5:$J$353))</f>
        <v>0</v>
      </c>
      <c r="W26" s="383">
        <f>SUMPRODUCT((③労働時間!$A$5:$A$353=作業体系表!$B26)*(③労働時間!$B$5:$B$353="7月中旬")*(③労働時間!$J$5:$J$353))</f>
        <v>0</v>
      </c>
      <c r="X26" s="383">
        <f>SUMPRODUCT((③労働時間!$A$5:$A$353=作業体系表!$B26)*(③労働時間!$B$5:$B$353="7月下旬")*(③労働時間!$J$5:$J$353))</f>
        <v>0</v>
      </c>
      <c r="Y26" s="383">
        <f>SUMPRODUCT((③労働時間!$A$5:$A$353=作業体系表!$B26)*(③労働時間!$B$5:$B$353="8月上旬")*(③労働時間!$J$5:$J$353))</f>
        <v>0</v>
      </c>
      <c r="Z26" s="383">
        <f>SUMPRODUCT((③労働時間!$A$5:$A$353=作業体系表!$B26)*(③労働時間!$B$5:$B$353="8月中旬")*(③労働時間!$J$5:$J$353))</f>
        <v>0</v>
      </c>
      <c r="AA26" s="383">
        <f>SUMPRODUCT((③労働時間!$A$5:$A$353=作業体系表!$B26)*(③労働時間!$B$5:$B$353="8月下旬")*(③労働時間!$J$5:$J$353))</f>
        <v>0</v>
      </c>
      <c r="AB26" s="384">
        <f>SUMPRODUCT((③労働時間!$A$5:$A$353=作業体系表!$B26)*(③労働時間!$B$5:$B$353="9月上旬")*(③労働時間!$J$5:$J$353))</f>
        <v>0</v>
      </c>
      <c r="AC26" s="383">
        <f>SUMPRODUCT((③労働時間!$A$5:$A$353=作業体系表!$B26)*(③労働時間!$B$5:$B$353="9月中旬")*(③労働時間!$J$5:$J$353))</f>
        <v>0</v>
      </c>
      <c r="AD26" s="383">
        <f>SUMPRODUCT((③労働時間!$A$5:$A$353=作業体系表!$B26)*(③労働時間!$B$5:$B$353="9月下旬")*(③労働時間!$J$5:$J$353))</f>
        <v>0</v>
      </c>
      <c r="AE26" s="383">
        <f>SUMPRODUCT((③労働時間!$A$5:$A$353=作業体系表!$B26)*(③労働時間!$B$5:$B$353="10月上旬")*(③労働時間!$J$5:$J$353))</f>
        <v>0</v>
      </c>
      <c r="AF26" s="383">
        <f>SUMPRODUCT((③労働時間!$A$5:$A$353=作業体系表!$B26)*(③労働時間!$B$5:$B$353="10月中旬")*(③労働時間!$J$5:$J$353))</f>
        <v>0</v>
      </c>
      <c r="AG26" s="383">
        <f>SUMPRODUCT((③労働時間!$A$5:$A$353=作業体系表!$B26)*(③労働時間!$B$5:$B$353="10月下旬")*(③労働時間!$J$5:$J$353))</f>
        <v>0.1</v>
      </c>
      <c r="AH26" s="383">
        <f>SUMPRODUCT((③労働時間!$A$5:$A$353=作業体系表!$B26)*(③労働時間!$B$5:$B$353="11月上旬")*(③労働時間!$J$5:$J$353))</f>
        <v>0</v>
      </c>
      <c r="AI26" s="383">
        <f>SUMPRODUCT((③労働時間!$A$5:$A$353=作業体系表!$B26)*(③労働時間!$B$5:$B$353="11月中旬")*(③労働時間!$J$5:$J$353))</f>
        <v>0</v>
      </c>
      <c r="AJ26" s="383">
        <f>SUMPRODUCT((③労働時間!$A$5:$A$353=作業体系表!$B26)*(③労働時間!$B$5:$B$353="11月下旬")*(③労働時間!$J$5:$J$353))</f>
        <v>0</v>
      </c>
      <c r="AK26" s="383">
        <f>SUMPRODUCT((③労働時間!$A$5:$A$353=作業体系表!$B26)*(③労働時間!$B$5:$B$353="12月上旬")*(③労働時間!$J$5:$J$353))</f>
        <v>0</v>
      </c>
      <c r="AL26" s="383">
        <f>SUMPRODUCT((③労働時間!$A$5:$A$353=作業体系表!$B26)*(③労働時間!$B$5:$B$353="12月中旬")*(③労働時間!$J$5:$J$353))</f>
        <v>0</v>
      </c>
      <c r="AM26" s="385">
        <f>SUMPRODUCT((③労働時間!$A$5:$A$353=作業体系表!$B26)*(③労働時間!$B$5:$B$353="12月下旬")*(③労働時間!$J$5:$J$353))</f>
        <v>0</v>
      </c>
      <c r="AN26" s="386">
        <f t="shared" si="0"/>
        <v>0.1</v>
      </c>
    </row>
    <row r="27" spans="2:40" ht="15" customHeight="1">
      <c r="B27" s="737" t="str">
        <f>①技術体系!A24</f>
        <v>放牧管理(牧区3')</v>
      </c>
      <c r="C27" s="738"/>
      <c r="D27" s="383">
        <f>SUMPRODUCT((③労働時間!$A$5:$A$353=作業体系表!$B27)*(③労働時間!$B$5:$B$353="1月上旬")*(③労働時間!$J$5:$J$353))</f>
        <v>0</v>
      </c>
      <c r="E27" s="383">
        <f>SUMPRODUCT((③労働時間!$A$5:$A$353=作業体系表!$B27)*(③労働時間!$B$5:$B$353="1月中旬")*(③労働時間!$J$5:$J$353))</f>
        <v>0</v>
      </c>
      <c r="F27" s="383">
        <f>SUMPRODUCT((③労働時間!$A$5:$A$353=作業体系表!$B27)*(③労働時間!$B$5:$B$353="1月下旬")*(③労働時間!$J$5:$J$353))</f>
        <v>0</v>
      </c>
      <c r="G27" s="383">
        <f>SUMPRODUCT((③労働時間!$A$5:$A$353=作業体系表!$B27)*(③労働時間!$B$5:$B$353="2月上旬")*(③労働時間!$J$5:$J$353))</f>
        <v>0</v>
      </c>
      <c r="H27" s="383">
        <f>SUMPRODUCT((③労働時間!$A$5:$A$353=作業体系表!$B27)*(③労働時間!$B$5:$B$353="2月中旬")*(③労働時間!$J$5:$J$353))</f>
        <v>0</v>
      </c>
      <c r="I27" s="383">
        <f>SUMPRODUCT((③労働時間!$A$5:$A$353=作業体系表!$B27)*(③労働時間!$B$5:$B$353="2月下旬")*(③労働時間!$J$5:$J$353))</f>
        <v>0</v>
      </c>
      <c r="J27" s="383">
        <f>SUMPRODUCT((③労働時間!$A$5:$A$353=作業体系表!$B27)*(③労働時間!$B$5:$B$353="3月上旬")*(③労働時間!$J$5:$J$353))</f>
        <v>0</v>
      </c>
      <c r="K27" s="383">
        <f>SUMPRODUCT((③労働時間!$A$5:$A$353=作業体系表!$B27)*(③労働時間!$B$5:$B$353="3月中旬")*(③労働時間!$J$5:$J$353))</f>
        <v>0</v>
      </c>
      <c r="L27" s="383">
        <f>SUMPRODUCT((③労働時間!$A$5:$A$353=作業体系表!$B27)*(③労働時間!$B$5:$B$353="3月下旬")*(③労働時間!$J$5:$J$353))</f>
        <v>0</v>
      </c>
      <c r="M27" s="383">
        <f>SUMPRODUCT((③労働時間!$A$5:$A$353=作業体系表!$B27)*(③労働時間!$B$5:$B$353="4月上旬")*(③労働時間!$J$5:$J$353))</f>
        <v>0</v>
      </c>
      <c r="N27" s="383">
        <f>SUMPRODUCT((③労働時間!$A$5:$A$353=作業体系表!$B27)*(③労働時間!$B$5:$B$353="4月中旬")*(③労働時間!$J$5:$J$353))</f>
        <v>0</v>
      </c>
      <c r="O27" s="383">
        <f>SUMPRODUCT((③労働時間!$A$5:$A$353=作業体系表!$B27)*(③労働時間!$B$5:$B$353="4月下旬")*(③労働時間!$J$5:$J$353))</f>
        <v>0</v>
      </c>
      <c r="P27" s="384">
        <f>SUMPRODUCT((③労働時間!$A$5:$A$353=作業体系表!$B27)*(③労働時間!$B$5:$B$353="5月上旬")*(③労働時間!$J$5:$J$353))</f>
        <v>0</v>
      </c>
      <c r="Q27" s="383">
        <f>SUMPRODUCT((③労働時間!$A$5:$A$353=作業体系表!$B27)*(③労働時間!$B$5:$B$353="5月中旬")*(③労働時間!$J$5:$J$353))</f>
        <v>0</v>
      </c>
      <c r="R27" s="383">
        <f>SUMPRODUCT((③労働時間!$A$5:$A$353=作業体系表!$B27)*(③労働時間!$B$5:$B$353="5月下旬")*(③労働時間!$J$5:$J$353))</f>
        <v>0</v>
      </c>
      <c r="S27" s="383">
        <f>SUMPRODUCT((③労働時間!$A$5:$A$353=作業体系表!$B27)*(③労働時間!$B$5:$B$353="6月上旬")*(③労働時間!$J$5:$J$353))</f>
        <v>0</v>
      </c>
      <c r="T27" s="383">
        <f>SUMPRODUCT((③労働時間!$A$5:$A$353=作業体系表!$B27)*(③労働時間!$B$5:$B$353="6月中旬")*(③労働時間!$J$5:$J$353))</f>
        <v>0</v>
      </c>
      <c r="U27" s="383">
        <f>SUMPRODUCT((③労働時間!$A$5:$A$353=作業体系表!$B27)*(③労働時間!$B$5:$B$353="6月下旬")*(③労働時間!$J$5:$J$353))</f>
        <v>0</v>
      </c>
      <c r="V27" s="383">
        <f>SUMPRODUCT((③労働時間!$A$5:$A$353=作業体系表!$B27)*(③労働時間!$B$5:$B$353="7月上旬")*(③労働時間!$J$5:$J$353))</f>
        <v>0</v>
      </c>
      <c r="W27" s="383">
        <f>SUMPRODUCT((③労働時間!$A$5:$A$353=作業体系表!$B27)*(③労働時間!$B$5:$B$353="7月中旬")*(③労働時間!$J$5:$J$353))</f>
        <v>0</v>
      </c>
      <c r="X27" s="383">
        <f>SUMPRODUCT((③労働時間!$A$5:$A$353=作業体系表!$B27)*(③労働時間!$B$5:$B$353="7月下旬")*(③労働時間!$J$5:$J$353))</f>
        <v>0</v>
      </c>
      <c r="Y27" s="383">
        <f>SUMPRODUCT((③労働時間!$A$5:$A$353=作業体系表!$B27)*(③労働時間!$B$5:$B$353="8月上旬")*(③労働時間!$J$5:$J$353))</f>
        <v>0</v>
      </c>
      <c r="Z27" s="383">
        <f>SUMPRODUCT((③労働時間!$A$5:$A$353=作業体系表!$B27)*(③労働時間!$B$5:$B$353="8月中旬")*(③労働時間!$J$5:$J$353))</f>
        <v>0</v>
      </c>
      <c r="AA27" s="383">
        <f>SUMPRODUCT((③労働時間!$A$5:$A$353=作業体系表!$B27)*(③労働時間!$B$5:$B$353="8月下旬")*(③労働時間!$J$5:$J$353))</f>
        <v>0</v>
      </c>
      <c r="AB27" s="384">
        <f>SUMPRODUCT((③労働時間!$A$5:$A$353=作業体系表!$B27)*(③労働時間!$B$5:$B$353="9月上旬")*(③労働時間!$J$5:$J$353))</f>
        <v>0</v>
      </c>
      <c r="AC27" s="383">
        <f>SUMPRODUCT((③労働時間!$A$5:$A$353=作業体系表!$B27)*(③労働時間!$B$5:$B$353="9月中旬")*(③労働時間!$J$5:$J$353))</f>
        <v>0</v>
      </c>
      <c r="AD27" s="383">
        <f>SUMPRODUCT((③労働時間!$A$5:$A$353=作業体系表!$B27)*(③労働時間!$B$5:$B$353="9月下旬")*(③労働時間!$J$5:$J$353))</f>
        <v>0</v>
      </c>
      <c r="AE27" s="383">
        <f>SUMPRODUCT((③労働時間!$A$5:$A$353=作業体系表!$B27)*(③労働時間!$B$5:$B$353="10月上旬")*(③労働時間!$J$5:$J$353))</f>
        <v>0</v>
      </c>
      <c r="AF27" s="383">
        <f>SUMPRODUCT((③労働時間!$A$5:$A$353=作業体系表!$B27)*(③労働時間!$B$5:$B$353="10月中旬")*(③労働時間!$J$5:$J$353))</f>
        <v>0</v>
      </c>
      <c r="AG27" s="383">
        <f>SUMPRODUCT((③労働時間!$A$5:$A$353=作業体系表!$B27)*(③労働時間!$B$5:$B$353="10月下旬")*(③労働時間!$J$5:$J$353))</f>
        <v>0.5</v>
      </c>
      <c r="AH27" s="383">
        <f>SUMPRODUCT((③労働時間!$A$5:$A$353=作業体系表!$B27)*(③労働時間!$B$5:$B$353="11月上旬")*(③労働時間!$J$5:$J$353))</f>
        <v>0.5</v>
      </c>
      <c r="AI27" s="383">
        <f>SUMPRODUCT((③労働時間!$A$5:$A$353=作業体系表!$B27)*(③労働時間!$B$5:$B$353="11月中旬")*(③労働時間!$J$5:$J$353))</f>
        <v>0.5</v>
      </c>
      <c r="AJ27" s="383">
        <f>SUMPRODUCT((③労働時間!$A$5:$A$353=作業体系表!$B27)*(③労働時間!$B$5:$B$353="11月下旬")*(③労働時間!$J$5:$J$353))</f>
        <v>0</v>
      </c>
      <c r="AK27" s="383">
        <f>SUMPRODUCT((③労働時間!$A$5:$A$353=作業体系表!$B27)*(③労働時間!$B$5:$B$353="12月上旬")*(③労働時間!$J$5:$J$353))</f>
        <v>0</v>
      </c>
      <c r="AL27" s="383">
        <f>SUMPRODUCT((③労働時間!$A$5:$A$353=作業体系表!$B27)*(③労働時間!$B$5:$B$353="12月中旬")*(③労働時間!$J$5:$J$353))</f>
        <v>0</v>
      </c>
      <c r="AM27" s="385">
        <f>SUMPRODUCT((③労働時間!$A$5:$A$353=作業体系表!$B27)*(③労働時間!$B$5:$B$353="12月下旬")*(③労働時間!$J$5:$J$353))</f>
        <v>0</v>
      </c>
      <c r="AN27" s="386">
        <f t="shared" si="0"/>
        <v>1.5</v>
      </c>
    </row>
    <row r="28" spans="2:40" ht="15" customHeight="1">
      <c r="B28" s="737" t="str">
        <f>①技術体系!A25</f>
        <v>退牧・放牧牛販売</v>
      </c>
      <c r="C28" s="738"/>
      <c r="D28" s="383">
        <f>SUMPRODUCT((③労働時間!$A$5:$A$353=作業体系表!$B28)*(③労働時間!$B$5:$B$353="1月上旬")*(③労働時間!$J$5:$J$353))</f>
        <v>0</v>
      </c>
      <c r="E28" s="383">
        <f>SUMPRODUCT((③労働時間!$A$5:$A$353=作業体系表!$B28)*(③労働時間!$B$5:$B$353="1月中旬")*(③労働時間!$J$5:$J$353))</f>
        <v>0</v>
      </c>
      <c r="F28" s="383">
        <f>SUMPRODUCT((③労働時間!$A$5:$A$353=作業体系表!$B28)*(③労働時間!$B$5:$B$353="1月下旬")*(③労働時間!$J$5:$J$353))</f>
        <v>0</v>
      </c>
      <c r="G28" s="383">
        <f>SUMPRODUCT((③労働時間!$A$5:$A$353=作業体系表!$B28)*(③労働時間!$B$5:$B$353="2月上旬")*(③労働時間!$J$5:$J$353))</f>
        <v>0</v>
      </c>
      <c r="H28" s="383">
        <f>SUMPRODUCT((③労働時間!$A$5:$A$353=作業体系表!$B28)*(③労働時間!$B$5:$B$353="2月中旬")*(③労働時間!$J$5:$J$353))</f>
        <v>0</v>
      </c>
      <c r="I28" s="383">
        <f>SUMPRODUCT((③労働時間!$A$5:$A$353=作業体系表!$B28)*(③労働時間!$B$5:$B$353="2月下旬")*(③労働時間!$J$5:$J$353))</f>
        <v>0</v>
      </c>
      <c r="J28" s="383">
        <f>SUMPRODUCT((③労働時間!$A$5:$A$353=作業体系表!$B28)*(③労働時間!$B$5:$B$353="3月上旬")*(③労働時間!$J$5:$J$353))</f>
        <v>0</v>
      </c>
      <c r="K28" s="383">
        <f>SUMPRODUCT((③労働時間!$A$5:$A$353=作業体系表!$B28)*(③労働時間!$B$5:$B$353="3月中旬")*(③労働時間!$J$5:$J$353))</f>
        <v>0</v>
      </c>
      <c r="L28" s="383">
        <f>SUMPRODUCT((③労働時間!$A$5:$A$353=作業体系表!$B28)*(③労働時間!$B$5:$B$353="3月下旬")*(③労働時間!$J$5:$J$353))</f>
        <v>0</v>
      </c>
      <c r="M28" s="383">
        <f>SUMPRODUCT((③労働時間!$A$5:$A$353=作業体系表!$B28)*(③労働時間!$B$5:$B$353="4月上旬")*(③労働時間!$J$5:$J$353))</f>
        <v>0</v>
      </c>
      <c r="N28" s="383">
        <f>SUMPRODUCT((③労働時間!$A$5:$A$353=作業体系表!$B28)*(③労働時間!$B$5:$B$353="4月中旬")*(③労働時間!$J$5:$J$353))</f>
        <v>0</v>
      </c>
      <c r="O28" s="383">
        <f>SUMPRODUCT((③労働時間!$A$5:$A$353=作業体系表!$B28)*(③労働時間!$B$5:$B$353="4月下旬")*(③労働時間!$J$5:$J$353))</f>
        <v>0</v>
      </c>
      <c r="P28" s="384">
        <f>SUMPRODUCT((③労働時間!$A$5:$A$353=作業体系表!$B28)*(③労働時間!$B$5:$B$353="5月上旬")*(③労働時間!$J$5:$J$353))</f>
        <v>0</v>
      </c>
      <c r="Q28" s="383">
        <f>SUMPRODUCT((③労働時間!$A$5:$A$353=作業体系表!$B28)*(③労働時間!$B$5:$B$353="5月中旬")*(③労働時間!$J$5:$J$353))</f>
        <v>0</v>
      </c>
      <c r="R28" s="383">
        <f>SUMPRODUCT((③労働時間!$A$5:$A$353=作業体系表!$B28)*(③労働時間!$B$5:$B$353="5月下旬")*(③労働時間!$J$5:$J$353))</f>
        <v>0</v>
      </c>
      <c r="S28" s="383">
        <f>SUMPRODUCT((③労働時間!$A$5:$A$353=作業体系表!$B28)*(③労働時間!$B$5:$B$353="6月上旬")*(③労働時間!$J$5:$J$353))</f>
        <v>0</v>
      </c>
      <c r="T28" s="383">
        <f>SUMPRODUCT((③労働時間!$A$5:$A$353=作業体系表!$B28)*(③労働時間!$B$5:$B$353="6月中旬")*(③労働時間!$J$5:$J$353))</f>
        <v>0</v>
      </c>
      <c r="U28" s="383">
        <f>SUMPRODUCT((③労働時間!$A$5:$A$353=作業体系表!$B28)*(③労働時間!$B$5:$B$353="6月下旬")*(③労働時間!$J$5:$J$353))</f>
        <v>0</v>
      </c>
      <c r="V28" s="383">
        <f>SUMPRODUCT((③労働時間!$A$5:$A$353=作業体系表!$B28)*(③労働時間!$B$5:$B$353="7月上旬")*(③労働時間!$J$5:$J$353))</f>
        <v>0</v>
      </c>
      <c r="W28" s="383">
        <f>SUMPRODUCT((③労働時間!$A$5:$A$353=作業体系表!$B28)*(③労働時間!$B$5:$B$353="7月中旬")*(③労働時間!$J$5:$J$353))</f>
        <v>0</v>
      </c>
      <c r="X28" s="383">
        <f>SUMPRODUCT((③労働時間!$A$5:$A$353=作業体系表!$B28)*(③労働時間!$B$5:$B$353="7月下旬")*(③労働時間!$J$5:$J$353))</f>
        <v>0</v>
      </c>
      <c r="Y28" s="383">
        <f>SUMPRODUCT((③労働時間!$A$5:$A$353=作業体系表!$B28)*(③労働時間!$B$5:$B$353="8月上旬")*(③労働時間!$J$5:$J$353))</f>
        <v>0</v>
      </c>
      <c r="Z28" s="383">
        <f>SUMPRODUCT((③労働時間!$A$5:$A$353=作業体系表!$B28)*(③労働時間!$B$5:$B$353="8月中旬")*(③労働時間!$J$5:$J$353))</f>
        <v>0</v>
      </c>
      <c r="AA28" s="383">
        <f>SUMPRODUCT((③労働時間!$A$5:$A$353=作業体系表!$B28)*(③労働時間!$B$5:$B$353="8月下旬")*(③労働時間!$J$5:$J$353))</f>
        <v>0</v>
      </c>
      <c r="AB28" s="384">
        <f>SUMPRODUCT((③労働時間!$A$5:$A$353=作業体系表!$B28)*(③労働時間!$B$5:$B$353="9月上旬")*(③労働時間!$J$5:$J$353))</f>
        <v>0</v>
      </c>
      <c r="AC28" s="383">
        <f>SUMPRODUCT((③労働時間!$A$5:$A$353=作業体系表!$B28)*(③労働時間!$B$5:$B$353="9月中旬")*(③労働時間!$J$5:$J$353))</f>
        <v>0</v>
      </c>
      <c r="AD28" s="383">
        <f>SUMPRODUCT((③労働時間!$A$5:$A$353=作業体系表!$B28)*(③労働時間!$B$5:$B$353="9月下旬")*(③労働時間!$J$5:$J$353))</f>
        <v>0</v>
      </c>
      <c r="AE28" s="383">
        <f>SUMPRODUCT((③労働時間!$A$5:$A$353=作業体系表!$B28)*(③労働時間!$B$5:$B$353="10月上旬")*(③労働時間!$J$5:$J$353))</f>
        <v>0</v>
      </c>
      <c r="AF28" s="383">
        <f>SUMPRODUCT((③労働時間!$A$5:$A$353=作業体系表!$B28)*(③労働時間!$B$5:$B$353="10月中旬")*(③労働時間!$J$5:$J$353))</f>
        <v>0</v>
      </c>
      <c r="AG28" s="383">
        <f>SUMPRODUCT((③労働時間!$A$5:$A$353=作業体系表!$B28)*(③労働時間!$B$5:$B$353="10月下旬")*(③労働時間!$J$5:$J$353))</f>
        <v>0</v>
      </c>
      <c r="AH28" s="383">
        <f>SUMPRODUCT((③労働時間!$A$5:$A$353=作業体系表!$B28)*(③労働時間!$B$5:$B$353="11月上旬")*(③労働時間!$J$5:$J$353))</f>
        <v>0</v>
      </c>
      <c r="AI28" s="383">
        <f>SUMPRODUCT((③労働時間!$A$5:$A$353=作業体系表!$B28)*(③労働時間!$B$5:$B$353="11月中旬")*(③労働時間!$J$5:$J$353))</f>
        <v>0</v>
      </c>
      <c r="AJ28" s="383">
        <f>SUMPRODUCT((③労働時間!$A$5:$A$353=作業体系表!$B28)*(③労働時間!$B$5:$B$353="11月下旬")*(③労働時間!$J$5:$J$353))</f>
        <v>0.2</v>
      </c>
      <c r="AK28" s="383">
        <f>SUMPRODUCT((③労働時間!$A$5:$A$353=作業体系表!$B28)*(③労働時間!$B$5:$B$353="12月上旬")*(③労働時間!$J$5:$J$353))</f>
        <v>0</v>
      </c>
      <c r="AL28" s="383">
        <f>SUMPRODUCT((③労働時間!$A$5:$A$353=作業体系表!$B28)*(③労働時間!$B$5:$B$353="12月中旬")*(③労働時間!$J$5:$J$353))</f>
        <v>0</v>
      </c>
      <c r="AM28" s="385">
        <f>SUMPRODUCT((③労働時間!$A$5:$A$353=作業体系表!$B28)*(③労働時間!$B$5:$B$353="12月下旬")*(③労働時間!$J$5:$J$353))</f>
        <v>0</v>
      </c>
      <c r="AN28" s="387">
        <f t="shared" si="0"/>
        <v>0.2</v>
      </c>
    </row>
    <row r="29" spans="2:40" s="446" customFormat="1" ht="12" customHeight="1">
      <c r="B29" s="758" t="s">
        <v>132</v>
      </c>
      <c r="C29" s="445" t="s">
        <v>137</v>
      </c>
      <c r="D29" s="390">
        <f>SUMPRODUCT((③労働時間!$B$5:$B$353="1月上旬")*(③労働時間!$Q$5:$Q$353))</f>
        <v>0</v>
      </c>
      <c r="E29" s="391">
        <f>SUMPRODUCT((③労働時間!$B$5:$B$353="1月中旬")*(③労働時間!$Q$5:$Q$353))</f>
        <v>0</v>
      </c>
      <c r="F29" s="391">
        <f>SUMPRODUCT((③労働時間!$B$5:$B$353="1月下旬")*(③労働時間!$Q$5:$Q$353))</f>
        <v>0</v>
      </c>
      <c r="G29" s="391">
        <f>SUMPRODUCT((③労働時間!$B$5:$B$353="2月上旬")*(③労働時間!$Q$5:$Q$353))</f>
        <v>0</v>
      </c>
      <c r="H29" s="391">
        <f>SUMPRODUCT((③労働時間!$B$5:$B$353="2月中旬")*(③労働時間!$Q$5:$Q$353))</f>
        <v>0</v>
      </c>
      <c r="I29" s="391">
        <f>SUMPRODUCT((③労働時間!$B$5:$B$353="2月下旬")*(③労働時間!$Q$5:$Q$353))</f>
        <v>0</v>
      </c>
      <c r="J29" s="391">
        <f>SUMPRODUCT((③労働時間!$B$5:$B$353="3月上旬")*(③労働時間!$Q$5:$Q$353))</f>
        <v>0</v>
      </c>
      <c r="K29" s="391">
        <f>SUMPRODUCT((③労働時間!$B$5:$B$353="3月中旬")*(③労働時間!$Q$5:$Q$353))</f>
        <v>0</v>
      </c>
      <c r="L29" s="391">
        <f>SUMPRODUCT((③労働時間!$B$5:$B$353="3月下旬")*(③労働時間!$Q$5:$Q$353))</f>
        <v>0</v>
      </c>
      <c r="M29" s="391">
        <f>SUMPRODUCT((③労働時間!$B$5:$B$353="4月上旬")*(③労働時間!$Q$5:$Q$353))</f>
        <v>0</v>
      </c>
      <c r="N29" s="391">
        <f>SUMPRODUCT((③労働時間!$B$5:$B$353="4月中旬")*(③労働時間!$Q$5:$Q$353))</f>
        <v>0</v>
      </c>
      <c r="O29" s="391">
        <f>SUMPRODUCT((③労働時間!$B$5:$B$353="4月下旬")*(③労働時間!$Q$5:$Q$353))</f>
        <v>0</v>
      </c>
      <c r="P29" s="390">
        <f>SUMPRODUCT((③労働時間!$B$5:$B$353="5月上旬")*(③労働時間!$Q$5:$Q$353))</f>
        <v>0</v>
      </c>
      <c r="Q29" s="391">
        <f>SUMPRODUCT((③労働時間!$B$5:$B$353="5月中旬")*(③労働時間!$Q$5:$Q$353))</f>
        <v>0.40000640010240168</v>
      </c>
      <c r="R29" s="391">
        <f>SUMPRODUCT((③労働時間!$B$5:$B$353="5月下旬")*(③労働時間!$Q$5:$Q$353))</f>
        <v>0</v>
      </c>
      <c r="S29" s="391">
        <f>SUMPRODUCT((③労働時間!$B$5:$B$353="6月上旬")*(③労働時間!$Q$5:$Q$353))</f>
        <v>0</v>
      </c>
      <c r="T29" s="391">
        <f>SUMPRODUCT((③労働時間!$B$5:$B$353="6月中旬")*(③労働時間!$Q$5:$Q$353))</f>
        <v>0</v>
      </c>
      <c r="U29" s="391">
        <f>SUMPRODUCT((③労働時間!$B$5:$B$353="6月下旬")*(③労働時間!$Q$5:$Q$353))</f>
        <v>0.10000160002560042</v>
      </c>
      <c r="V29" s="391">
        <f>SUMPRODUCT((③労働時間!$B$5:$B$353="7月上旬")*(③労働時間!$Q$5:$Q$353))</f>
        <v>0</v>
      </c>
      <c r="W29" s="391">
        <f>SUMPRODUCT((③労働時間!$B$5:$B$353="7月中旬")*(③労働時間!$Q$5:$Q$353))</f>
        <v>0</v>
      </c>
      <c r="X29" s="391">
        <f>SUMPRODUCT((③労働時間!$B$5:$B$353="7月下旬")*(③労働時間!$Q$5:$Q$353))</f>
        <v>0.10000160002560042</v>
      </c>
      <c r="Y29" s="391">
        <f>SUMPRODUCT((③労働時間!$B$5:$B$353="8月上旬")*(③労働時間!$Q$5:$Q$353))</f>
        <v>0</v>
      </c>
      <c r="Z29" s="391">
        <f>SUMPRODUCT((③労働時間!$B$5:$B$353="8月中旬")*(③労働時間!$Q$5:$Q$353))</f>
        <v>0</v>
      </c>
      <c r="AA29" s="391">
        <f>SUMPRODUCT((③労働時間!$B$5:$B$353="8月下旬")*(③労働時間!$Q$5:$Q$353))</f>
        <v>0.10000160002560042</v>
      </c>
      <c r="AB29" s="390">
        <f>SUMPRODUCT((③労働時間!$B$5:$B$353="9月上旬")*(③労働時間!$Q$5:$Q$353))</f>
        <v>0</v>
      </c>
      <c r="AC29" s="391">
        <f>SUMPRODUCT((③労働時間!$B$5:$B$353="9月中旬")*(③労働時間!$Q$5:$Q$353))</f>
        <v>0</v>
      </c>
      <c r="AD29" s="391">
        <f>SUMPRODUCT((③労働時間!$B$5:$B$353="9月下旬")*(③労働時間!$Q$5:$Q$353))</f>
        <v>0</v>
      </c>
      <c r="AE29" s="391">
        <f>SUMPRODUCT((③労働時間!$B$5:$B$353="10月上旬")*(③労働時間!$Q$5:$Q$353))</f>
        <v>0</v>
      </c>
      <c r="AF29" s="391">
        <f>SUMPRODUCT((③労働時間!$B$5:$B$353="10月中旬")*(③労働時間!$Q$5:$Q$353))</f>
        <v>0</v>
      </c>
      <c r="AG29" s="391">
        <f>SUMPRODUCT((③労働時間!$B$5:$B$353="10月下旬")*(③労働時間!$Q$5:$Q$353))</f>
        <v>0</v>
      </c>
      <c r="AH29" s="391">
        <f>SUMPRODUCT((③労働時間!$B$5:$B$353="11月上旬")*(③労働時間!$Q$5:$Q$353))</f>
        <v>0</v>
      </c>
      <c r="AI29" s="391">
        <f>SUMPRODUCT((③労働時間!$B$5:$B$353="11月中旬")*(③労働時間!$Q$5:$Q$353))</f>
        <v>0</v>
      </c>
      <c r="AJ29" s="391">
        <f>SUMPRODUCT((③労働時間!$B$5:$B$353="11月下旬")*(③労働時間!$Q$5:$Q$353))</f>
        <v>0</v>
      </c>
      <c r="AK29" s="391">
        <f>SUMPRODUCT((③労働時間!$B$5:$B$353="12月上旬")*(③労働時間!$Q$5:$Q$353))</f>
        <v>0</v>
      </c>
      <c r="AL29" s="391">
        <f>SUMPRODUCT((③労働時間!$B$5:$B$353="12月中旬")*(③労働時間!$Q$5:$Q$353))</f>
        <v>0</v>
      </c>
      <c r="AM29" s="391">
        <f>SUMPRODUCT((③労働時間!$B$5:$B$353="12月下旬")*(③労働時間!$Q$5:$Q$353))</f>
        <v>0</v>
      </c>
      <c r="AN29" s="392">
        <f>SUM(D29:AM29)</f>
        <v>0.70001120017920293</v>
      </c>
    </row>
    <row r="30" spans="2:40" s="446" customFormat="1" ht="12" customHeight="1">
      <c r="B30" s="758"/>
      <c r="C30" s="447" t="s">
        <v>138</v>
      </c>
      <c r="D30" s="393">
        <f>SUMPRODUCT((③労働時間!$B$5:$B$353="1月上旬")*(③労働時間!$R$5:$R$353))</f>
        <v>0</v>
      </c>
      <c r="E30" s="394">
        <f>SUMPRODUCT((③労働時間!$B$5:$B$353="1月中旬")*(③労働時間!$R$5:$R$353))</f>
        <v>0</v>
      </c>
      <c r="F30" s="394">
        <f>SUMPRODUCT((③労働時間!$B$5:$B$353="1月下旬")*(③労働時間!$R$5:$R$353))</f>
        <v>0</v>
      </c>
      <c r="G30" s="394">
        <f>SUMPRODUCT((③労働時間!$B$5:$B$353="2月上旬")*(③労働時間!$R$5:$R$353))</f>
        <v>0</v>
      </c>
      <c r="H30" s="394">
        <f>SUMPRODUCT((③労働時間!$B$5:$B$353="2月中旬")*(③労働時間!$R$5:$R$353))</f>
        <v>0</v>
      </c>
      <c r="I30" s="394">
        <f>SUMPRODUCT((③労働時間!$B$5:$B$353="2月下旬")*(③労働時間!$R$5:$R$353))</f>
        <v>0</v>
      </c>
      <c r="J30" s="394">
        <f>SUMPRODUCT((③労働時間!$B$5:$B$353="3月上旬")*(③労働時間!$R$5:$R$353))</f>
        <v>0</v>
      </c>
      <c r="K30" s="394">
        <f>SUMPRODUCT((③労働時間!$B$5:$B$353="3月中旬")*(③労働時間!$R$5:$R$353))</f>
        <v>0</v>
      </c>
      <c r="L30" s="394">
        <f>SUMPRODUCT((③労働時間!$B$5:$B$353="3月下旬")*(③労働時間!$R$5:$R$353))</f>
        <v>0</v>
      </c>
      <c r="M30" s="394">
        <f>SUMPRODUCT((③労働時間!$B$5:$B$353="4月上旬")*(③労働時間!$R$5:$R$353))</f>
        <v>0</v>
      </c>
      <c r="N30" s="394">
        <f>SUMPRODUCT((③労働時間!$B$5:$B$353="4月中旬")*(③労働時間!$R$5:$R$353))</f>
        <v>0.2</v>
      </c>
      <c r="O30" s="394">
        <f>SUMPRODUCT((③労働時間!$B$5:$B$353="4月下旬")*(③労働時間!$R$5:$R$353))</f>
        <v>0</v>
      </c>
      <c r="P30" s="393">
        <f>SUMPRODUCT((③労働時間!$B$5:$B$353="5月上旬")*(③労働時間!$R$5:$R$353))</f>
        <v>0</v>
      </c>
      <c r="Q30" s="394">
        <f>SUMPRODUCT((③労働時間!$B$5:$B$353="5月中旬")*(③労働時間!$R$5:$R$353))</f>
        <v>1</v>
      </c>
      <c r="R30" s="394">
        <f>SUMPRODUCT((③労働時間!$B$5:$B$353="5月下旬")*(③労働時間!$R$5:$R$353))</f>
        <v>0.6</v>
      </c>
      <c r="S30" s="394">
        <f>SUMPRODUCT((③労働時間!$B$5:$B$353="6月上旬")*(③労働時間!$R$5:$R$353))</f>
        <v>0.5</v>
      </c>
      <c r="T30" s="394">
        <f>SUMPRODUCT((③労働時間!$B$5:$B$353="6月中旬")*(③労働時間!$R$5:$R$353))</f>
        <v>0.5</v>
      </c>
      <c r="U30" s="394">
        <f>SUMPRODUCT((③労働時間!$B$5:$B$353="6月下旬")*(③労働時間!$R$5:$R$353))</f>
        <v>0.6</v>
      </c>
      <c r="V30" s="394">
        <f>SUMPRODUCT((③労働時間!$B$5:$B$353="7月上旬")*(③労働時間!$R$5:$R$353))</f>
        <v>0.5</v>
      </c>
      <c r="W30" s="394">
        <f>SUMPRODUCT((③労働時間!$B$5:$B$353="7月中旬")*(③労働時間!$R$5:$R$353))</f>
        <v>0.5</v>
      </c>
      <c r="X30" s="394">
        <f>SUMPRODUCT((③労働時間!$B$5:$B$353="7月下旬")*(③労働時間!$R$5:$R$353))</f>
        <v>0.6</v>
      </c>
      <c r="Y30" s="394">
        <f>SUMPRODUCT((③労働時間!$B$5:$B$353="8月上旬")*(③労働時間!$R$5:$R$353))</f>
        <v>0.5</v>
      </c>
      <c r="Z30" s="394">
        <f>SUMPRODUCT((③労働時間!$B$5:$B$353="8月中旬")*(③労働時間!$R$5:$R$353))</f>
        <v>0.5</v>
      </c>
      <c r="AA30" s="394">
        <f>SUMPRODUCT((③労働時間!$B$5:$B$353="8月下旬")*(③労働時間!$R$5:$R$353))</f>
        <v>0.6</v>
      </c>
      <c r="AB30" s="393">
        <f>SUMPRODUCT((③労働時間!$B$5:$B$353="9月上旬")*(③労働時間!$R$5:$R$353))</f>
        <v>0.5</v>
      </c>
      <c r="AC30" s="394">
        <f>SUMPRODUCT((③労働時間!$B$5:$B$353="9月中旬")*(③労働時間!$R$5:$R$353))</f>
        <v>0.5</v>
      </c>
      <c r="AD30" s="394">
        <f>SUMPRODUCT((③労働時間!$B$5:$B$353="9月下旬")*(③労働時間!$R$5:$R$353))</f>
        <v>0.6</v>
      </c>
      <c r="AE30" s="394">
        <f>SUMPRODUCT((③労働時間!$B$5:$B$353="10月上旬")*(③労働時間!$R$5:$R$353))</f>
        <v>0.5</v>
      </c>
      <c r="AF30" s="394">
        <f>SUMPRODUCT((③労働時間!$B$5:$B$353="10月中旬")*(③労働時間!$R$5:$R$353))</f>
        <v>0.5</v>
      </c>
      <c r="AG30" s="394">
        <f>SUMPRODUCT((③労働時間!$B$5:$B$353="10月下旬")*(③労働時間!$R$5:$R$353))</f>
        <v>0.6</v>
      </c>
      <c r="AH30" s="394">
        <f>SUMPRODUCT((③労働時間!$B$5:$B$353="11月上旬")*(③労働時間!$R$5:$R$353))</f>
        <v>0.5</v>
      </c>
      <c r="AI30" s="394">
        <f>SUMPRODUCT((③労働時間!$B$5:$B$353="11月中旬")*(③労働時間!$R$5:$R$353))</f>
        <v>0.5</v>
      </c>
      <c r="AJ30" s="394">
        <f>SUMPRODUCT((③労働時間!$B$5:$B$353="11月下旬")*(③労働時間!$R$5:$R$353))</f>
        <v>0.2</v>
      </c>
      <c r="AK30" s="394">
        <f>SUMPRODUCT((③労働時間!$B$5:$B$353="12月上旬")*(③労働時間!$R$5:$R$353))</f>
        <v>0</v>
      </c>
      <c r="AL30" s="394">
        <f>SUMPRODUCT((③労働時間!$B$5:$B$353="12月中旬")*(③労働時間!$R$5:$R$353))</f>
        <v>0</v>
      </c>
      <c r="AM30" s="394">
        <f>SUMPRODUCT((③労働時間!$B$5:$B$353="12月下旬")*(③労働時間!$R$5:$R$353))</f>
        <v>0</v>
      </c>
      <c r="AN30" s="395">
        <f>SUM(D30:AM30)</f>
        <v>10.999999999999998</v>
      </c>
    </row>
    <row r="31" spans="2:40" ht="12" customHeight="1">
      <c r="B31" s="758"/>
      <c r="C31" s="448" t="s">
        <v>139</v>
      </c>
      <c r="D31" s="389">
        <f>SUM(D9:D28)</f>
        <v>0</v>
      </c>
      <c r="E31" s="388">
        <f t="shared" ref="E31:U31" si="1">SUM(E9:E28)</f>
        <v>0</v>
      </c>
      <c r="F31" s="388">
        <f t="shared" si="1"/>
        <v>0</v>
      </c>
      <c r="G31" s="388">
        <f t="shared" si="1"/>
        <v>0</v>
      </c>
      <c r="H31" s="388">
        <f t="shared" si="1"/>
        <v>0</v>
      </c>
      <c r="I31" s="388">
        <f t="shared" si="1"/>
        <v>0</v>
      </c>
      <c r="J31" s="388">
        <f t="shared" si="1"/>
        <v>0</v>
      </c>
      <c r="K31" s="388">
        <f t="shared" si="1"/>
        <v>0</v>
      </c>
      <c r="L31" s="388">
        <f t="shared" si="1"/>
        <v>0</v>
      </c>
      <c r="M31" s="388">
        <f t="shared" si="1"/>
        <v>0</v>
      </c>
      <c r="N31" s="388">
        <f t="shared" si="1"/>
        <v>0.2</v>
      </c>
      <c r="O31" s="388">
        <f t="shared" si="1"/>
        <v>0</v>
      </c>
      <c r="P31" s="389">
        <f t="shared" si="1"/>
        <v>0</v>
      </c>
      <c r="Q31" s="388">
        <f t="shared" si="1"/>
        <v>1.4000064001024017</v>
      </c>
      <c r="R31" s="388">
        <f t="shared" si="1"/>
        <v>0.6</v>
      </c>
      <c r="S31" s="388">
        <f t="shared" si="1"/>
        <v>0.5</v>
      </c>
      <c r="T31" s="388">
        <f t="shared" si="1"/>
        <v>0.5</v>
      </c>
      <c r="U31" s="388">
        <f t="shared" si="1"/>
        <v>0.70000160002560041</v>
      </c>
      <c r="V31" s="388">
        <f t="shared" ref="V31:AM31" si="2">SUM(V9:V28)</f>
        <v>0.5</v>
      </c>
      <c r="W31" s="388">
        <f t="shared" si="2"/>
        <v>0.5</v>
      </c>
      <c r="X31" s="388">
        <f t="shared" si="2"/>
        <v>0.70000160002560041</v>
      </c>
      <c r="Y31" s="388">
        <f t="shared" si="2"/>
        <v>0.5</v>
      </c>
      <c r="Z31" s="388">
        <f t="shared" si="2"/>
        <v>0.5</v>
      </c>
      <c r="AA31" s="388">
        <f t="shared" si="2"/>
        <v>0.70000160002560041</v>
      </c>
      <c r="AB31" s="389">
        <f t="shared" si="2"/>
        <v>0.5</v>
      </c>
      <c r="AC31" s="388">
        <f t="shared" si="2"/>
        <v>0.5</v>
      </c>
      <c r="AD31" s="388">
        <f t="shared" si="2"/>
        <v>0.6</v>
      </c>
      <c r="AE31" s="388">
        <f t="shared" si="2"/>
        <v>0.5</v>
      </c>
      <c r="AF31" s="388">
        <f t="shared" si="2"/>
        <v>0.5</v>
      </c>
      <c r="AG31" s="388">
        <f t="shared" si="2"/>
        <v>0.6</v>
      </c>
      <c r="AH31" s="388">
        <f t="shared" si="2"/>
        <v>0.5</v>
      </c>
      <c r="AI31" s="388">
        <f t="shared" si="2"/>
        <v>0.5</v>
      </c>
      <c r="AJ31" s="388">
        <f t="shared" si="2"/>
        <v>0.2</v>
      </c>
      <c r="AK31" s="388">
        <f t="shared" si="2"/>
        <v>0</v>
      </c>
      <c r="AL31" s="388">
        <f t="shared" si="2"/>
        <v>0</v>
      </c>
      <c r="AM31" s="388">
        <f t="shared" si="2"/>
        <v>0</v>
      </c>
      <c r="AN31" s="396">
        <f>SUM(D31:AM31)</f>
        <v>11.700011200179201</v>
      </c>
    </row>
    <row r="32" spans="2:40" ht="12" customHeight="1" thickBot="1">
      <c r="B32" s="46"/>
      <c r="C32" s="46"/>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c r="AN32" s="46"/>
    </row>
    <row r="33" spans="2:40" s="47" customFormat="1" ht="20.100000000000001" customHeight="1" thickBot="1">
      <c r="C33" s="449">
        <f>①技術体系!E2*100</f>
        <v>100</v>
      </c>
      <c r="D33" s="450" t="s">
        <v>379</v>
      </c>
      <c r="E33" s="47" t="s">
        <v>376</v>
      </c>
      <c r="M33" s="451"/>
      <c r="N33" s="451"/>
      <c r="O33" s="451"/>
      <c r="P33" s="451"/>
      <c r="Q33" s="451"/>
      <c r="R33" s="451"/>
      <c r="S33" s="451"/>
      <c r="T33" s="451"/>
      <c r="U33" s="451"/>
      <c r="V33" s="451"/>
      <c r="W33" s="451"/>
      <c r="X33" s="451"/>
      <c r="Y33" s="451"/>
      <c r="Z33" s="451"/>
      <c r="AA33" s="451"/>
      <c r="AB33" s="451"/>
      <c r="AC33" s="451"/>
      <c r="AD33" s="451"/>
      <c r="AE33" s="451"/>
      <c r="AF33" s="451"/>
      <c r="AG33" s="451"/>
      <c r="AH33" s="451"/>
      <c r="AI33" s="451"/>
      <c r="AJ33" s="451"/>
      <c r="AK33" s="451"/>
      <c r="AL33" s="451"/>
      <c r="AM33" s="451"/>
      <c r="AN33" s="451"/>
    </row>
    <row r="34" spans="2:40" s="47" customFormat="1" ht="20.100000000000001" customHeight="1" thickBot="1">
      <c r="B34" s="756" t="s">
        <v>377</v>
      </c>
      <c r="C34" s="757"/>
      <c r="D34" s="648">
        <f>D31*$C$33/10</f>
        <v>0</v>
      </c>
      <c r="E34" s="649">
        <f t="shared" ref="E34:AM34" si="3">E31*$C$33/10</f>
        <v>0</v>
      </c>
      <c r="F34" s="648">
        <f t="shared" si="3"/>
        <v>0</v>
      </c>
      <c r="G34" s="650">
        <f t="shared" si="3"/>
        <v>0</v>
      </c>
      <c r="H34" s="649">
        <f t="shared" si="3"/>
        <v>0</v>
      </c>
      <c r="I34" s="651">
        <f t="shared" si="3"/>
        <v>0</v>
      </c>
      <c r="J34" s="648">
        <f t="shared" si="3"/>
        <v>0</v>
      </c>
      <c r="K34" s="649">
        <f t="shared" si="3"/>
        <v>0</v>
      </c>
      <c r="L34" s="648">
        <f t="shared" si="3"/>
        <v>0</v>
      </c>
      <c r="M34" s="650">
        <f t="shared" si="3"/>
        <v>0</v>
      </c>
      <c r="N34" s="649">
        <f t="shared" si="3"/>
        <v>2</v>
      </c>
      <c r="O34" s="651">
        <f t="shared" si="3"/>
        <v>0</v>
      </c>
      <c r="P34" s="648">
        <f t="shared" si="3"/>
        <v>0</v>
      </c>
      <c r="Q34" s="649">
        <f t="shared" si="3"/>
        <v>14.000064001024018</v>
      </c>
      <c r="R34" s="648">
        <f t="shared" si="3"/>
        <v>6</v>
      </c>
      <c r="S34" s="650">
        <f t="shared" si="3"/>
        <v>5</v>
      </c>
      <c r="T34" s="649">
        <f t="shared" si="3"/>
        <v>5</v>
      </c>
      <c r="U34" s="651">
        <f t="shared" si="3"/>
        <v>7.0000160002560037</v>
      </c>
      <c r="V34" s="648">
        <f t="shared" si="3"/>
        <v>5</v>
      </c>
      <c r="W34" s="649">
        <f t="shared" si="3"/>
        <v>5</v>
      </c>
      <c r="X34" s="648">
        <f t="shared" si="3"/>
        <v>7.0000160002560037</v>
      </c>
      <c r="Y34" s="650">
        <f t="shared" si="3"/>
        <v>5</v>
      </c>
      <c r="Z34" s="649">
        <f t="shared" si="3"/>
        <v>5</v>
      </c>
      <c r="AA34" s="651">
        <f t="shared" si="3"/>
        <v>7.0000160002560037</v>
      </c>
      <c r="AB34" s="648">
        <f t="shared" si="3"/>
        <v>5</v>
      </c>
      <c r="AC34" s="649">
        <f t="shared" si="3"/>
        <v>5</v>
      </c>
      <c r="AD34" s="648">
        <f t="shared" si="3"/>
        <v>6</v>
      </c>
      <c r="AE34" s="650">
        <f t="shared" si="3"/>
        <v>5</v>
      </c>
      <c r="AF34" s="649">
        <f t="shared" si="3"/>
        <v>5</v>
      </c>
      <c r="AG34" s="651">
        <f t="shared" si="3"/>
        <v>6</v>
      </c>
      <c r="AH34" s="648">
        <f t="shared" si="3"/>
        <v>5</v>
      </c>
      <c r="AI34" s="649">
        <f t="shared" si="3"/>
        <v>5</v>
      </c>
      <c r="AJ34" s="648">
        <f t="shared" si="3"/>
        <v>2</v>
      </c>
      <c r="AK34" s="650">
        <f t="shared" si="3"/>
        <v>0</v>
      </c>
      <c r="AL34" s="649">
        <f t="shared" si="3"/>
        <v>0</v>
      </c>
      <c r="AM34" s="651">
        <f t="shared" si="3"/>
        <v>0</v>
      </c>
      <c r="AN34" s="652">
        <f t="shared" ref="AN34:AN36" si="4">SUM(D34:AM34)</f>
        <v>117.00011200179202</v>
      </c>
    </row>
    <row r="35" spans="2:40" s="47" customFormat="1" ht="20.100000000000001" customHeight="1" thickTop="1">
      <c r="B35" s="759" t="s">
        <v>400</v>
      </c>
      <c r="C35" s="452" t="s">
        <v>380</v>
      </c>
      <c r="D35" s="653">
        <v>150</v>
      </c>
      <c r="E35" s="654">
        <v>150</v>
      </c>
      <c r="F35" s="653">
        <v>150</v>
      </c>
      <c r="G35" s="655">
        <v>150</v>
      </c>
      <c r="H35" s="656">
        <v>150</v>
      </c>
      <c r="I35" s="657">
        <v>150</v>
      </c>
      <c r="J35" s="658">
        <v>150</v>
      </c>
      <c r="K35" s="656">
        <v>150</v>
      </c>
      <c r="L35" s="658">
        <v>150</v>
      </c>
      <c r="M35" s="655">
        <v>150</v>
      </c>
      <c r="N35" s="656">
        <v>150</v>
      </c>
      <c r="O35" s="657">
        <v>150</v>
      </c>
      <c r="P35" s="658">
        <v>150</v>
      </c>
      <c r="Q35" s="656">
        <v>150</v>
      </c>
      <c r="R35" s="658">
        <v>150</v>
      </c>
      <c r="S35" s="655">
        <v>150</v>
      </c>
      <c r="T35" s="656">
        <v>150</v>
      </c>
      <c r="U35" s="657">
        <v>150</v>
      </c>
      <c r="V35" s="653">
        <v>150</v>
      </c>
      <c r="W35" s="654">
        <v>150</v>
      </c>
      <c r="X35" s="653">
        <v>150</v>
      </c>
      <c r="Y35" s="659">
        <v>150</v>
      </c>
      <c r="Z35" s="654">
        <v>150</v>
      </c>
      <c r="AA35" s="660">
        <v>150</v>
      </c>
      <c r="AB35" s="653">
        <v>150</v>
      </c>
      <c r="AC35" s="654">
        <v>150</v>
      </c>
      <c r="AD35" s="653">
        <v>150</v>
      </c>
      <c r="AE35" s="659">
        <v>150</v>
      </c>
      <c r="AF35" s="654">
        <v>150</v>
      </c>
      <c r="AG35" s="660">
        <v>150</v>
      </c>
      <c r="AH35" s="653">
        <v>150</v>
      </c>
      <c r="AI35" s="654">
        <v>150</v>
      </c>
      <c r="AJ35" s="653">
        <v>150</v>
      </c>
      <c r="AK35" s="659">
        <v>150</v>
      </c>
      <c r="AL35" s="654">
        <v>150</v>
      </c>
      <c r="AM35" s="660">
        <v>150</v>
      </c>
      <c r="AN35" s="661">
        <f t="shared" si="4"/>
        <v>5400</v>
      </c>
    </row>
    <row r="36" spans="2:40" s="47" customFormat="1" ht="20.100000000000001" customHeight="1" thickBot="1">
      <c r="B36" s="760"/>
      <c r="C36" s="669" t="s">
        <v>662</v>
      </c>
      <c r="D36" s="655"/>
      <c r="E36" s="656"/>
      <c r="F36" s="657"/>
      <c r="G36" s="658"/>
      <c r="H36" s="656"/>
      <c r="I36" s="658"/>
      <c r="J36" s="655"/>
      <c r="K36" s="656"/>
      <c r="L36" s="657"/>
      <c r="M36" s="655"/>
      <c r="N36" s="656"/>
      <c r="O36" s="657"/>
      <c r="P36" s="658"/>
      <c r="Q36" s="656"/>
      <c r="R36" s="658"/>
      <c r="S36" s="655"/>
      <c r="T36" s="656"/>
      <c r="U36" s="657"/>
      <c r="V36" s="658"/>
      <c r="W36" s="656"/>
      <c r="X36" s="658"/>
      <c r="Y36" s="655"/>
      <c r="Z36" s="656"/>
      <c r="AA36" s="657"/>
      <c r="AB36" s="658"/>
      <c r="AC36" s="656"/>
      <c r="AD36" s="658"/>
      <c r="AE36" s="655"/>
      <c r="AF36" s="656"/>
      <c r="AG36" s="657"/>
      <c r="AH36" s="658"/>
      <c r="AI36" s="656"/>
      <c r="AJ36" s="658"/>
      <c r="AK36" s="655"/>
      <c r="AL36" s="656"/>
      <c r="AM36" s="657"/>
      <c r="AN36" s="662">
        <f t="shared" si="4"/>
        <v>0</v>
      </c>
    </row>
    <row r="37" spans="2:40" s="47" customFormat="1" ht="20.100000000000001" customHeight="1" thickBot="1">
      <c r="B37" s="761"/>
      <c r="C37" s="670" t="s">
        <v>378</v>
      </c>
      <c r="D37" s="663">
        <f>+D35+D36+-D34</f>
        <v>150</v>
      </c>
      <c r="E37" s="664">
        <f t="shared" ref="E37:AM37" si="5">+E35+E36+-E34</f>
        <v>150</v>
      </c>
      <c r="F37" s="665">
        <f t="shared" si="5"/>
        <v>150</v>
      </c>
      <c r="G37" s="663">
        <f t="shared" si="5"/>
        <v>150</v>
      </c>
      <c r="H37" s="664">
        <f t="shared" si="5"/>
        <v>150</v>
      </c>
      <c r="I37" s="666">
        <f t="shared" si="5"/>
        <v>150</v>
      </c>
      <c r="J37" s="667">
        <f t="shared" si="5"/>
        <v>150</v>
      </c>
      <c r="K37" s="664">
        <f t="shared" si="5"/>
        <v>150</v>
      </c>
      <c r="L37" s="665">
        <f t="shared" si="5"/>
        <v>150</v>
      </c>
      <c r="M37" s="663">
        <f t="shared" si="5"/>
        <v>150</v>
      </c>
      <c r="N37" s="664">
        <f t="shared" si="5"/>
        <v>148</v>
      </c>
      <c r="O37" s="666">
        <f t="shared" si="5"/>
        <v>150</v>
      </c>
      <c r="P37" s="667">
        <f t="shared" si="5"/>
        <v>150</v>
      </c>
      <c r="Q37" s="664">
        <f t="shared" si="5"/>
        <v>135.99993599897599</v>
      </c>
      <c r="R37" s="665">
        <f t="shared" si="5"/>
        <v>144</v>
      </c>
      <c r="S37" s="663">
        <f t="shared" si="5"/>
        <v>145</v>
      </c>
      <c r="T37" s="664">
        <f t="shared" si="5"/>
        <v>145</v>
      </c>
      <c r="U37" s="666">
        <f t="shared" si="5"/>
        <v>142.99998399974399</v>
      </c>
      <c r="V37" s="667">
        <f t="shared" si="5"/>
        <v>145</v>
      </c>
      <c r="W37" s="664">
        <f t="shared" si="5"/>
        <v>145</v>
      </c>
      <c r="X37" s="665">
        <f t="shared" si="5"/>
        <v>142.99998399974399</v>
      </c>
      <c r="Y37" s="663">
        <f t="shared" si="5"/>
        <v>145</v>
      </c>
      <c r="Z37" s="664">
        <f t="shared" si="5"/>
        <v>145</v>
      </c>
      <c r="AA37" s="666">
        <f t="shared" si="5"/>
        <v>142.99998399974399</v>
      </c>
      <c r="AB37" s="667">
        <f t="shared" si="5"/>
        <v>145</v>
      </c>
      <c r="AC37" s="664">
        <f t="shared" si="5"/>
        <v>145</v>
      </c>
      <c r="AD37" s="665">
        <f t="shared" si="5"/>
        <v>144</v>
      </c>
      <c r="AE37" s="663">
        <f t="shared" si="5"/>
        <v>145</v>
      </c>
      <c r="AF37" s="664">
        <f t="shared" si="5"/>
        <v>145</v>
      </c>
      <c r="AG37" s="666">
        <f t="shared" si="5"/>
        <v>144</v>
      </c>
      <c r="AH37" s="667">
        <f t="shared" si="5"/>
        <v>145</v>
      </c>
      <c r="AI37" s="664">
        <f t="shared" si="5"/>
        <v>145</v>
      </c>
      <c r="AJ37" s="665">
        <f t="shared" si="5"/>
        <v>148</v>
      </c>
      <c r="AK37" s="663">
        <f t="shared" si="5"/>
        <v>150</v>
      </c>
      <c r="AL37" s="664">
        <f t="shared" si="5"/>
        <v>150</v>
      </c>
      <c r="AM37" s="664">
        <f t="shared" si="5"/>
        <v>150</v>
      </c>
      <c r="AN37" s="668">
        <f t="shared" ref="AN37" si="6">SUM(D37:AM37)</f>
        <v>5282.9998879982086</v>
      </c>
    </row>
    <row r="38" spans="2:40" s="453" customFormat="1" ht="13.5" customHeight="1" thickBot="1">
      <c r="AN38" s="454"/>
    </row>
    <row r="39" spans="2:40" ht="28.5" customHeight="1">
      <c r="B39" s="46"/>
      <c r="C39" s="498" t="s">
        <v>403</v>
      </c>
      <c r="D39" s="752" t="s">
        <v>404</v>
      </c>
      <c r="E39" s="752"/>
      <c r="F39" s="753"/>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46"/>
      <c r="AM39" s="46"/>
      <c r="AN39" s="46"/>
    </row>
    <row r="40" spans="2:40" ht="28.5" customHeight="1" thickBot="1">
      <c r="C40" s="499">
        <v>753</v>
      </c>
      <c r="D40" s="754">
        <f>C40*AN36</f>
        <v>0</v>
      </c>
      <c r="E40" s="754"/>
      <c r="F40" s="755"/>
    </row>
  </sheetData>
  <sheetProtection sheet="1" objects="1" scenarios="1" selectLockedCells="1"/>
  <mergeCells count="41">
    <mergeCell ref="D39:F39"/>
    <mergeCell ref="D40:F40"/>
    <mergeCell ref="B26:C26"/>
    <mergeCell ref="B28:C28"/>
    <mergeCell ref="B34:C34"/>
    <mergeCell ref="B27:C27"/>
    <mergeCell ref="B29:B31"/>
    <mergeCell ref="B35:B37"/>
    <mergeCell ref="AN2:AN3"/>
    <mergeCell ref="Y2:AA2"/>
    <mergeCell ref="AB2:AD2"/>
    <mergeCell ref="AE2:AG2"/>
    <mergeCell ref="AH2:AJ2"/>
    <mergeCell ref="AK2:AM2"/>
    <mergeCell ref="B19:C19"/>
    <mergeCell ref="P2:R2"/>
    <mergeCell ref="C4:C8"/>
    <mergeCell ref="V2:X2"/>
    <mergeCell ref="B2:C3"/>
    <mergeCell ref="D2:F2"/>
    <mergeCell ref="G2:I2"/>
    <mergeCell ref="J2:L2"/>
    <mergeCell ref="S2:U2"/>
    <mergeCell ref="B4:B8"/>
    <mergeCell ref="M2:O2"/>
    <mergeCell ref="B25:C25"/>
    <mergeCell ref="B24:C24"/>
    <mergeCell ref="B9:C9"/>
    <mergeCell ref="B18:C18"/>
    <mergeCell ref="B17:C17"/>
    <mergeCell ref="B16:C16"/>
    <mergeCell ref="B15:C15"/>
    <mergeCell ref="B14:C14"/>
    <mergeCell ref="B13:C13"/>
    <mergeCell ref="B12:C12"/>
    <mergeCell ref="B11:C11"/>
    <mergeCell ref="B10:C10"/>
    <mergeCell ref="B23:C23"/>
    <mergeCell ref="B22:C22"/>
    <mergeCell ref="B21:C21"/>
    <mergeCell ref="B20:C20"/>
  </mergeCells>
  <phoneticPr fontId="14"/>
  <printOptions horizontalCentered="1" verticalCentered="1"/>
  <pageMargins left="0.78740157480314965" right="0.74803149606299213" top="1.1811023622047245" bottom="0.39370078740157483" header="0.78740157480314965" footer="0.51181102362204722"/>
  <pageSetup paperSize="9" scale="50" firstPageNumber="0" orientation="landscape" cellComments="asDisplayed" horizontalDpi="4294967293" verticalDpi="300" r:id="rId1"/>
  <headerFooter alignWithMargins="0">
    <oddHeader>&amp;L肉用牛（肥育）春から秋の耕作放棄地経産牛放牧（全域）</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O28"/>
  <sheetViews>
    <sheetView showGridLines="0" topLeftCell="A15" zoomScale="110" zoomScaleNormal="110" zoomScalePageLayoutView="153" workbookViewId="0">
      <selection activeCell="C25" sqref="C25"/>
    </sheetView>
  </sheetViews>
  <sheetFormatPr defaultColWidth="10" defaultRowHeight="13.5"/>
  <cols>
    <col min="1" max="1" width="3.125" style="279" customWidth="1"/>
    <col min="2" max="2" width="17.875" style="279" customWidth="1"/>
    <col min="3" max="3" width="10" style="279" customWidth="1"/>
    <col min="4" max="4" width="2.375" style="279" customWidth="1"/>
    <col min="5" max="5" width="6.125" style="279" customWidth="1"/>
    <col min="6" max="6" width="7.125" style="279" customWidth="1"/>
    <col min="7" max="7" width="1.875" style="279" customWidth="1"/>
    <col min="8" max="9" width="7.125" style="279" customWidth="1"/>
    <col min="10" max="10" width="2.125" style="279" customWidth="1"/>
    <col min="11" max="11" width="12.125" style="279" customWidth="1"/>
    <col min="12" max="12" width="5.875" style="279" customWidth="1"/>
    <col min="13" max="13" width="5.5" style="279" customWidth="1"/>
    <col min="14" max="15" width="8.375" style="279" customWidth="1"/>
    <col min="16" max="256" width="10" style="279"/>
    <col min="257" max="257" width="3.125" style="279" customWidth="1"/>
    <col min="258" max="258" width="17.875" style="279" customWidth="1"/>
    <col min="259" max="259" width="10" style="279" customWidth="1"/>
    <col min="260" max="260" width="2.375" style="279" customWidth="1"/>
    <col min="261" max="261" width="6.125" style="279" customWidth="1"/>
    <col min="262" max="262" width="7.125" style="279" customWidth="1"/>
    <col min="263" max="263" width="1.875" style="279" customWidth="1"/>
    <col min="264" max="265" width="7.125" style="279" customWidth="1"/>
    <col min="266" max="266" width="2.125" style="279" customWidth="1"/>
    <col min="267" max="267" width="12.125" style="279" customWidth="1"/>
    <col min="268" max="268" width="5.875" style="279" customWidth="1"/>
    <col min="269" max="269" width="5.5" style="279" customWidth="1"/>
    <col min="270" max="271" width="8.375" style="279" customWidth="1"/>
    <col min="272" max="512" width="10" style="279"/>
    <col min="513" max="513" width="3.125" style="279" customWidth="1"/>
    <col min="514" max="514" width="17.875" style="279" customWidth="1"/>
    <col min="515" max="515" width="10" style="279" customWidth="1"/>
    <col min="516" max="516" width="2.375" style="279" customWidth="1"/>
    <col min="517" max="517" width="6.125" style="279" customWidth="1"/>
    <col min="518" max="518" width="7.125" style="279" customWidth="1"/>
    <col min="519" max="519" width="1.875" style="279" customWidth="1"/>
    <col min="520" max="521" width="7.125" style="279" customWidth="1"/>
    <col min="522" max="522" width="2.125" style="279" customWidth="1"/>
    <col min="523" max="523" width="12.125" style="279" customWidth="1"/>
    <col min="524" max="524" width="5.875" style="279" customWidth="1"/>
    <col min="525" max="525" width="5.5" style="279" customWidth="1"/>
    <col min="526" max="527" width="8.375" style="279" customWidth="1"/>
    <col min="528" max="768" width="10" style="279"/>
    <col min="769" max="769" width="3.125" style="279" customWidth="1"/>
    <col min="770" max="770" width="17.875" style="279" customWidth="1"/>
    <col min="771" max="771" width="10" style="279" customWidth="1"/>
    <col min="772" max="772" width="2.375" style="279" customWidth="1"/>
    <col min="773" max="773" width="6.125" style="279" customWidth="1"/>
    <col min="774" max="774" width="7.125" style="279" customWidth="1"/>
    <col min="775" max="775" width="1.875" style="279" customWidth="1"/>
    <col min="776" max="777" width="7.125" style="279" customWidth="1"/>
    <col min="778" max="778" width="2.125" style="279" customWidth="1"/>
    <col min="779" max="779" width="12.125" style="279" customWidth="1"/>
    <col min="780" max="780" width="5.875" style="279" customWidth="1"/>
    <col min="781" max="781" width="5.5" style="279" customWidth="1"/>
    <col min="782" max="783" width="8.375" style="279" customWidth="1"/>
    <col min="784" max="1024" width="10" style="279"/>
    <col min="1025" max="1025" width="3.125" style="279" customWidth="1"/>
    <col min="1026" max="1026" width="17.875" style="279" customWidth="1"/>
    <col min="1027" max="1027" width="10" style="279" customWidth="1"/>
    <col min="1028" max="1028" width="2.375" style="279" customWidth="1"/>
    <col min="1029" max="1029" width="6.125" style="279" customWidth="1"/>
    <col min="1030" max="1030" width="7.125" style="279" customWidth="1"/>
    <col min="1031" max="1031" width="1.875" style="279" customWidth="1"/>
    <col min="1032" max="1033" width="7.125" style="279" customWidth="1"/>
    <col min="1034" max="1034" width="2.125" style="279" customWidth="1"/>
    <col min="1035" max="1035" width="12.125" style="279" customWidth="1"/>
    <col min="1036" max="1036" width="5.875" style="279" customWidth="1"/>
    <col min="1037" max="1037" width="5.5" style="279" customWidth="1"/>
    <col min="1038" max="1039" width="8.375" style="279" customWidth="1"/>
    <col min="1040" max="1280" width="10" style="279"/>
    <col min="1281" max="1281" width="3.125" style="279" customWidth="1"/>
    <col min="1282" max="1282" width="17.875" style="279" customWidth="1"/>
    <col min="1283" max="1283" width="10" style="279" customWidth="1"/>
    <col min="1284" max="1284" width="2.375" style="279" customWidth="1"/>
    <col min="1285" max="1285" width="6.125" style="279" customWidth="1"/>
    <col min="1286" max="1286" width="7.125" style="279" customWidth="1"/>
    <col min="1287" max="1287" width="1.875" style="279" customWidth="1"/>
    <col min="1288" max="1289" width="7.125" style="279" customWidth="1"/>
    <col min="1290" max="1290" width="2.125" style="279" customWidth="1"/>
    <col min="1291" max="1291" width="12.125" style="279" customWidth="1"/>
    <col min="1292" max="1292" width="5.875" style="279" customWidth="1"/>
    <col min="1293" max="1293" width="5.5" style="279" customWidth="1"/>
    <col min="1294" max="1295" width="8.375" style="279" customWidth="1"/>
    <col min="1296" max="1536" width="10" style="279"/>
    <col min="1537" max="1537" width="3.125" style="279" customWidth="1"/>
    <col min="1538" max="1538" width="17.875" style="279" customWidth="1"/>
    <col min="1539" max="1539" width="10" style="279" customWidth="1"/>
    <col min="1540" max="1540" width="2.375" style="279" customWidth="1"/>
    <col min="1541" max="1541" width="6.125" style="279" customWidth="1"/>
    <col min="1542" max="1542" width="7.125" style="279" customWidth="1"/>
    <col min="1543" max="1543" width="1.875" style="279" customWidth="1"/>
    <col min="1544" max="1545" width="7.125" style="279" customWidth="1"/>
    <col min="1546" max="1546" width="2.125" style="279" customWidth="1"/>
    <col min="1547" max="1547" width="12.125" style="279" customWidth="1"/>
    <col min="1548" max="1548" width="5.875" style="279" customWidth="1"/>
    <col min="1549" max="1549" width="5.5" style="279" customWidth="1"/>
    <col min="1550" max="1551" width="8.375" style="279" customWidth="1"/>
    <col min="1552" max="1792" width="10" style="279"/>
    <col min="1793" max="1793" width="3.125" style="279" customWidth="1"/>
    <col min="1794" max="1794" width="17.875" style="279" customWidth="1"/>
    <col min="1795" max="1795" width="10" style="279" customWidth="1"/>
    <col min="1796" max="1796" width="2.375" style="279" customWidth="1"/>
    <col min="1797" max="1797" width="6.125" style="279" customWidth="1"/>
    <col min="1798" max="1798" width="7.125" style="279" customWidth="1"/>
    <col min="1799" max="1799" width="1.875" style="279" customWidth="1"/>
    <col min="1800" max="1801" width="7.125" style="279" customWidth="1"/>
    <col min="1802" max="1802" width="2.125" style="279" customWidth="1"/>
    <col min="1803" max="1803" width="12.125" style="279" customWidth="1"/>
    <col min="1804" max="1804" width="5.875" style="279" customWidth="1"/>
    <col min="1805" max="1805" width="5.5" style="279" customWidth="1"/>
    <col min="1806" max="1807" width="8.375" style="279" customWidth="1"/>
    <col min="1808" max="2048" width="10" style="279"/>
    <col min="2049" max="2049" width="3.125" style="279" customWidth="1"/>
    <col min="2050" max="2050" width="17.875" style="279" customWidth="1"/>
    <col min="2051" max="2051" width="10" style="279" customWidth="1"/>
    <col min="2052" max="2052" width="2.375" style="279" customWidth="1"/>
    <col min="2053" max="2053" width="6.125" style="279" customWidth="1"/>
    <col min="2054" max="2054" width="7.125" style="279" customWidth="1"/>
    <col min="2055" max="2055" width="1.875" style="279" customWidth="1"/>
    <col min="2056" max="2057" width="7.125" style="279" customWidth="1"/>
    <col min="2058" max="2058" width="2.125" style="279" customWidth="1"/>
    <col min="2059" max="2059" width="12.125" style="279" customWidth="1"/>
    <col min="2060" max="2060" width="5.875" style="279" customWidth="1"/>
    <col min="2061" max="2061" width="5.5" style="279" customWidth="1"/>
    <col min="2062" max="2063" width="8.375" style="279" customWidth="1"/>
    <col min="2064" max="2304" width="10" style="279"/>
    <col min="2305" max="2305" width="3.125" style="279" customWidth="1"/>
    <col min="2306" max="2306" width="17.875" style="279" customWidth="1"/>
    <col min="2307" max="2307" width="10" style="279" customWidth="1"/>
    <col min="2308" max="2308" width="2.375" style="279" customWidth="1"/>
    <col min="2309" max="2309" width="6.125" style="279" customWidth="1"/>
    <col min="2310" max="2310" width="7.125" style="279" customWidth="1"/>
    <col min="2311" max="2311" width="1.875" style="279" customWidth="1"/>
    <col min="2312" max="2313" width="7.125" style="279" customWidth="1"/>
    <col min="2314" max="2314" width="2.125" style="279" customWidth="1"/>
    <col min="2315" max="2315" width="12.125" style="279" customWidth="1"/>
    <col min="2316" max="2316" width="5.875" style="279" customWidth="1"/>
    <col min="2317" max="2317" width="5.5" style="279" customWidth="1"/>
    <col min="2318" max="2319" width="8.375" style="279" customWidth="1"/>
    <col min="2320" max="2560" width="10" style="279"/>
    <col min="2561" max="2561" width="3.125" style="279" customWidth="1"/>
    <col min="2562" max="2562" width="17.875" style="279" customWidth="1"/>
    <col min="2563" max="2563" width="10" style="279" customWidth="1"/>
    <col min="2564" max="2564" width="2.375" style="279" customWidth="1"/>
    <col min="2565" max="2565" width="6.125" style="279" customWidth="1"/>
    <col min="2566" max="2566" width="7.125" style="279" customWidth="1"/>
    <col min="2567" max="2567" width="1.875" style="279" customWidth="1"/>
    <col min="2568" max="2569" width="7.125" style="279" customWidth="1"/>
    <col min="2570" max="2570" width="2.125" style="279" customWidth="1"/>
    <col min="2571" max="2571" width="12.125" style="279" customWidth="1"/>
    <col min="2572" max="2572" width="5.875" style="279" customWidth="1"/>
    <col min="2573" max="2573" width="5.5" style="279" customWidth="1"/>
    <col min="2574" max="2575" width="8.375" style="279" customWidth="1"/>
    <col min="2576" max="2816" width="10" style="279"/>
    <col min="2817" max="2817" width="3.125" style="279" customWidth="1"/>
    <col min="2818" max="2818" width="17.875" style="279" customWidth="1"/>
    <col min="2819" max="2819" width="10" style="279" customWidth="1"/>
    <col min="2820" max="2820" width="2.375" style="279" customWidth="1"/>
    <col min="2821" max="2821" width="6.125" style="279" customWidth="1"/>
    <col min="2822" max="2822" width="7.125" style="279" customWidth="1"/>
    <col min="2823" max="2823" width="1.875" style="279" customWidth="1"/>
    <col min="2824" max="2825" width="7.125" style="279" customWidth="1"/>
    <col min="2826" max="2826" width="2.125" style="279" customWidth="1"/>
    <col min="2827" max="2827" width="12.125" style="279" customWidth="1"/>
    <col min="2828" max="2828" width="5.875" style="279" customWidth="1"/>
    <col min="2829" max="2829" width="5.5" style="279" customWidth="1"/>
    <col min="2830" max="2831" width="8.375" style="279" customWidth="1"/>
    <col min="2832" max="3072" width="10" style="279"/>
    <col min="3073" max="3073" width="3.125" style="279" customWidth="1"/>
    <col min="3074" max="3074" width="17.875" style="279" customWidth="1"/>
    <col min="3075" max="3075" width="10" style="279" customWidth="1"/>
    <col min="3076" max="3076" width="2.375" style="279" customWidth="1"/>
    <col min="3077" max="3077" width="6.125" style="279" customWidth="1"/>
    <col min="3078" max="3078" width="7.125" style="279" customWidth="1"/>
    <col min="3079" max="3079" width="1.875" style="279" customWidth="1"/>
    <col min="3080" max="3081" width="7.125" style="279" customWidth="1"/>
    <col min="3082" max="3082" width="2.125" style="279" customWidth="1"/>
    <col min="3083" max="3083" width="12.125" style="279" customWidth="1"/>
    <col min="3084" max="3084" width="5.875" style="279" customWidth="1"/>
    <col min="3085" max="3085" width="5.5" style="279" customWidth="1"/>
    <col min="3086" max="3087" width="8.375" style="279" customWidth="1"/>
    <col min="3088" max="3328" width="10" style="279"/>
    <col min="3329" max="3329" width="3.125" style="279" customWidth="1"/>
    <col min="3330" max="3330" width="17.875" style="279" customWidth="1"/>
    <col min="3331" max="3331" width="10" style="279" customWidth="1"/>
    <col min="3332" max="3332" width="2.375" style="279" customWidth="1"/>
    <col min="3333" max="3333" width="6.125" style="279" customWidth="1"/>
    <col min="3334" max="3334" width="7.125" style="279" customWidth="1"/>
    <col min="3335" max="3335" width="1.875" style="279" customWidth="1"/>
    <col min="3336" max="3337" width="7.125" style="279" customWidth="1"/>
    <col min="3338" max="3338" width="2.125" style="279" customWidth="1"/>
    <col min="3339" max="3339" width="12.125" style="279" customWidth="1"/>
    <col min="3340" max="3340" width="5.875" style="279" customWidth="1"/>
    <col min="3341" max="3341" width="5.5" style="279" customWidth="1"/>
    <col min="3342" max="3343" width="8.375" style="279" customWidth="1"/>
    <col min="3344" max="3584" width="10" style="279"/>
    <col min="3585" max="3585" width="3.125" style="279" customWidth="1"/>
    <col min="3586" max="3586" width="17.875" style="279" customWidth="1"/>
    <col min="3587" max="3587" width="10" style="279" customWidth="1"/>
    <col min="3588" max="3588" width="2.375" style="279" customWidth="1"/>
    <col min="3589" max="3589" width="6.125" style="279" customWidth="1"/>
    <col min="3590" max="3590" width="7.125" style="279" customWidth="1"/>
    <col min="3591" max="3591" width="1.875" style="279" customWidth="1"/>
    <col min="3592" max="3593" width="7.125" style="279" customWidth="1"/>
    <col min="3594" max="3594" width="2.125" style="279" customWidth="1"/>
    <col min="3595" max="3595" width="12.125" style="279" customWidth="1"/>
    <col min="3596" max="3596" width="5.875" style="279" customWidth="1"/>
    <col min="3597" max="3597" width="5.5" style="279" customWidth="1"/>
    <col min="3598" max="3599" width="8.375" style="279" customWidth="1"/>
    <col min="3600" max="3840" width="10" style="279"/>
    <col min="3841" max="3841" width="3.125" style="279" customWidth="1"/>
    <col min="3842" max="3842" width="17.875" style="279" customWidth="1"/>
    <col min="3843" max="3843" width="10" style="279" customWidth="1"/>
    <col min="3844" max="3844" width="2.375" style="279" customWidth="1"/>
    <col min="3845" max="3845" width="6.125" style="279" customWidth="1"/>
    <col min="3846" max="3846" width="7.125" style="279" customWidth="1"/>
    <col min="3847" max="3847" width="1.875" style="279" customWidth="1"/>
    <col min="3848" max="3849" width="7.125" style="279" customWidth="1"/>
    <col min="3850" max="3850" width="2.125" style="279" customWidth="1"/>
    <col min="3851" max="3851" width="12.125" style="279" customWidth="1"/>
    <col min="3852" max="3852" width="5.875" style="279" customWidth="1"/>
    <col min="3853" max="3853" width="5.5" style="279" customWidth="1"/>
    <col min="3854" max="3855" width="8.375" style="279" customWidth="1"/>
    <col min="3856" max="4096" width="10" style="279"/>
    <col min="4097" max="4097" width="3.125" style="279" customWidth="1"/>
    <col min="4098" max="4098" width="17.875" style="279" customWidth="1"/>
    <col min="4099" max="4099" width="10" style="279" customWidth="1"/>
    <col min="4100" max="4100" width="2.375" style="279" customWidth="1"/>
    <col min="4101" max="4101" width="6.125" style="279" customWidth="1"/>
    <col min="4102" max="4102" width="7.125" style="279" customWidth="1"/>
    <col min="4103" max="4103" width="1.875" style="279" customWidth="1"/>
    <col min="4104" max="4105" width="7.125" style="279" customWidth="1"/>
    <col min="4106" max="4106" width="2.125" style="279" customWidth="1"/>
    <col min="4107" max="4107" width="12.125" style="279" customWidth="1"/>
    <col min="4108" max="4108" width="5.875" style="279" customWidth="1"/>
    <col min="4109" max="4109" width="5.5" style="279" customWidth="1"/>
    <col min="4110" max="4111" width="8.375" style="279" customWidth="1"/>
    <col min="4112" max="4352" width="10" style="279"/>
    <col min="4353" max="4353" width="3.125" style="279" customWidth="1"/>
    <col min="4354" max="4354" width="17.875" style="279" customWidth="1"/>
    <col min="4355" max="4355" width="10" style="279" customWidth="1"/>
    <col min="4356" max="4356" width="2.375" style="279" customWidth="1"/>
    <col min="4357" max="4357" width="6.125" style="279" customWidth="1"/>
    <col min="4358" max="4358" width="7.125" style="279" customWidth="1"/>
    <col min="4359" max="4359" width="1.875" style="279" customWidth="1"/>
    <col min="4360" max="4361" width="7.125" style="279" customWidth="1"/>
    <col min="4362" max="4362" width="2.125" style="279" customWidth="1"/>
    <col min="4363" max="4363" width="12.125" style="279" customWidth="1"/>
    <col min="4364" max="4364" width="5.875" style="279" customWidth="1"/>
    <col min="4365" max="4365" width="5.5" style="279" customWidth="1"/>
    <col min="4366" max="4367" width="8.375" style="279" customWidth="1"/>
    <col min="4368" max="4608" width="10" style="279"/>
    <col min="4609" max="4609" width="3.125" style="279" customWidth="1"/>
    <col min="4610" max="4610" width="17.875" style="279" customWidth="1"/>
    <col min="4611" max="4611" width="10" style="279" customWidth="1"/>
    <col min="4612" max="4612" width="2.375" style="279" customWidth="1"/>
    <col min="4613" max="4613" width="6.125" style="279" customWidth="1"/>
    <col min="4614" max="4614" width="7.125" style="279" customWidth="1"/>
    <col min="4615" max="4615" width="1.875" style="279" customWidth="1"/>
    <col min="4616" max="4617" width="7.125" style="279" customWidth="1"/>
    <col min="4618" max="4618" width="2.125" style="279" customWidth="1"/>
    <col min="4619" max="4619" width="12.125" style="279" customWidth="1"/>
    <col min="4620" max="4620" width="5.875" style="279" customWidth="1"/>
    <col min="4621" max="4621" width="5.5" style="279" customWidth="1"/>
    <col min="4622" max="4623" width="8.375" style="279" customWidth="1"/>
    <col min="4624" max="4864" width="10" style="279"/>
    <col min="4865" max="4865" width="3.125" style="279" customWidth="1"/>
    <col min="4866" max="4866" width="17.875" style="279" customWidth="1"/>
    <col min="4867" max="4867" width="10" style="279" customWidth="1"/>
    <col min="4868" max="4868" width="2.375" style="279" customWidth="1"/>
    <col min="4869" max="4869" width="6.125" style="279" customWidth="1"/>
    <col min="4870" max="4870" width="7.125" style="279" customWidth="1"/>
    <col min="4871" max="4871" width="1.875" style="279" customWidth="1"/>
    <col min="4872" max="4873" width="7.125" style="279" customWidth="1"/>
    <col min="4874" max="4874" width="2.125" style="279" customWidth="1"/>
    <col min="4875" max="4875" width="12.125" style="279" customWidth="1"/>
    <col min="4876" max="4876" width="5.875" style="279" customWidth="1"/>
    <col min="4877" max="4877" width="5.5" style="279" customWidth="1"/>
    <col min="4878" max="4879" width="8.375" style="279" customWidth="1"/>
    <col min="4880" max="5120" width="10" style="279"/>
    <col min="5121" max="5121" width="3.125" style="279" customWidth="1"/>
    <col min="5122" max="5122" width="17.875" style="279" customWidth="1"/>
    <col min="5123" max="5123" width="10" style="279" customWidth="1"/>
    <col min="5124" max="5124" width="2.375" style="279" customWidth="1"/>
    <col min="5125" max="5125" width="6.125" style="279" customWidth="1"/>
    <col min="5126" max="5126" width="7.125" style="279" customWidth="1"/>
    <col min="5127" max="5127" width="1.875" style="279" customWidth="1"/>
    <col min="5128" max="5129" width="7.125" style="279" customWidth="1"/>
    <col min="5130" max="5130" width="2.125" style="279" customWidth="1"/>
    <col min="5131" max="5131" width="12.125" style="279" customWidth="1"/>
    <col min="5132" max="5132" width="5.875" style="279" customWidth="1"/>
    <col min="5133" max="5133" width="5.5" style="279" customWidth="1"/>
    <col min="5134" max="5135" width="8.375" style="279" customWidth="1"/>
    <col min="5136" max="5376" width="10" style="279"/>
    <col min="5377" max="5377" width="3.125" style="279" customWidth="1"/>
    <col min="5378" max="5378" width="17.875" style="279" customWidth="1"/>
    <col min="5379" max="5379" width="10" style="279" customWidth="1"/>
    <col min="5380" max="5380" width="2.375" style="279" customWidth="1"/>
    <col min="5381" max="5381" width="6.125" style="279" customWidth="1"/>
    <col min="5382" max="5382" width="7.125" style="279" customWidth="1"/>
    <col min="5383" max="5383" width="1.875" style="279" customWidth="1"/>
    <col min="5384" max="5385" width="7.125" style="279" customWidth="1"/>
    <col min="5386" max="5386" width="2.125" style="279" customWidth="1"/>
    <col min="5387" max="5387" width="12.125" style="279" customWidth="1"/>
    <col min="5388" max="5388" width="5.875" style="279" customWidth="1"/>
    <col min="5389" max="5389" width="5.5" style="279" customWidth="1"/>
    <col min="5390" max="5391" width="8.375" style="279" customWidth="1"/>
    <col min="5392" max="5632" width="10" style="279"/>
    <col min="5633" max="5633" width="3.125" style="279" customWidth="1"/>
    <col min="5634" max="5634" width="17.875" style="279" customWidth="1"/>
    <col min="5635" max="5635" width="10" style="279" customWidth="1"/>
    <col min="5636" max="5636" width="2.375" style="279" customWidth="1"/>
    <col min="5637" max="5637" width="6.125" style="279" customWidth="1"/>
    <col min="5638" max="5638" width="7.125" style="279" customWidth="1"/>
    <col min="5639" max="5639" width="1.875" style="279" customWidth="1"/>
    <col min="5640" max="5641" width="7.125" style="279" customWidth="1"/>
    <col min="5642" max="5642" width="2.125" style="279" customWidth="1"/>
    <col min="5643" max="5643" width="12.125" style="279" customWidth="1"/>
    <col min="5644" max="5644" width="5.875" style="279" customWidth="1"/>
    <col min="5645" max="5645" width="5.5" style="279" customWidth="1"/>
    <col min="5646" max="5647" width="8.375" style="279" customWidth="1"/>
    <col min="5648" max="5888" width="10" style="279"/>
    <col min="5889" max="5889" width="3.125" style="279" customWidth="1"/>
    <col min="5890" max="5890" width="17.875" style="279" customWidth="1"/>
    <col min="5891" max="5891" width="10" style="279" customWidth="1"/>
    <col min="5892" max="5892" width="2.375" style="279" customWidth="1"/>
    <col min="5893" max="5893" width="6.125" style="279" customWidth="1"/>
    <col min="5894" max="5894" width="7.125" style="279" customWidth="1"/>
    <col min="5895" max="5895" width="1.875" style="279" customWidth="1"/>
    <col min="5896" max="5897" width="7.125" style="279" customWidth="1"/>
    <col min="5898" max="5898" width="2.125" style="279" customWidth="1"/>
    <col min="5899" max="5899" width="12.125" style="279" customWidth="1"/>
    <col min="5900" max="5900" width="5.875" style="279" customWidth="1"/>
    <col min="5901" max="5901" width="5.5" style="279" customWidth="1"/>
    <col min="5902" max="5903" width="8.375" style="279" customWidth="1"/>
    <col min="5904" max="6144" width="10" style="279"/>
    <col min="6145" max="6145" width="3.125" style="279" customWidth="1"/>
    <col min="6146" max="6146" width="17.875" style="279" customWidth="1"/>
    <col min="6147" max="6147" width="10" style="279" customWidth="1"/>
    <col min="6148" max="6148" width="2.375" style="279" customWidth="1"/>
    <col min="6149" max="6149" width="6.125" style="279" customWidth="1"/>
    <col min="6150" max="6150" width="7.125" style="279" customWidth="1"/>
    <col min="6151" max="6151" width="1.875" style="279" customWidth="1"/>
    <col min="6152" max="6153" width="7.125" style="279" customWidth="1"/>
    <col min="6154" max="6154" width="2.125" style="279" customWidth="1"/>
    <col min="6155" max="6155" width="12.125" style="279" customWidth="1"/>
    <col min="6156" max="6156" width="5.875" style="279" customWidth="1"/>
    <col min="6157" max="6157" width="5.5" style="279" customWidth="1"/>
    <col min="6158" max="6159" width="8.375" style="279" customWidth="1"/>
    <col min="6160" max="6400" width="10" style="279"/>
    <col min="6401" max="6401" width="3.125" style="279" customWidth="1"/>
    <col min="6402" max="6402" width="17.875" style="279" customWidth="1"/>
    <col min="6403" max="6403" width="10" style="279" customWidth="1"/>
    <col min="6404" max="6404" width="2.375" style="279" customWidth="1"/>
    <col min="6405" max="6405" width="6.125" style="279" customWidth="1"/>
    <col min="6406" max="6406" width="7.125" style="279" customWidth="1"/>
    <col min="6407" max="6407" width="1.875" style="279" customWidth="1"/>
    <col min="6408" max="6409" width="7.125" style="279" customWidth="1"/>
    <col min="6410" max="6410" width="2.125" style="279" customWidth="1"/>
    <col min="6411" max="6411" width="12.125" style="279" customWidth="1"/>
    <col min="6412" max="6412" width="5.875" style="279" customWidth="1"/>
    <col min="6413" max="6413" width="5.5" style="279" customWidth="1"/>
    <col min="6414" max="6415" width="8.375" style="279" customWidth="1"/>
    <col min="6416" max="6656" width="10" style="279"/>
    <col min="6657" max="6657" width="3.125" style="279" customWidth="1"/>
    <col min="6658" max="6658" width="17.875" style="279" customWidth="1"/>
    <col min="6659" max="6659" width="10" style="279" customWidth="1"/>
    <col min="6660" max="6660" width="2.375" style="279" customWidth="1"/>
    <col min="6661" max="6661" width="6.125" style="279" customWidth="1"/>
    <col min="6662" max="6662" width="7.125" style="279" customWidth="1"/>
    <col min="6663" max="6663" width="1.875" style="279" customWidth="1"/>
    <col min="6664" max="6665" width="7.125" style="279" customWidth="1"/>
    <col min="6666" max="6666" width="2.125" style="279" customWidth="1"/>
    <col min="6667" max="6667" width="12.125" style="279" customWidth="1"/>
    <col min="6668" max="6668" width="5.875" style="279" customWidth="1"/>
    <col min="6669" max="6669" width="5.5" style="279" customWidth="1"/>
    <col min="6670" max="6671" width="8.375" style="279" customWidth="1"/>
    <col min="6672" max="6912" width="10" style="279"/>
    <col min="6913" max="6913" width="3.125" style="279" customWidth="1"/>
    <col min="6914" max="6914" width="17.875" style="279" customWidth="1"/>
    <col min="6915" max="6915" width="10" style="279" customWidth="1"/>
    <col min="6916" max="6916" width="2.375" style="279" customWidth="1"/>
    <col min="6917" max="6917" width="6.125" style="279" customWidth="1"/>
    <col min="6918" max="6918" width="7.125" style="279" customWidth="1"/>
    <col min="6919" max="6919" width="1.875" style="279" customWidth="1"/>
    <col min="6920" max="6921" width="7.125" style="279" customWidth="1"/>
    <col min="6922" max="6922" width="2.125" style="279" customWidth="1"/>
    <col min="6923" max="6923" width="12.125" style="279" customWidth="1"/>
    <col min="6924" max="6924" width="5.875" style="279" customWidth="1"/>
    <col min="6925" max="6925" width="5.5" style="279" customWidth="1"/>
    <col min="6926" max="6927" width="8.375" style="279" customWidth="1"/>
    <col min="6928" max="7168" width="10" style="279"/>
    <col min="7169" max="7169" width="3.125" style="279" customWidth="1"/>
    <col min="7170" max="7170" width="17.875" style="279" customWidth="1"/>
    <col min="7171" max="7171" width="10" style="279" customWidth="1"/>
    <col min="7172" max="7172" width="2.375" style="279" customWidth="1"/>
    <col min="7173" max="7173" width="6.125" style="279" customWidth="1"/>
    <col min="7174" max="7174" width="7.125" style="279" customWidth="1"/>
    <col min="7175" max="7175" width="1.875" style="279" customWidth="1"/>
    <col min="7176" max="7177" width="7.125" style="279" customWidth="1"/>
    <col min="7178" max="7178" width="2.125" style="279" customWidth="1"/>
    <col min="7179" max="7179" width="12.125" style="279" customWidth="1"/>
    <col min="7180" max="7180" width="5.875" style="279" customWidth="1"/>
    <col min="7181" max="7181" width="5.5" style="279" customWidth="1"/>
    <col min="7182" max="7183" width="8.375" style="279" customWidth="1"/>
    <col min="7184" max="7424" width="10" style="279"/>
    <col min="7425" max="7425" width="3.125" style="279" customWidth="1"/>
    <col min="7426" max="7426" width="17.875" style="279" customWidth="1"/>
    <col min="7427" max="7427" width="10" style="279" customWidth="1"/>
    <col min="7428" max="7428" width="2.375" style="279" customWidth="1"/>
    <col min="7429" max="7429" width="6.125" style="279" customWidth="1"/>
    <col min="7430" max="7430" width="7.125" style="279" customWidth="1"/>
    <col min="7431" max="7431" width="1.875" style="279" customWidth="1"/>
    <col min="7432" max="7433" width="7.125" style="279" customWidth="1"/>
    <col min="7434" max="7434" width="2.125" style="279" customWidth="1"/>
    <col min="7435" max="7435" width="12.125" style="279" customWidth="1"/>
    <col min="7436" max="7436" width="5.875" style="279" customWidth="1"/>
    <col min="7437" max="7437" width="5.5" style="279" customWidth="1"/>
    <col min="7438" max="7439" width="8.375" style="279" customWidth="1"/>
    <col min="7440" max="7680" width="10" style="279"/>
    <col min="7681" max="7681" width="3.125" style="279" customWidth="1"/>
    <col min="7682" max="7682" width="17.875" style="279" customWidth="1"/>
    <col min="7683" max="7683" width="10" style="279" customWidth="1"/>
    <col min="7684" max="7684" width="2.375" style="279" customWidth="1"/>
    <col min="7685" max="7685" width="6.125" style="279" customWidth="1"/>
    <col min="7686" max="7686" width="7.125" style="279" customWidth="1"/>
    <col min="7687" max="7687" width="1.875" style="279" customWidth="1"/>
    <col min="7688" max="7689" width="7.125" style="279" customWidth="1"/>
    <col min="7690" max="7690" width="2.125" style="279" customWidth="1"/>
    <col min="7691" max="7691" width="12.125" style="279" customWidth="1"/>
    <col min="7692" max="7692" width="5.875" style="279" customWidth="1"/>
    <col min="7693" max="7693" width="5.5" style="279" customWidth="1"/>
    <col min="7694" max="7695" width="8.375" style="279" customWidth="1"/>
    <col min="7696" max="7936" width="10" style="279"/>
    <col min="7937" max="7937" width="3.125" style="279" customWidth="1"/>
    <col min="7938" max="7938" width="17.875" style="279" customWidth="1"/>
    <col min="7939" max="7939" width="10" style="279" customWidth="1"/>
    <col min="7940" max="7940" width="2.375" style="279" customWidth="1"/>
    <col min="7941" max="7941" width="6.125" style="279" customWidth="1"/>
    <col min="7942" max="7942" width="7.125" style="279" customWidth="1"/>
    <col min="7943" max="7943" width="1.875" style="279" customWidth="1"/>
    <col min="7944" max="7945" width="7.125" style="279" customWidth="1"/>
    <col min="7946" max="7946" width="2.125" style="279" customWidth="1"/>
    <col min="7947" max="7947" width="12.125" style="279" customWidth="1"/>
    <col min="7948" max="7948" width="5.875" style="279" customWidth="1"/>
    <col min="7949" max="7949" width="5.5" style="279" customWidth="1"/>
    <col min="7950" max="7951" width="8.375" style="279" customWidth="1"/>
    <col min="7952" max="8192" width="10" style="279"/>
    <col min="8193" max="8193" width="3.125" style="279" customWidth="1"/>
    <col min="8194" max="8194" width="17.875" style="279" customWidth="1"/>
    <col min="8195" max="8195" width="10" style="279" customWidth="1"/>
    <col min="8196" max="8196" width="2.375" style="279" customWidth="1"/>
    <col min="8197" max="8197" width="6.125" style="279" customWidth="1"/>
    <col min="8198" max="8198" width="7.125" style="279" customWidth="1"/>
    <col min="8199" max="8199" width="1.875" style="279" customWidth="1"/>
    <col min="8200" max="8201" width="7.125" style="279" customWidth="1"/>
    <col min="8202" max="8202" width="2.125" style="279" customWidth="1"/>
    <col min="8203" max="8203" width="12.125" style="279" customWidth="1"/>
    <col min="8204" max="8204" width="5.875" style="279" customWidth="1"/>
    <col min="8205" max="8205" width="5.5" style="279" customWidth="1"/>
    <col min="8206" max="8207" width="8.375" style="279" customWidth="1"/>
    <col min="8208" max="8448" width="10" style="279"/>
    <col min="8449" max="8449" width="3.125" style="279" customWidth="1"/>
    <col min="8450" max="8450" width="17.875" style="279" customWidth="1"/>
    <col min="8451" max="8451" width="10" style="279" customWidth="1"/>
    <col min="8452" max="8452" width="2.375" style="279" customWidth="1"/>
    <col min="8453" max="8453" width="6.125" style="279" customWidth="1"/>
    <col min="8454" max="8454" width="7.125" style="279" customWidth="1"/>
    <col min="8455" max="8455" width="1.875" style="279" customWidth="1"/>
    <col min="8456" max="8457" width="7.125" style="279" customWidth="1"/>
    <col min="8458" max="8458" width="2.125" style="279" customWidth="1"/>
    <col min="8459" max="8459" width="12.125" style="279" customWidth="1"/>
    <col min="8460" max="8460" width="5.875" style="279" customWidth="1"/>
    <col min="8461" max="8461" width="5.5" style="279" customWidth="1"/>
    <col min="8462" max="8463" width="8.375" style="279" customWidth="1"/>
    <col min="8464" max="8704" width="10" style="279"/>
    <col min="8705" max="8705" width="3.125" style="279" customWidth="1"/>
    <col min="8706" max="8706" width="17.875" style="279" customWidth="1"/>
    <col min="8707" max="8707" width="10" style="279" customWidth="1"/>
    <col min="8708" max="8708" width="2.375" style="279" customWidth="1"/>
    <col min="8709" max="8709" width="6.125" style="279" customWidth="1"/>
    <col min="8710" max="8710" width="7.125" style="279" customWidth="1"/>
    <col min="8711" max="8711" width="1.875" style="279" customWidth="1"/>
    <col min="8712" max="8713" width="7.125" style="279" customWidth="1"/>
    <col min="8714" max="8714" width="2.125" style="279" customWidth="1"/>
    <col min="8715" max="8715" width="12.125" style="279" customWidth="1"/>
    <col min="8716" max="8716" width="5.875" style="279" customWidth="1"/>
    <col min="8717" max="8717" width="5.5" style="279" customWidth="1"/>
    <col min="8718" max="8719" width="8.375" style="279" customWidth="1"/>
    <col min="8720" max="8960" width="10" style="279"/>
    <col min="8961" max="8961" width="3.125" style="279" customWidth="1"/>
    <col min="8962" max="8962" width="17.875" style="279" customWidth="1"/>
    <col min="8963" max="8963" width="10" style="279" customWidth="1"/>
    <col min="8964" max="8964" width="2.375" style="279" customWidth="1"/>
    <col min="8965" max="8965" width="6.125" style="279" customWidth="1"/>
    <col min="8966" max="8966" width="7.125" style="279" customWidth="1"/>
    <col min="8967" max="8967" width="1.875" style="279" customWidth="1"/>
    <col min="8968" max="8969" width="7.125" style="279" customWidth="1"/>
    <col min="8970" max="8970" width="2.125" style="279" customWidth="1"/>
    <col min="8971" max="8971" width="12.125" style="279" customWidth="1"/>
    <col min="8972" max="8972" width="5.875" style="279" customWidth="1"/>
    <col min="8973" max="8973" width="5.5" style="279" customWidth="1"/>
    <col min="8974" max="8975" width="8.375" style="279" customWidth="1"/>
    <col min="8976" max="9216" width="10" style="279"/>
    <col min="9217" max="9217" width="3.125" style="279" customWidth="1"/>
    <col min="9218" max="9218" width="17.875" style="279" customWidth="1"/>
    <col min="9219" max="9219" width="10" style="279" customWidth="1"/>
    <col min="9220" max="9220" width="2.375" style="279" customWidth="1"/>
    <col min="9221" max="9221" width="6.125" style="279" customWidth="1"/>
    <col min="9222" max="9222" width="7.125" style="279" customWidth="1"/>
    <col min="9223" max="9223" width="1.875" style="279" customWidth="1"/>
    <col min="9224" max="9225" width="7.125" style="279" customWidth="1"/>
    <col min="9226" max="9226" width="2.125" style="279" customWidth="1"/>
    <col min="9227" max="9227" width="12.125" style="279" customWidth="1"/>
    <col min="9228" max="9228" width="5.875" style="279" customWidth="1"/>
    <col min="9229" max="9229" width="5.5" style="279" customWidth="1"/>
    <col min="9230" max="9231" width="8.375" style="279" customWidth="1"/>
    <col min="9232" max="9472" width="10" style="279"/>
    <col min="9473" max="9473" width="3.125" style="279" customWidth="1"/>
    <col min="9474" max="9474" width="17.875" style="279" customWidth="1"/>
    <col min="9475" max="9475" width="10" style="279" customWidth="1"/>
    <col min="9476" max="9476" width="2.375" style="279" customWidth="1"/>
    <col min="9477" max="9477" width="6.125" style="279" customWidth="1"/>
    <col min="9478" max="9478" width="7.125" style="279" customWidth="1"/>
    <col min="9479" max="9479" width="1.875" style="279" customWidth="1"/>
    <col min="9480" max="9481" width="7.125" style="279" customWidth="1"/>
    <col min="9482" max="9482" width="2.125" style="279" customWidth="1"/>
    <col min="9483" max="9483" width="12.125" style="279" customWidth="1"/>
    <col min="9484" max="9484" width="5.875" style="279" customWidth="1"/>
    <col min="9485" max="9485" width="5.5" style="279" customWidth="1"/>
    <col min="9486" max="9487" width="8.375" style="279" customWidth="1"/>
    <col min="9488" max="9728" width="10" style="279"/>
    <col min="9729" max="9729" width="3.125" style="279" customWidth="1"/>
    <col min="9730" max="9730" width="17.875" style="279" customWidth="1"/>
    <col min="9731" max="9731" width="10" style="279" customWidth="1"/>
    <col min="9732" max="9732" width="2.375" style="279" customWidth="1"/>
    <col min="9733" max="9733" width="6.125" style="279" customWidth="1"/>
    <col min="9734" max="9734" width="7.125" style="279" customWidth="1"/>
    <col min="9735" max="9735" width="1.875" style="279" customWidth="1"/>
    <col min="9736" max="9737" width="7.125" style="279" customWidth="1"/>
    <col min="9738" max="9738" width="2.125" style="279" customWidth="1"/>
    <col min="9739" max="9739" width="12.125" style="279" customWidth="1"/>
    <col min="9740" max="9740" width="5.875" style="279" customWidth="1"/>
    <col min="9741" max="9741" width="5.5" style="279" customWidth="1"/>
    <col min="9742" max="9743" width="8.375" style="279" customWidth="1"/>
    <col min="9744" max="9984" width="10" style="279"/>
    <col min="9985" max="9985" width="3.125" style="279" customWidth="1"/>
    <col min="9986" max="9986" width="17.875" style="279" customWidth="1"/>
    <col min="9987" max="9987" width="10" style="279" customWidth="1"/>
    <col min="9988" max="9988" width="2.375" style="279" customWidth="1"/>
    <col min="9989" max="9989" width="6.125" style="279" customWidth="1"/>
    <col min="9990" max="9990" width="7.125" style="279" customWidth="1"/>
    <col min="9991" max="9991" width="1.875" style="279" customWidth="1"/>
    <col min="9992" max="9993" width="7.125" style="279" customWidth="1"/>
    <col min="9994" max="9994" width="2.125" style="279" customWidth="1"/>
    <col min="9995" max="9995" width="12.125" style="279" customWidth="1"/>
    <col min="9996" max="9996" width="5.875" style="279" customWidth="1"/>
    <col min="9997" max="9997" width="5.5" style="279" customWidth="1"/>
    <col min="9998" max="9999" width="8.375" style="279" customWidth="1"/>
    <col min="10000" max="10240" width="10" style="279"/>
    <col min="10241" max="10241" width="3.125" style="279" customWidth="1"/>
    <col min="10242" max="10242" width="17.875" style="279" customWidth="1"/>
    <col min="10243" max="10243" width="10" style="279" customWidth="1"/>
    <col min="10244" max="10244" width="2.375" style="279" customWidth="1"/>
    <col min="10245" max="10245" width="6.125" style="279" customWidth="1"/>
    <col min="10246" max="10246" width="7.125" style="279" customWidth="1"/>
    <col min="10247" max="10247" width="1.875" style="279" customWidth="1"/>
    <col min="10248" max="10249" width="7.125" style="279" customWidth="1"/>
    <col min="10250" max="10250" width="2.125" style="279" customWidth="1"/>
    <col min="10251" max="10251" width="12.125" style="279" customWidth="1"/>
    <col min="10252" max="10252" width="5.875" style="279" customWidth="1"/>
    <col min="10253" max="10253" width="5.5" style="279" customWidth="1"/>
    <col min="10254" max="10255" width="8.375" style="279" customWidth="1"/>
    <col min="10256" max="10496" width="10" style="279"/>
    <col min="10497" max="10497" width="3.125" style="279" customWidth="1"/>
    <col min="10498" max="10498" width="17.875" style="279" customWidth="1"/>
    <col min="10499" max="10499" width="10" style="279" customWidth="1"/>
    <col min="10500" max="10500" width="2.375" style="279" customWidth="1"/>
    <col min="10501" max="10501" width="6.125" style="279" customWidth="1"/>
    <col min="10502" max="10502" width="7.125" style="279" customWidth="1"/>
    <col min="10503" max="10503" width="1.875" style="279" customWidth="1"/>
    <col min="10504" max="10505" width="7.125" style="279" customWidth="1"/>
    <col min="10506" max="10506" width="2.125" style="279" customWidth="1"/>
    <col min="10507" max="10507" width="12.125" style="279" customWidth="1"/>
    <col min="10508" max="10508" width="5.875" style="279" customWidth="1"/>
    <col min="10509" max="10509" width="5.5" style="279" customWidth="1"/>
    <col min="10510" max="10511" width="8.375" style="279" customWidth="1"/>
    <col min="10512" max="10752" width="10" style="279"/>
    <col min="10753" max="10753" width="3.125" style="279" customWidth="1"/>
    <col min="10754" max="10754" width="17.875" style="279" customWidth="1"/>
    <col min="10755" max="10755" width="10" style="279" customWidth="1"/>
    <col min="10756" max="10756" width="2.375" style="279" customWidth="1"/>
    <col min="10757" max="10757" width="6.125" style="279" customWidth="1"/>
    <col min="10758" max="10758" width="7.125" style="279" customWidth="1"/>
    <col min="10759" max="10759" width="1.875" style="279" customWidth="1"/>
    <col min="10760" max="10761" width="7.125" style="279" customWidth="1"/>
    <col min="10762" max="10762" width="2.125" style="279" customWidth="1"/>
    <col min="10763" max="10763" width="12.125" style="279" customWidth="1"/>
    <col min="10764" max="10764" width="5.875" style="279" customWidth="1"/>
    <col min="10765" max="10765" width="5.5" style="279" customWidth="1"/>
    <col min="10766" max="10767" width="8.375" style="279" customWidth="1"/>
    <col min="10768" max="11008" width="10" style="279"/>
    <col min="11009" max="11009" width="3.125" style="279" customWidth="1"/>
    <col min="11010" max="11010" width="17.875" style="279" customWidth="1"/>
    <col min="11011" max="11011" width="10" style="279" customWidth="1"/>
    <col min="11012" max="11012" width="2.375" style="279" customWidth="1"/>
    <col min="11013" max="11013" width="6.125" style="279" customWidth="1"/>
    <col min="11014" max="11014" width="7.125" style="279" customWidth="1"/>
    <col min="11015" max="11015" width="1.875" style="279" customWidth="1"/>
    <col min="11016" max="11017" width="7.125" style="279" customWidth="1"/>
    <col min="11018" max="11018" width="2.125" style="279" customWidth="1"/>
    <col min="11019" max="11019" width="12.125" style="279" customWidth="1"/>
    <col min="11020" max="11020" width="5.875" style="279" customWidth="1"/>
    <col min="11021" max="11021" width="5.5" style="279" customWidth="1"/>
    <col min="11022" max="11023" width="8.375" style="279" customWidth="1"/>
    <col min="11024" max="11264" width="10" style="279"/>
    <col min="11265" max="11265" width="3.125" style="279" customWidth="1"/>
    <col min="11266" max="11266" width="17.875" style="279" customWidth="1"/>
    <col min="11267" max="11267" width="10" style="279" customWidth="1"/>
    <col min="11268" max="11268" width="2.375" style="279" customWidth="1"/>
    <col min="11269" max="11269" width="6.125" style="279" customWidth="1"/>
    <col min="11270" max="11270" width="7.125" style="279" customWidth="1"/>
    <col min="11271" max="11271" width="1.875" style="279" customWidth="1"/>
    <col min="11272" max="11273" width="7.125" style="279" customWidth="1"/>
    <col min="11274" max="11274" width="2.125" style="279" customWidth="1"/>
    <col min="11275" max="11275" width="12.125" style="279" customWidth="1"/>
    <col min="11276" max="11276" width="5.875" style="279" customWidth="1"/>
    <col min="11277" max="11277" width="5.5" style="279" customWidth="1"/>
    <col min="11278" max="11279" width="8.375" style="279" customWidth="1"/>
    <col min="11280" max="11520" width="10" style="279"/>
    <col min="11521" max="11521" width="3.125" style="279" customWidth="1"/>
    <col min="11522" max="11522" width="17.875" style="279" customWidth="1"/>
    <col min="11523" max="11523" width="10" style="279" customWidth="1"/>
    <col min="11524" max="11524" width="2.375" style="279" customWidth="1"/>
    <col min="11525" max="11525" width="6.125" style="279" customWidth="1"/>
    <col min="11526" max="11526" width="7.125" style="279" customWidth="1"/>
    <col min="11527" max="11527" width="1.875" style="279" customWidth="1"/>
    <col min="11528" max="11529" width="7.125" style="279" customWidth="1"/>
    <col min="11530" max="11530" width="2.125" style="279" customWidth="1"/>
    <col min="11531" max="11531" width="12.125" style="279" customWidth="1"/>
    <col min="11532" max="11532" width="5.875" style="279" customWidth="1"/>
    <col min="11533" max="11533" width="5.5" style="279" customWidth="1"/>
    <col min="11534" max="11535" width="8.375" style="279" customWidth="1"/>
    <col min="11536" max="11776" width="10" style="279"/>
    <col min="11777" max="11777" width="3.125" style="279" customWidth="1"/>
    <col min="11778" max="11778" width="17.875" style="279" customWidth="1"/>
    <col min="11779" max="11779" width="10" style="279" customWidth="1"/>
    <col min="11780" max="11780" width="2.375" style="279" customWidth="1"/>
    <col min="11781" max="11781" width="6.125" style="279" customWidth="1"/>
    <col min="11782" max="11782" width="7.125" style="279" customWidth="1"/>
    <col min="11783" max="11783" width="1.875" style="279" customWidth="1"/>
    <col min="11784" max="11785" width="7.125" style="279" customWidth="1"/>
    <col min="11786" max="11786" width="2.125" style="279" customWidth="1"/>
    <col min="11787" max="11787" width="12.125" style="279" customWidth="1"/>
    <col min="11788" max="11788" width="5.875" style="279" customWidth="1"/>
    <col min="11789" max="11789" width="5.5" style="279" customWidth="1"/>
    <col min="11790" max="11791" width="8.375" style="279" customWidth="1"/>
    <col min="11792" max="12032" width="10" style="279"/>
    <col min="12033" max="12033" width="3.125" style="279" customWidth="1"/>
    <col min="12034" max="12034" width="17.875" style="279" customWidth="1"/>
    <col min="12035" max="12035" width="10" style="279" customWidth="1"/>
    <col min="12036" max="12036" width="2.375" style="279" customWidth="1"/>
    <col min="12037" max="12037" width="6.125" style="279" customWidth="1"/>
    <col min="12038" max="12038" width="7.125" style="279" customWidth="1"/>
    <col min="12039" max="12039" width="1.875" style="279" customWidth="1"/>
    <col min="12040" max="12041" width="7.125" style="279" customWidth="1"/>
    <col min="12042" max="12042" width="2.125" style="279" customWidth="1"/>
    <col min="12043" max="12043" width="12.125" style="279" customWidth="1"/>
    <col min="12044" max="12044" width="5.875" style="279" customWidth="1"/>
    <col min="12045" max="12045" width="5.5" style="279" customWidth="1"/>
    <col min="12046" max="12047" width="8.375" style="279" customWidth="1"/>
    <col min="12048" max="12288" width="10" style="279"/>
    <col min="12289" max="12289" width="3.125" style="279" customWidth="1"/>
    <col min="12290" max="12290" width="17.875" style="279" customWidth="1"/>
    <col min="12291" max="12291" width="10" style="279" customWidth="1"/>
    <col min="12292" max="12292" width="2.375" style="279" customWidth="1"/>
    <col min="12293" max="12293" width="6.125" style="279" customWidth="1"/>
    <col min="12294" max="12294" width="7.125" style="279" customWidth="1"/>
    <col min="12295" max="12295" width="1.875" style="279" customWidth="1"/>
    <col min="12296" max="12297" width="7.125" style="279" customWidth="1"/>
    <col min="12298" max="12298" width="2.125" style="279" customWidth="1"/>
    <col min="12299" max="12299" width="12.125" style="279" customWidth="1"/>
    <col min="12300" max="12300" width="5.875" style="279" customWidth="1"/>
    <col min="12301" max="12301" width="5.5" style="279" customWidth="1"/>
    <col min="12302" max="12303" width="8.375" style="279" customWidth="1"/>
    <col min="12304" max="12544" width="10" style="279"/>
    <col min="12545" max="12545" width="3.125" style="279" customWidth="1"/>
    <col min="12546" max="12546" width="17.875" style="279" customWidth="1"/>
    <col min="12547" max="12547" width="10" style="279" customWidth="1"/>
    <col min="12548" max="12548" width="2.375" style="279" customWidth="1"/>
    <col min="12549" max="12549" width="6.125" style="279" customWidth="1"/>
    <col min="12550" max="12550" width="7.125" style="279" customWidth="1"/>
    <col min="12551" max="12551" width="1.875" style="279" customWidth="1"/>
    <col min="12552" max="12553" width="7.125" style="279" customWidth="1"/>
    <col min="12554" max="12554" width="2.125" style="279" customWidth="1"/>
    <col min="12555" max="12555" width="12.125" style="279" customWidth="1"/>
    <col min="12556" max="12556" width="5.875" style="279" customWidth="1"/>
    <col min="12557" max="12557" width="5.5" style="279" customWidth="1"/>
    <col min="12558" max="12559" width="8.375" style="279" customWidth="1"/>
    <col min="12560" max="12800" width="10" style="279"/>
    <col min="12801" max="12801" width="3.125" style="279" customWidth="1"/>
    <col min="12802" max="12802" width="17.875" style="279" customWidth="1"/>
    <col min="12803" max="12803" width="10" style="279" customWidth="1"/>
    <col min="12804" max="12804" width="2.375" style="279" customWidth="1"/>
    <col min="12805" max="12805" width="6.125" style="279" customWidth="1"/>
    <col min="12806" max="12806" width="7.125" style="279" customWidth="1"/>
    <col min="12807" max="12807" width="1.875" style="279" customWidth="1"/>
    <col min="12808" max="12809" width="7.125" style="279" customWidth="1"/>
    <col min="12810" max="12810" width="2.125" style="279" customWidth="1"/>
    <col min="12811" max="12811" width="12.125" style="279" customWidth="1"/>
    <col min="12812" max="12812" width="5.875" style="279" customWidth="1"/>
    <col min="12813" max="12813" width="5.5" style="279" customWidth="1"/>
    <col min="12814" max="12815" width="8.375" style="279" customWidth="1"/>
    <col min="12816" max="13056" width="10" style="279"/>
    <col min="13057" max="13057" width="3.125" style="279" customWidth="1"/>
    <col min="13058" max="13058" width="17.875" style="279" customWidth="1"/>
    <col min="13059" max="13059" width="10" style="279" customWidth="1"/>
    <col min="13060" max="13060" width="2.375" style="279" customWidth="1"/>
    <col min="13061" max="13061" width="6.125" style="279" customWidth="1"/>
    <col min="13062" max="13062" width="7.125" style="279" customWidth="1"/>
    <col min="13063" max="13063" width="1.875" style="279" customWidth="1"/>
    <col min="13064" max="13065" width="7.125" style="279" customWidth="1"/>
    <col min="13066" max="13066" width="2.125" style="279" customWidth="1"/>
    <col min="13067" max="13067" width="12.125" style="279" customWidth="1"/>
    <col min="13068" max="13068" width="5.875" style="279" customWidth="1"/>
    <col min="13069" max="13069" width="5.5" style="279" customWidth="1"/>
    <col min="13070" max="13071" width="8.375" style="279" customWidth="1"/>
    <col min="13072" max="13312" width="10" style="279"/>
    <col min="13313" max="13313" width="3.125" style="279" customWidth="1"/>
    <col min="13314" max="13314" width="17.875" style="279" customWidth="1"/>
    <col min="13315" max="13315" width="10" style="279" customWidth="1"/>
    <col min="13316" max="13316" width="2.375" style="279" customWidth="1"/>
    <col min="13317" max="13317" width="6.125" style="279" customWidth="1"/>
    <col min="13318" max="13318" width="7.125" style="279" customWidth="1"/>
    <col min="13319" max="13319" width="1.875" style="279" customWidth="1"/>
    <col min="13320" max="13321" width="7.125" style="279" customWidth="1"/>
    <col min="13322" max="13322" width="2.125" style="279" customWidth="1"/>
    <col min="13323" max="13323" width="12.125" style="279" customWidth="1"/>
    <col min="13324" max="13324" width="5.875" style="279" customWidth="1"/>
    <col min="13325" max="13325" width="5.5" style="279" customWidth="1"/>
    <col min="13326" max="13327" width="8.375" style="279" customWidth="1"/>
    <col min="13328" max="13568" width="10" style="279"/>
    <col min="13569" max="13569" width="3.125" style="279" customWidth="1"/>
    <col min="13570" max="13570" width="17.875" style="279" customWidth="1"/>
    <col min="13571" max="13571" width="10" style="279" customWidth="1"/>
    <col min="13572" max="13572" width="2.375" style="279" customWidth="1"/>
    <col min="13573" max="13573" width="6.125" style="279" customWidth="1"/>
    <col min="13574" max="13574" width="7.125" style="279" customWidth="1"/>
    <col min="13575" max="13575" width="1.875" style="279" customWidth="1"/>
    <col min="13576" max="13577" width="7.125" style="279" customWidth="1"/>
    <col min="13578" max="13578" width="2.125" style="279" customWidth="1"/>
    <col min="13579" max="13579" width="12.125" style="279" customWidth="1"/>
    <col min="13580" max="13580" width="5.875" style="279" customWidth="1"/>
    <col min="13581" max="13581" width="5.5" style="279" customWidth="1"/>
    <col min="13582" max="13583" width="8.375" style="279" customWidth="1"/>
    <col min="13584" max="13824" width="10" style="279"/>
    <col min="13825" max="13825" width="3.125" style="279" customWidth="1"/>
    <col min="13826" max="13826" width="17.875" style="279" customWidth="1"/>
    <col min="13827" max="13827" width="10" style="279" customWidth="1"/>
    <col min="13828" max="13828" width="2.375" style="279" customWidth="1"/>
    <col min="13829" max="13829" width="6.125" style="279" customWidth="1"/>
    <col min="13830" max="13830" width="7.125" style="279" customWidth="1"/>
    <col min="13831" max="13831" width="1.875" style="279" customWidth="1"/>
    <col min="13832" max="13833" width="7.125" style="279" customWidth="1"/>
    <col min="13834" max="13834" width="2.125" style="279" customWidth="1"/>
    <col min="13835" max="13835" width="12.125" style="279" customWidth="1"/>
    <col min="13836" max="13836" width="5.875" style="279" customWidth="1"/>
    <col min="13837" max="13837" width="5.5" style="279" customWidth="1"/>
    <col min="13838" max="13839" width="8.375" style="279" customWidth="1"/>
    <col min="13840" max="14080" width="10" style="279"/>
    <col min="14081" max="14081" width="3.125" style="279" customWidth="1"/>
    <col min="14082" max="14082" width="17.875" style="279" customWidth="1"/>
    <col min="14083" max="14083" width="10" style="279" customWidth="1"/>
    <col min="14084" max="14084" width="2.375" style="279" customWidth="1"/>
    <col min="14085" max="14085" width="6.125" style="279" customWidth="1"/>
    <col min="14086" max="14086" width="7.125" style="279" customWidth="1"/>
    <col min="14087" max="14087" width="1.875" style="279" customWidth="1"/>
    <col min="14088" max="14089" width="7.125" style="279" customWidth="1"/>
    <col min="14090" max="14090" width="2.125" style="279" customWidth="1"/>
    <col min="14091" max="14091" width="12.125" style="279" customWidth="1"/>
    <col min="14092" max="14092" width="5.875" style="279" customWidth="1"/>
    <col min="14093" max="14093" width="5.5" style="279" customWidth="1"/>
    <col min="14094" max="14095" width="8.375" style="279" customWidth="1"/>
    <col min="14096" max="14336" width="10" style="279"/>
    <col min="14337" max="14337" width="3.125" style="279" customWidth="1"/>
    <col min="14338" max="14338" width="17.875" style="279" customWidth="1"/>
    <col min="14339" max="14339" width="10" style="279" customWidth="1"/>
    <col min="14340" max="14340" width="2.375" style="279" customWidth="1"/>
    <col min="14341" max="14341" width="6.125" style="279" customWidth="1"/>
    <col min="14342" max="14342" width="7.125" style="279" customWidth="1"/>
    <col min="14343" max="14343" width="1.875" style="279" customWidth="1"/>
    <col min="14344" max="14345" width="7.125" style="279" customWidth="1"/>
    <col min="14346" max="14346" width="2.125" style="279" customWidth="1"/>
    <col min="14347" max="14347" width="12.125" style="279" customWidth="1"/>
    <col min="14348" max="14348" width="5.875" style="279" customWidth="1"/>
    <col min="14349" max="14349" width="5.5" style="279" customWidth="1"/>
    <col min="14350" max="14351" width="8.375" style="279" customWidth="1"/>
    <col min="14352" max="14592" width="10" style="279"/>
    <col min="14593" max="14593" width="3.125" style="279" customWidth="1"/>
    <col min="14594" max="14594" width="17.875" style="279" customWidth="1"/>
    <col min="14595" max="14595" width="10" style="279" customWidth="1"/>
    <col min="14596" max="14596" width="2.375" style="279" customWidth="1"/>
    <col min="14597" max="14597" width="6.125" style="279" customWidth="1"/>
    <col min="14598" max="14598" width="7.125" style="279" customWidth="1"/>
    <col min="14599" max="14599" width="1.875" style="279" customWidth="1"/>
    <col min="14600" max="14601" width="7.125" style="279" customWidth="1"/>
    <col min="14602" max="14602" width="2.125" style="279" customWidth="1"/>
    <col min="14603" max="14603" width="12.125" style="279" customWidth="1"/>
    <col min="14604" max="14604" width="5.875" style="279" customWidth="1"/>
    <col min="14605" max="14605" width="5.5" style="279" customWidth="1"/>
    <col min="14606" max="14607" width="8.375" style="279" customWidth="1"/>
    <col min="14608" max="14848" width="10" style="279"/>
    <col min="14849" max="14849" width="3.125" style="279" customWidth="1"/>
    <col min="14850" max="14850" width="17.875" style="279" customWidth="1"/>
    <col min="14851" max="14851" width="10" style="279" customWidth="1"/>
    <col min="14852" max="14852" width="2.375" style="279" customWidth="1"/>
    <col min="14853" max="14853" width="6.125" style="279" customWidth="1"/>
    <col min="14854" max="14854" width="7.125" style="279" customWidth="1"/>
    <col min="14855" max="14855" width="1.875" style="279" customWidth="1"/>
    <col min="14856" max="14857" width="7.125" style="279" customWidth="1"/>
    <col min="14858" max="14858" width="2.125" style="279" customWidth="1"/>
    <col min="14859" max="14859" width="12.125" style="279" customWidth="1"/>
    <col min="14860" max="14860" width="5.875" style="279" customWidth="1"/>
    <col min="14861" max="14861" width="5.5" style="279" customWidth="1"/>
    <col min="14862" max="14863" width="8.375" style="279" customWidth="1"/>
    <col min="14864" max="15104" width="10" style="279"/>
    <col min="15105" max="15105" width="3.125" style="279" customWidth="1"/>
    <col min="15106" max="15106" width="17.875" style="279" customWidth="1"/>
    <col min="15107" max="15107" width="10" style="279" customWidth="1"/>
    <col min="15108" max="15108" width="2.375" style="279" customWidth="1"/>
    <col min="15109" max="15109" width="6.125" style="279" customWidth="1"/>
    <col min="15110" max="15110" width="7.125" style="279" customWidth="1"/>
    <col min="15111" max="15111" width="1.875" style="279" customWidth="1"/>
    <col min="15112" max="15113" width="7.125" style="279" customWidth="1"/>
    <col min="15114" max="15114" width="2.125" style="279" customWidth="1"/>
    <col min="15115" max="15115" width="12.125" style="279" customWidth="1"/>
    <col min="15116" max="15116" width="5.875" style="279" customWidth="1"/>
    <col min="15117" max="15117" width="5.5" style="279" customWidth="1"/>
    <col min="15118" max="15119" width="8.375" style="279" customWidth="1"/>
    <col min="15120" max="15360" width="10" style="279"/>
    <col min="15361" max="15361" width="3.125" style="279" customWidth="1"/>
    <col min="15362" max="15362" width="17.875" style="279" customWidth="1"/>
    <col min="15363" max="15363" width="10" style="279" customWidth="1"/>
    <col min="15364" max="15364" width="2.375" style="279" customWidth="1"/>
    <col min="15365" max="15365" width="6.125" style="279" customWidth="1"/>
    <col min="15366" max="15366" width="7.125" style="279" customWidth="1"/>
    <col min="15367" max="15367" width="1.875" style="279" customWidth="1"/>
    <col min="15368" max="15369" width="7.125" style="279" customWidth="1"/>
    <col min="15370" max="15370" width="2.125" style="279" customWidth="1"/>
    <col min="15371" max="15371" width="12.125" style="279" customWidth="1"/>
    <col min="15372" max="15372" width="5.875" style="279" customWidth="1"/>
    <col min="15373" max="15373" width="5.5" style="279" customWidth="1"/>
    <col min="15374" max="15375" width="8.375" style="279" customWidth="1"/>
    <col min="15376" max="15616" width="10" style="279"/>
    <col min="15617" max="15617" width="3.125" style="279" customWidth="1"/>
    <col min="15618" max="15618" width="17.875" style="279" customWidth="1"/>
    <col min="15619" max="15619" width="10" style="279" customWidth="1"/>
    <col min="15620" max="15620" width="2.375" style="279" customWidth="1"/>
    <col min="15621" max="15621" width="6.125" style="279" customWidth="1"/>
    <col min="15622" max="15622" width="7.125" style="279" customWidth="1"/>
    <col min="15623" max="15623" width="1.875" style="279" customWidth="1"/>
    <col min="15624" max="15625" width="7.125" style="279" customWidth="1"/>
    <col min="15626" max="15626" width="2.125" style="279" customWidth="1"/>
    <col min="15627" max="15627" width="12.125" style="279" customWidth="1"/>
    <col min="15628" max="15628" width="5.875" style="279" customWidth="1"/>
    <col min="15629" max="15629" width="5.5" style="279" customWidth="1"/>
    <col min="15630" max="15631" width="8.375" style="279" customWidth="1"/>
    <col min="15632" max="15872" width="10" style="279"/>
    <col min="15873" max="15873" width="3.125" style="279" customWidth="1"/>
    <col min="15874" max="15874" width="17.875" style="279" customWidth="1"/>
    <col min="15875" max="15875" width="10" style="279" customWidth="1"/>
    <col min="15876" max="15876" width="2.375" style="279" customWidth="1"/>
    <col min="15877" max="15877" width="6.125" style="279" customWidth="1"/>
    <col min="15878" max="15878" width="7.125" style="279" customWidth="1"/>
    <col min="15879" max="15879" width="1.875" style="279" customWidth="1"/>
    <col min="15880" max="15881" width="7.125" style="279" customWidth="1"/>
    <col min="15882" max="15882" width="2.125" style="279" customWidth="1"/>
    <col min="15883" max="15883" width="12.125" style="279" customWidth="1"/>
    <col min="15884" max="15884" width="5.875" style="279" customWidth="1"/>
    <col min="15885" max="15885" width="5.5" style="279" customWidth="1"/>
    <col min="15886" max="15887" width="8.375" style="279" customWidth="1"/>
    <col min="15888" max="16128" width="10" style="279"/>
    <col min="16129" max="16129" width="3.125" style="279" customWidth="1"/>
    <col min="16130" max="16130" width="17.875" style="279" customWidth="1"/>
    <col min="16131" max="16131" width="10" style="279" customWidth="1"/>
    <col min="16132" max="16132" width="2.375" style="279" customWidth="1"/>
    <col min="16133" max="16133" width="6.125" style="279" customWidth="1"/>
    <col min="16134" max="16134" width="7.125" style="279" customWidth="1"/>
    <col min="16135" max="16135" width="1.875" style="279" customWidth="1"/>
    <col min="16136" max="16137" width="7.125" style="279" customWidth="1"/>
    <col min="16138" max="16138" width="2.125" style="279" customWidth="1"/>
    <col min="16139" max="16139" width="12.125" style="279" customWidth="1"/>
    <col min="16140" max="16140" width="5.875" style="279" customWidth="1"/>
    <col min="16141" max="16141" width="5.5" style="279" customWidth="1"/>
    <col min="16142" max="16143" width="8.375" style="279" customWidth="1"/>
    <col min="16144" max="16384" width="10" style="279"/>
  </cols>
  <sheetData>
    <row r="1" spans="1:15" ht="14.25" customHeight="1">
      <c r="A1" s="277" t="s">
        <v>297</v>
      </c>
      <c r="B1" s="278"/>
      <c r="N1" s="280" t="s">
        <v>298</v>
      </c>
      <c r="O1" s="280" t="s">
        <v>299</v>
      </c>
    </row>
    <row r="2" spans="1:15" ht="14.25" customHeight="1">
      <c r="A2" s="281" t="s">
        <v>300</v>
      </c>
      <c r="B2" s="282" t="s">
        <v>301</v>
      </c>
    </row>
    <row r="3" spans="1:15" ht="14.25" customHeight="1">
      <c r="B3" s="283" t="s">
        <v>302</v>
      </c>
      <c r="C3" s="764">
        <v>2</v>
      </c>
      <c r="D3" s="765"/>
      <c r="E3" s="765"/>
      <c r="F3" s="766"/>
      <c r="G3" s="277"/>
    </row>
    <row r="4" spans="1:15" ht="14.25" customHeight="1">
      <c r="B4" s="284" t="s">
        <v>303</v>
      </c>
      <c r="C4" s="767" t="str">
        <f>①技術体系!D2</f>
        <v>県全域</v>
      </c>
      <c r="D4" s="768"/>
      <c r="E4" s="768"/>
      <c r="F4" s="763"/>
    </row>
    <row r="5" spans="1:15" ht="14.25" customHeight="1">
      <c r="B5" s="285" t="s">
        <v>304</v>
      </c>
      <c r="C5" s="769" t="str">
        <f>①技術体系!A2</f>
        <v>放牧牛肉</v>
      </c>
      <c r="D5" s="768"/>
      <c r="E5" s="768"/>
      <c r="F5" s="763"/>
    </row>
    <row r="6" spans="1:15" ht="14.25" customHeight="1">
      <c r="B6" s="770" t="s">
        <v>305</v>
      </c>
      <c r="C6" s="773" t="str">
        <f>①技術体系!B2&amp;"　、"&amp;①技術体系!C2&amp;"、"&amp;④収入!B3&amp;④収入!C3&amp;④収入!D3&amp;"、"&amp;④収入!F2&amp;④収入!F3*100&amp;"%"</f>
        <v>春から秋の耕作放棄地経産牛放牧　、黒毛和種、飼養頭数0.2頭、商品化率80%</v>
      </c>
      <c r="D6" s="774"/>
      <c r="E6" s="774"/>
      <c r="F6" s="775"/>
    </row>
    <row r="7" spans="1:15" ht="14.25" customHeight="1">
      <c r="B7" s="771"/>
      <c r="C7" s="776"/>
      <c r="D7" s="776"/>
      <c r="E7" s="776"/>
      <c r="F7" s="777"/>
    </row>
    <row r="8" spans="1:15" ht="14.25" customHeight="1">
      <c r="B8" s="771"/>
      <c r="C8" s="776"/>
      <c r="D8" s="776"/>
      <c r="E8" s="776"/>
      <c r="F8" s="777"/>
    </row>
    <row r="9" spans="1:15">
      <c r="B9" s="772"/>
      <c r="C9" s="778"/>
      <c r="D9" s="778"/>
      <c r="E9" s="778"/>
      <c r="F9" s="778"/>
    </row>
    <row r="10" spans="1:15" ht="14.25" customHeight="1">
      <c r="B10" s="282" t="s">
        <v>306</v>
      </c>
      <c r="E10" s="282" t="s">
        <v>307</v>
      </c>
      <c r="K10" s="282" t="s">
        <v>308</v>
      </c>
      <c r="M10" s="286"/>
    </row>
    <row r="11" spans="1:15" ht="14.25" customHeight="1">
      <c r="B11" s="283" t="s">
        <v>309</v>
      </c>
      <c r="C11" s="287">
        <f>④収入!B21</f>
        <v>0.2</v>
      </c>
      <c r="E11" s="283" t="s">
        <v>310</v>
      </c>
      <c r="F11" s="288">
        <f>作業体系表!D31</f>
        <v>0</v>
      </c>
      <c r="H11" s="283" t="s">
        <v>311</v>
      </c>
      <c r="I11" s="288">
        <f>作業体系表!V31</f>
        <v>0.5</v>
      </c>
      <c r="K11" s="285" t="s">
        <v>312</v>
      </c>
      <c r="L11" s="779" t="s">
        <v>668</v>
      </c>
      <c r="M11" s="763"/>
    </row>
    <row r="12" spans="1:15" ht="14.25" customHeight="1">
      <c r="B12" s="283" t="s">
        <v>313</v>
      </c>
      <c r="C12" s="287">
        <f>④収入!C21</f>
        <v>256000</v>
      </c>
      <c r="E12" s="283" t="s">
        <v>314</v>
      </c>
      <c r="F12" s="288">
        <f>作業体系表!E31</f>
        <v>0</v>
      </c>
      <c r="H12" s="283" t="s">
        <v>315</v>
      </c>
      <c r="I12" s="288">
        <f>作業体系表!W31</f>
        <v>0.5</v>
      </c>
      <c r="K12" s="285" t="s">
        <v>316</v>
      </c>
      <c r="L12" s="780" t="s">
        <v>669</v>
      </c>
      <c r="M12" s="763"/>
    </row>
    <row r="13" spans="1:15" ht="14.25" customHeight="1">
      <c r="B13" s="284" t="s">
        <v>317</v>
      </c>
      <c r="C13" s="287">
        <f>④収入!E21+④収入!F21</f>
        <v>0</v>
      </c>
      <c r="E13" s="283" t="s">
        <v>318</v>
      </c>
      <c r="F13" s="288">
        <f>作業体系表!F31</f>
        <v>0</v>
      </c>
      <c r="H13" s="283" t="s">
        <v>319</v>
      </c>
      <c r="I13" s="288">
        <f>作業体系表!X31</f>
        <v>0.70000160002560041</v>
      </c>
      <c r="K13" s="289" t="s">
        <v>320</v>
      </c>
      <c r="L13" s="290">
        <v>5</v>
      </c>
      <c r="M13" s="291" t="s">
        <v>134</v>
      </c>
    </row>
    <row r="14" spans="1:15" ht="14.25" customHeight="1">
      <c r="B14" s="284" t="s">
        <v>321</v>
      </c>
      <c r="C14" s="292">
        <f>C11*C12+C13</f>
        <v>51200</v>
      </c>
      <c r="E14" s="283" t="s">
        <v>322</v>
      </c>
      <c r="F14" s="288">
        <f>作業体系表!G31</f>
        <v>0</v>
      </c>
      <c r="H14" s="283" t="s">
        <v>323</v>
      </c>
      <c r="I14" s="288">
        <f>作業体系表!Y31</f>
        <v>0.5</v>
      </c>
      <c r="K14" s="289" t="s">
        <v>324</v>
      </c>
      <c r="L14" s="290">
        <v>11</v>
      </c>
      <c r="M14" s="291" t="s">
        <v>135</v>
      </c>
    </row>
    <row r="15" spans="1:15" ht="14.25" customHeight="1">
      <c r="B15" s="282" t="s">
        <v>325</v>
      </c>
      <c r="E15" s="283" t="s">
        <v>326</v>
      </c>
      <c r="F15" s="288">
        <f>作業体系表!H31</f>
        <v>0</v>
      </c>
      <c r="H15" s="283" t="s">
        <v>327</v>
      </c>
      <c r="I15" s="288">
        <f>作業体系表!Z31</f>
        <v>0.5</v>
      </c>
      <c r="K15" s="284" t="s">
        <v>328</v>
      </c>
      <c r="L15" s="762"/>
      <c r="M15" s="763"/>
    </row>
    <row r="16" spans="1:15" ht="14.25" customHeight="1">
      <c r="B16" s="284" t="s">
        <v>329</v>
      </c>
      <c r="C16" s="287">
        <f>経営収支!E7</f>
        <v>0</v>
      </c>
      <c r="E16" s="283" t="s">
        <v>330</v>
      </c>
      <c r="F16" s="288">
        <f>作業体系表!I31</f>
        <v>0</v>
      </c>
      <c r="H16" s="283" t="s">
        <v>331</v>
      </c>
      <c r="I16" s="288">
        <f>作業体系表!AA31</f>
        <v>0.70000160002560041</v>
      </c>
      <c r="K16" s="284" t="s">
        <v>332</v>
      </c>
      <c r="L16" s="762"/>
      <c r="M16" s="763"/>
    </row>
    <row r="17" spans="2:13" ht="14.25" customHeight="1">
      <c r="B17" s="284" t="s">
        <v>333</v>
      </c>
      <c r="C17" s="287">
        <f>経営収支!E8</f>
        <v>0</v>
      </c>
      <c r="E17" s="283" t="s">
        <v>334</v>
      </c>
      <c r="F17" s="288">
        <f>作業体系表!J31</f>
        <v>0</v>
      </c>
      <c r="H17" s="283" t="s">
        <v>335</v>
      </c>
      <c r="I17" s="288">
        <f>作業体系表!AB31</f>
        <v>0.5</v>
      </c>
      <c r="K17" s="286"/>
      <c r="L17" s="293"/>
      <c r="M17" s="294"/>
    </row>
    <row r="18" spans="2:13" ht="14.25" customHeight="1">
      <c r="B18" s="284" t="s">
        <v>336</v>
      </c>
      <c r="C18" s="287">
        <f>経営収支!E9</f>
        <v>0</v>
      </c>
      <c r="E18" s="283" t="s">
        <v>337</v>
      </c>
      <c r="F18" s="288">
        <f>作業体系表!K31</f>
        <v>0</v>
      </c>
      <c r="H18" s="283" t="s">
        <v>338</v>
      </c>
      <c r="I18" s="288">
        <f>作業体系表!AC31</f>
        <v>0.5</v>
      </c>
      <c r="K18" s="286"/>
      <c r="L18" s="293"/>
      <c r="M18" s="293"/>
    </row>
    <row r="19" spans="2:13" ht="14.25" customHeight="1">
      <c r="B19" s="284" t="s">
        <v>339</v>
      </c>
      <c r="C19" s="287">
        <f>経営収支!E10</f>
        <v>144</v>
      </c>
      <c r="E19" s="283" t="s">
        <v>340</v>
      </c>
      <c r="F19" s="288">
        <f>作業体系表!L31</f>
        <v>0</v>
      </c>
      <c r="H19" s="283" t="s">
        <v>341</v>
      </c>
      <c r="I19" s="288">
        <f>作業体系表!AD31</f>
        <v>0.6</v>
      </c>
      <c r="K19" s="286"/>
      <c r="L19" s="293"/>
      <c r="M19" s="293"/>
    </row>
    <row r="20" spans="2:13" ht="14.25" customHeight="1">
      <c r="B20" s="284" t="s">
        <v>342</v>
      </c>
      <c r="C20" s="287">
        <f>経営収支!E11</f>
        <v>59279</v>
      </c>
      <c r="E20" s="283" t="s">
        <v>343</v>
      </c>
      <c r="F20" s="288">
        <f>作業体系表!M31</f>
        <v>0</v>
      </c>
      <c r="H20" s="283" t="s">
        <v>344</v>
      </c>
      <c r="I20" s="288">
        <f>作業体系表!AE31</f>
        <v>0.5</v>
      </c>
      <c r="K20" s="286"/>
      <c r="L20" s="293"/>
      <c r="M20" s="293"/>
    </row>
    <row r="21" spans="2:13" ht="14.25" customHeight="1">
      <c r="B21" s="284" t="s">
        <v>345</v>
      </c>
      <c r="C21" s="287">
        <f>経営収支!E13</f>
        <v>0</v>
      </c>
      <c r="E21" s="283" t="s">
        <v>346</v>
      </c>
      <c r="F21" s="288">
        <f>作業体系表!N31</f>
        <v>0.2</v>
      </c>
      <c r="H21" s="283" t="s">
        <v>347</v>
      </c>
      <c r="I21" s="288">
        <f>作業体系表!AF31</f>
        <v>0.5</v>
      </c>
      <c r="K21" s="286"/>
      <c r="L21" s="293"/>
      <c r="M21" s="293"/>
    </row>
    <row r="22" spans="2:13" ht="14.25" customHeight="1">
      <c r="B22" s="284" t="s">
        <v>348</v>
      </c>
      <c r="C22" s="287">
        <f>経営収支!E14</f>
        <v>3000</v>
      </c>
      <c r="E22" s="283" t="s">
        <v>349</v>
      </c>
      <c r="F22" s="288">
        <f>作業体系表!O31</f>
        <v>0</v>
      </c>
      <c r="H22" s="283" t="s">
        <v>350</v>
      </c>
      <c r="I22" s="288">
        <f>作業体系表!AG31</f>
        <v>0.6</v>
      </c>
      <c r="K22" s="286"/>
      <c r="L22" s="293"/>
      <c r="M22" s="293"/>
    </row>
    <row r="23" spans="2:13" ht="14.25" customHeight="1">
      <c r="B23" s="284" t="s">
        <v>351</v>
      </c>
      <c r="C23" s="287">
        <f>経営収支!E29</f>
        <v>14144</v>
      </c>
      <c r="E23" s="283" t="s">
        <v>352</v>
      </c>
      <c r="F23" s="288">
        <f>作業体系表!P31</f>
        <v>0</v>
      </c>
      <c r="H23" s="283" t="s">
        <v>353</v>
      </c>
      <c r="I23" s="288">
        <f>作業体系表!AH31</f>
        <v>0.5</v>
      </c>
      <c r="K23" s="286"/>
      <c r="L23" s="293"/>
      <c r="M23" s="293"/>
    </row>
    <row r="24" spans="2:13" ht="14.25" customHeight="1">
      <c r="B24" s="284" t="s">
        <v>354</v>
      </c>
      <c r="C24" s="695">
        <f>経営収支!E12</f>
        <v>0</v>
      </c>
      <c r="E24" s="283" t="s">
        <v>355</v>
      </c>
      <c r="F24" s="288">
        <f>作業体系表!Q31</f>
        <v>1.4000064001024017</v>
      </c>
      <c r="H24" s="283" t="s">
        <v>356</v>
      </c>
      <c r="I24" s="288">
        <f>作業体系表!AI31</f>
        <v>0.5</v>
      </c>
      <c r="K24" s="286"/>
      <c r="L24" s="293"/>
      <c r="M24" s="293"/>
    </row>
    <row r="25" spans="2:13" ht="14.25" customHeight="1">
      <c r="B25" s="284" t="s">
        <v>321</v>
      </c>
      <c r="C25" s="292">
        <f>SUM(C16:C24)</f>
        <v>76567</v>
      </c>
      <c r="E25" s="283" t="s">
        <v>357</v>
      </c>
      <c r="F25" s="288">
        <f>作業体系表!R31</f>
        <v>0.6</v>
      </c>
      <c r="H25" s="283" t="s">
        <v>358</v>
      </c>
      <c r="I25" s="288">
        <f>作業体系表!AJ31</f>
        <v>0.2</v>
      </c>
      <c r="M25" s="293"/>
    </row>
    <row r="26" spans="2:13" ht="14.25" customHeight="1">
      <c r="B26" s="295"/>
      <c r="C26" s="286"/>
      <c r="E26" s="283" t="s">
        <v>359</v>
      </c>
      <c r="F26" s="288">
        <f>作業体系表!S31</f>
        <v>0.5</v>
      </c>
      <c r="H26" s="283" t="s">
        <v>360</v>
      </c>
      <c r="I26" s="288">
        <f>作業体系表!AK31</f>
        <v>0</v>
      </c>
      <c r="K26" s="286"/>
      <c r="L26" s="293"/>
      <c r="M26" s="293"/>
    </row>
    <row r="27" spans="2:13" ht="14.25" customHeight="1">
      <c r="B27" s="284" t="s">
        <v>361</v>
      </c>
      <c r="C27" s="296">
        <f>C14-C25</f>
        <v>-25367</v>
      </c>
      <c r="E27" s="283" t="s">
        <v>362</v>
      </c>
      <c r="F27" s="288">
        <f>作業体系表!T31</f>
        <v>0.5</v>
      </c>
      <c r="H27" s="283" t="s">
        <v>363</v>
      </c>
      <c r="I27" s="288">
        <f>作業体系表!AL31</f>
        <v>0</v>
      </c>
      <c r="K27" s="297"/>
      <c r="L27" s="298" t="s">
        <v>364</v>
      </c>
      <c r="M27" s="293"/>
    </row>
    <row r="28" spans="2:13">
      <c r="E28" s="283" t="s">
        <v>365</v>
      </c>
      <c r="F28" s="288">
        <f>作業体系表!U31</f>
        <v>0.70000160002560041</v>
      </c>
      <c r="H28" s="283" t="s">
        <v>366</v>
      </c>
      <c r="I28" s="288">
        <f>作業体系表!AM31</f>
        <v>0</v>
      </c>
      <c r="K28" s="299"/>
      <c r="L28" s="300">
        <v>1</v>
      </c>
      <c r="M28" s="286"/>
    </row>
  </sheetData>
  <sheetProtection sheet="1" objects="1" scenarios="1"/>
  <mergeCells count="9">
    <mergeCell ref="L16:M16"/>
    <mergeCell ref="C3:F3"/>
    <mergeCell ref="C4:F4"/>
    <mergeCell ref="C5:F5"/>
    <mergeCell ref="B6:B9"/>
    <mergeCell ref="C6:F9"/>
    <mergeCell ref="L11:M11"/>
    <mergeCell ref="L12:M12"/>
    <mergeCell ref="L15:M15"/>
  </mergeCells>
  <phoneticPr fontId="14"/>
  <dataValidations count="6">
    <dataValidation type="list" allowBlank="1" showInputMessage="1" showErrorMessage="1" sqref="L27 JH27 TD27 ACZ27 AMV27 AWR27 BGN27 BQJ27 CAF27 CKB27 CTX27 DDT27 DNP27 DXL27 EHH27 ERD27 FAZ27 FKV27 FUR27 GEN27 GOJ27 GYF27 HIB27 HRX27 IBT27 ILP27 IVL27 JFH27 JPD27 JYZ27 KIV27 KSR27 LCN27 LMJ27 LWF27 MGB27 MPX27 MZT27 NJP27 NTL27 ODH27 OND27 OWZ27 PGV27 PQR27 QAN27 QKJ27 QUF27 REB27 RNX27 RXT27 SHP27 SRL27 TBH27 TLD27 TUZ27 UEV27 UOR27 UYN27 VIJ27 VSF27 WCB27 WLX27 WVT27 L65563 JH65563 TD65563 ACZ65563 AMV65563 AWR65563 BGN65563 BQJ65563 CAF65563 CKB65563 CTX65563 DDT65563 DNP65563 DXL65563 EHH65563 ERD65563 FAZ65563 FKV65563 FUR65563 GEN65563 GOJ65563 GYF65563 HIB65563 HRX65563 IBT65563 ILP65563 IVL65563 JFH65563 JPD65563 JYZ65563 KIV65563 KSR65563 LCN65563 LMJ65563 LWF65563 MGB65563 MPX65563 MZT65563 NJP65563 NTL65563 ODH65563 OND65563 OWZ65563 PGV65563 PQR65563 QAN65563 QKJ65563 QUF65563 REB65563 RNX65563 RXT65563 SHP65563 SRL65563 TBH65563 TLD65563 TUZ65563 UEV65563 UOR65563 UYN65563 VIJ65563 VSF65563 WCB65563 WLX65563 WVT65563 L131099 JH131099 TD131099 ACZ131099 AMV131099 AWR131099 BGN131099 BQJ131099 CAF131099 CKB131099 CTX131099 DDT131099 DNP131099 DXL131099 EHH131099 ERD131099 FAZ131099 FKV131099 FUR131099 GEN131099 GOJ131099 GYF131099 HIB131099 HRX131099 IBT131099 ILP131099 IVL131099 JFH131099 JPD131099 JYZ131099 KIV131099 KSR131099 LCN131099 LMJ131099 LWF131099 MGB131099 MPX131099 MZT131099 NJP131099 NTL131099 ODH131099 OND131099 OWZ131099 PGV131099 PQR131099 QAN131099 QKJ131099 QUF131099 REB131099 RNX131099 RXT131099 SHP131099 SRL131099 TBH131099 TLD131099 TUZ131099 UEV131099 UOR131099 UYN131099 VIJ131099 VSF131099 WCB131099 WLX131099 WVT131099 L196635 JH196635 TD196635 ACZ196635 AMV196635 AWR196635 BGN196635 BQJ196635 CAF196635 CKB196635 CTX196635 DDT196635 DNP196635 DXL196635 EHH196635 ERD196635 FAZ196635 FKV196635 FUR196635 GEN196635 GOJ196635 GYF196635 HIB196635 HRX196635 IBT196635 ILP196635 IVL196635 JFH196635 JPD196635 JYZ196635 KIV196635 KSR196635 LCN196635 LMJ196635 LWF196635 MGB196635 MPX196635 MZT196635 NJP196635 NTL196635 ODH196635 OND196635 OWZ196635 PGV196635 PQR196635 QAN196635 QKJ196635 QUF196635 REB196635 RNX196635 RXT196635 SHP196635 SRL196635 TBH196635 TLD196635 TUZ196635 UEV196635 UOR196635 UYN196635 VIJ196635 VSF196635 WCB196635 WLX196635 WVT196635 L262171 JH262171 TD262171 ACZ262171 AMV262171 AWR262171 BGN262171 BQJ262171 CAF262171 CKB262171 CTX262171 DDT262171 DNP262171 DXL262171 EHH262171 ERD262171 FAZ262171 FKV262171 FUR262171 GEN262171 GOJ262171 GYF262171 HIB262171 HRX262171 IBT262171 ILP262171 IVL262171 JFH262171 JPD262171 JYZ262171 KIV262171 KSR262171 LCN262171 LMJ262171 LWF262171 MGB262171 MPX262171 MZT262171 NJP262171 NTL262171 ODH262171 OND262171 OWZ262171 PGV262171 PQR262171 QAN262171 QKJ262171 QUF262171 REB262171 RNX262171 RXT262171 SHP262171 SRL262171 TBH262171 TLD262171 TUZ262171 UEV262171 UOR262171 UYN262171 VIJ262171 VSF262171 WCB262171 WLX262171 WVT262171 L327707 JH327707 TD327707 ACZ327707 AMV327707 AWR327707 BGN327707 BQJ327707 CAF327707 CKB327707 CTX327707 DDT327707 DNP327707 DXL327707 EHH327707 ERD327707 FAZ327707 FKV327707 FUR327707 GEN327707 GOJ327707 GYF327707 HIB327707 HRX327707 IBT327707 ILP327707 IVL327707 JFH327707 JPD327707 JYZ327707 KIV327707 KSR327707 LCN327707 LMJ327707 LWF327707 MGB327707 MPX327707 MZT327707 NJP327707 NTL327707 ODH327707 OND327707 OWZ327707 PGV327707 PQR327707 QAN327707 QKJ327707 QUF327707 REB327707 RNX327707 RXT327707 SHP327707 SRL327707 TBH327707 TLD327707 TUZ327707 UEV327707 UOR327707 UYN327707 VIJ327707 VSF327707 WCB327707 WLX327707 WVT327707 L393243 JH393243 TD393243 ACZ393243 AMV393243 AWR393243 BGN393243 BQJ393243 CAF393243 CKB393243 CTX393243 DDT393243 DNP393243 DXL393243 EHH393243 ERD393243 FAZ393243 FKV393243 FUR393243 GEN393243 GOJ393243 GYF393243 HIB393243 HRX393243 IBT393243 ILP393243 IVL393243 JFH393243 JPD393243 JYZ393243 KIV393243 KSR393243 LCN393243 LMJ393243 LWF393243 MGB393243 MPX393243 MZT393243 NJP393243 NTL393243 ODH393243 OND393243 OWZ393243 PGV393243 PQR393243 QAN393243 QKJ393243 QUF393243 REB393243 RNX393243 RXT393243 SHP393243 SRL393243 TBH393243 TLD393243 TUZ393243 UEV393243 UOR393243 UYN393243 VIJ393243 VSF393243 WCB393243 WLX393243 WVT393243 L458779 JH458779 TD458779 ACZ458779 AMV458779 AWR458779 BGN458779 BQJ458779 CAF458779 CKB458779 CTX458779 DDT458779 DNP458779 DXL458779 EHH458779 ERD458779 FAZ458779 FKV458779 FUR458779 GEN458779 GOJ458779 GYF458779 HIB458779 HRX458779 IBT458779 ILP458779 IVL458779 JFH458779 JPD458779 JYZ458779 KIV458779 KSR458779 LCN458779 LMJ458779 LWF458779 MGB458779 MPX458779 MZT458779 NJP458779 NTL458779 ODH458779 OND458779 OWZ458779 PGV458779 PQR458779 QAN458779 QKJ458779 QUF458779 REB458779 RNX458779 RXT458779 SHP458779 SRL458779 TBH458779 TLD458779 TUZ458779 UEV458779 UOR458779 UYN458779 VIJ458779 VSF458779 WCB458779 WLX458779 WVT458779 L524315 JH524315 TD524315 ACZ524315 AMV524315 AWR524315 BGN524315 BQJ524315 CAF524315 CKB524315 CTX524315 DDT524315 DNP524315 DXL524315 EHH524315 ERD524315 FAZ524315 FKV524315 FUR524315 GEN524315 GOJ524315 GYF524315 HIB524315 HRX524315 IBT524315 ILP524315 IVL524315 JFH524315 JPD524315 JYZ524315 KIV524315 KSR524315 LCN524315 LMJ524315 LWF524315 MGB524315 MPX524315 MZT524315 NJP524315 NTL524315 ODH524315 OND524315 OWZ524315 PGV524315 PQR524315 QAN524315 QKJ524315 QUF524315 REB524315 RNX524315 RXT524315 SHP524315 SRL524315 TBH524315 TLD524315 TUZ524315 UEV524315 UOR524315 UYN524315 VIJ524315 VSF524315 WCB524315 WLX524315 WVT524315 L589851 JH589851 TD589851 ACZ589851 AMV589851 AWR589851 BGN589851 BQJ589851 CAF589851 CKB589851 CTX589851 DDT589851 DNP589851 DXL589851 EHH589851 ERD589851 FAZ589851 FKV589851 FUR589851 GEN589851 GOJ589851 GYF589851 HIB589851 HRX589851 IBT589851 ILP589851 IVL589851 JFH589851 JPD589851 JYZ589851 KIV589851 KSR589851 LCN589851 LMJ589851 LWF589851 MGB589851 MPX589851 MZT589851 NJP589851 NTL589851 ODH589851 OND589851 OWZ589851 PGV589851 PQR589851 QAN589851 QKJ589851 QUF589851 REB589851 RNX589851 RXT589851 SHP589851 SRL589851 TBH589851 TLD589851 TUZ589851 UEV589851 UOR589851 UYN589851 VIJ589851 VSF589851 WCB589851 WLX589851 WVT589851 L655387 JH655387 TD655387 ACZ655387 AMV655387 AWR655387 BGN655387 BQJ655387 CAF655387 CKB655387 CTX655387 DDT655387 DNP655387 DXL655387 EHH655387 ERD655387 FAZ655387 FKV655387 FUR655387 GEN655387 GOJ655387 GYF655387 HIB655387 HRX655387 IBT655387 ILP655387 IVL655387 JFH655387 JPD655387 JYZ655387 KIV655387 KSR655387 LCN655387 LMJ655387 LWF655387 MGB655387 MPX655387 MZT655387 NJP655387 NTL655387 ODH655387 OND655387 OWZ655387 PGV655387 PQR655387 QAN655387 QKJ655387 QUF655387 REB655387 RNX655387 RXT655387 SHP655387 SRL655387 TBH655387 TLD655387 TUZ655387 UEV655387 UOR655387 UYN655387 VIJ655387 VSF655387 WCB655387 WLX655387 WVT655387 L720923 JH720923 TD720923 ACZ720923 AMV720923 AWR720923 BGN720923 BQJ720923 CAF720923 CKB720923 CTX720923 DDT720923 DNP720923 DXL720923 EHH720923 ERD720923 FAZ720923 FKV720923 FUR720923 GEN720923 GOJ720923 GYF720923 HIB720923 HRX720923 IBT720923 ILP720923 IVL720923 JFH720923 JPD720923 JYZ720923 KIV720923 KSR720923 LCN720923 LMJ720923 LWF720923 MGB720923 MPX720923 MZT720923 NJP720923 NTL720923 ODH720923 OND720923 OWZ720923 PGV720923 PQR720923 QAN720923 QKJ720923 QUF720923 REB720923 RNX720923 RXT720923 SHP720923 SRL720923 TBH720923 TLD720923 TUZ720923 UEV720923 UOR720923 UYN720923 VIJ720923 VSF720923 WCB720923 WLX720923 WVT720923 L786459 JH786459 TD786459 ACZ786459 AMV786459 AWR786459 BGN786459 BQJ786459 CAF786459 CKB786459 CTX786459 DDT786459 DNP786459 DXL786459 EHH786459 ERD786459 FAZ786459 FKV786459 FUR786459 GEN786459 GOJ786459 GYF786459 HIB786459 HRX786459 IBT786459 ILP786459 IVL786459 JFH786459 JPD786459 JYZ786459 KIV786459 KSR786459 LCN786459 LMJ786459 LWF786459 MGB786459 MPX786459 MZT786459 NJP786459 NTL786459 ODH786459 OND786459 OWZ786459 PGV786459 PQR786459 QAN786459 QKJ786459 QUF786459 REB786459 RNX786459 RXT786459 SHP786459 SRL786459 TBH786459 TLD786459 TUZ786459 UEV786459 UOR786459 UYN786459 VIJ786459 VSF786459 WCB786459 WLX786459 WVT786459 L851995 JH851995 TD851995 ACZ851995 AMV851995 AWR851995 BGN851995 BQJ851995 CAF851995 CKB851995 CTX851995 DDT851995 DNP851995 DXL851995 EHH851995 ERD851995 FAZ851995 FKV851995 FUR851995 GEN851995 GOJ851995 GYF851995 HIB851995 HRX851995 IBT851995 ILP851995 IVL851995 JFH851995 JPD851995 JYZ851995 KIV851995 KSR851995 LCN851995 LMJ851995 LWF851995 MGB851995 MPX851995 MZT851995 NJP851995 NTL851995 ODH851995 OND851995 OWZ851995 PGV851995 PQR851995 QAN851995 QKJ851995 QUF851995 REB851995 RNX851995 RXT851995 SHP851995 SRL851995 TBH851995 TLD851995 TUZ851995 UEV851995 UOR851995 UYN851995 VIJ851995 VSF851995 WCB851995 WLX851995 WVT851995 L917531 JH917531 TD917531 ACZ917531 AMV917531 AWR917531 BGN917531 BQJ917531 CAF917531 CKB917531 CTX917531 DDT917531 DNP917531 DXL917531 EHH917531 ERD917531 FAZ917531 FKV917531 FUR917531 GEN917531 GOJ917531 GYF917531 HIB917531 HRX917531 IBT917531 ILP917531 IVL917531 JFH917531 JPD917531 JYZ917531 KIV917531 KSR917531 LCN917531 LMJ917531 LWF917531 MGB917531 MPX917531 MZT917531 NJP917531 NTL917531 ODH917531 OND917531 OWZ917531 PGV917531 PQR917531 QAN917531 QKJ917531 QUF917531 REB917531 RNX917531 RXT917531 SHP917531 SRL917531 TBH917531 TLD917531 TUZ917531 UEV917531 UOR917531 UYN917531 VIJ917531 VSF917531 WCB917531 WLX917531 WVT917531 L983067 JH983067 TD983067 ACZ983067 AMV983067 AWR983067 BGN983067 BQJ983067 CAF983067 CKB983067 CTX983067 DDT983067 DNP983067 DXL983067 EHH983067 ERD983067 FAZ983067 FKV983067 FUR983067 GEN983067 GOJ983067 GYF983067 HIB983067 HRX983067 IBT983067 ILP983067 IVL983067 JFH983067 JPD983067 JYZ983067 KIV983067 KSR983067 LCN983067 LMJ983067 LWF983067 MGB983067 MPX983067 MZT983067 NJP983067 NTL983067 ODH983067 OND983067 OWZ983067 PGV983067 PQR983067 QAN983067 QKJ983067 QUF983067 REB983067 RNX983067 RXT983067 SHP983067 SRL983067 TBH983067 TLD983067 TUZ983067 UEV983067 UOR983067 UYN983067 VIJ983067 VSF983067 WCB983067 WLX983067 WVT983067">
      <formula1>"する,しない"</formula1>
    </dataValidation>
    <dataValidation type="list" allowBlank="1" showInputMessage="1" showErrorMessage="1" sqref="L12 JH12 TD12 ACZ12 AMV12 AWR12 BGN12 BQJ12 CAF12 CKB12 CTX12 DDT12 DNP12 DXL12 EHH12 ERD12 FAZ12 FKV12 FUR12 GEN12 GOJ12 GYF12 HIB12 HRX12 IBT12 ILP12 IVL12 JFH12 JPD12 JYZ12 KIV12 KSR12 LCN12 LMJ12 LWF12 MGB12 MPX12 MZT12 NJP12 NTL12 ODH12 OND12 OWZ12 PGV12 PQR12 QAN12 QKJ12 QUF12 REB12 RNX12 RXT12 SHP12 SRL12 TBH12 TLD12 TUZ12 UEV12 UOR12 UYN12 VIJ12 VSF12 WCB12 WLX12 WVT12 L65548 JH65548 TD65548 ACZ65548 AMV65548 AWR65548 BGN65548 BQJ65548 CAF65548 CKB65548 CTX65548 DDT65548 DNP65548 DXL65548 EHH65548 ERD65548 FAZ65548 FKV65548 FUR65548 GEN65548 GOJ65548 GYF65548 HIB65548 HRX65548 IBT65548 ILP65548 IVL65548 JFH65548 JPD65548 JYZ65548 KIV65548 KSR65548 LCN65548 LMJ65548 LWF65548 MGB65548 MPX65548 MZT65548 NJP65548 NTL65548 ODH65548 OND65548 OWZ65548 PGV65548 PQR65548 QAN65548 QKJ65548 QUF65548 REB65548 RNX65548 RXT65548 SHP65548 SRL65548 TBH65548 TLD65548 TUZ65548 UEV65548 UOR65548 UYN65548 VIJ65548 VSF65548 WCB65548 WLX65548 WVT65548 L131084 JH131084 TD131084 ACZ131084 AMV131084 AWR131084 BGN131084 BQJ131084 CAF131084 CKB131084 CTX131084 DDT131084 DNP131084 DXL131084 EHH131084 ERD131084 FAZ131084 FKV131084 FUR131084 GEN131084 GOJ131084 GYF131084 HIB131084 HRX131084 IBT131084 ILP131084 IVL131084 JFH131084 JPD131084 JYZ131084 KIV131084 KSR131084 LCN131084 LMJ131084 LWF131084 MGB131084 MPX131084 MZT131084 NJP131084 NTL131084 ODH131084 OND131084 OWZ131084 PGV131084 PQR131084 QAN131084 QKJ131084 QUF131084 REB131084 RNX131084 RXT131084 SHP131084 SRL131084 TBH131084 TLD131084 TUZ131084 UEV131084 UOR131084 UYN131084 VIJ131084 VSF131084 WCB131084 WLX131084 WVT131084 L196620 JH196620 TD196620 ACZ196620 AMV196620 AWR196620 BGN196620 BQJ196620 CAF196620 CKB196620 CTX196620 DDT196620 DNP196620 DXL196620 EHH196620 ERD196620 FAZ196620 FKV196620 FUR196620 GEN196620 GOJ196620 GYF196620 HIB196620 HRX196620 IBT196620 ILP196620 IVL196620 JFH196620 JPD196620 JYZ196620 KIV196620 KSR196620 LCN196620 LMJ196620 LWF196620 MGB196620 MPX196620 MZT196620 NJP196620 NTL196620 ODH196620 OND196620 OWZ196620 PGV196620 PQR196620 QAN196620 QKJ196620 QUF196620 REB196620 RNX196620 RXT196620 SHP196620 SRL196620 TBH196620 TLD196620 TUZ196620 UEV196620 UOR196620 UYN196620 VIJ196620 VSF196620 WCB196620 WLX196620 WVT196620 L262156 JH262156 TD262156 ACZ262156 AMV262156 AWR262156 BGN262156 BQJ262156 CAF262156 CKB262156 CTX262156 DDT262156 DNP262156 DXL262156 EHH262156 ERD262156 FAZ262156 FKV262156 FUR262156 GEN262156 GOJ262156 GYF262156 HIB262156 HRX262156 IBT262156 ILP262156 IVL262156 JFH262156 JPD262156 JYZ262156 KIV262156 KSR262156 LCN262156 LMJ262156 LWF262156 MGB262156 MPX262156 MZT262156 NJP262156 NTL262156 ODH262156 OND262156 OWZ262156 PGV262156 PQR262156 QAN262156 QKJ262156 QUF262156 REB262156 RNX262156 RXT262156 SHP262156 SRL262156 TBH262156 TLD262156 TUZ262156 UEV262156 UOR262156 UYN262156 VIJ262156 VSF262156 WCB262156 WLX262156 WVT262156 L327692 JH327692 TD327692 ACZ327692 AMV327692 AWR327692 BGN327692 BQJ327692 CAF327692 CKB327692 CTX327692 DDT327692 DNP327692 DXL327692 EHH327692 ERD327692 FAZ327692 FKV327692 FUR327692 GEN327692 GOJ327692 GYF327692 HIB327692 HRX327692 IBT327692 ILP327692 IVL327692 JFH327692 JPD327692 JYZ327692 KIV327692 KSR327692 LCN327692 LMJ327692 LWF327692 MGB327692 MPX327692 MZT327692 NJP327692 NTL327692 ODH327692 OND327692 OWZ327692 PGV327692 PQR327692 QAN327692 QKJ327692 QUF327692 REB327692 RNX327692 RXT327692 SHP327692 SRL327692 TBH327692 TLD327692 TUZ327692 UEV327692 UOR327692 UYN327692 VIJ327692 VSF327692 WCB327692 WLX327692 WVT327692 L393228 JH393228 TD393228 ACZ393228 AMV393228 AWR393228 BGN393228 BQJ393228 CAF393228 CKB393228 CTX393228 DDT393228 DNP393228 DXL393228 EHH393228 ERD393228 FAZ393228 FKV393228 FUR393228 GEN393228 GOJ393228 GYF393228 HIB393228 HRX393228 IBT393228 ILP393228 IVL393228 JFH393228 JPD393228 JYZ393228 KIV393228 KSR393228 LCN393228 LMJ393228 LWF393228 MGB393228 MPX393228 MZT393228 NJP393228 NTL393228 ODH393228 OND393228 OWZ393228 PGV393228 PQR393228 QAN393228 QKJ393228 QUF393228 REB393228 RNX393228 RXT393228 SHP393228 SRL393228 TBH393228 TLD393228 TUZ393228 UEV393228 UOR393228 UYN393228 VIJ393228 VSF393228 WCB393228 WLX393228 WVT393228 L458764 JH458764 TD458764 ACZ458764 AMV458764 AWR458764 BGN458764 BQJ458764 CAF458764 CKB458764 CTX458764 DDT458764 DNP458764 DXL458764 EHH458764 ERD458764 FAZ458764 FKV458764 FUR458764 GEN458764 GOJ458764 GYF458764 HIB458764 HRX458764 IBT458764 ILP458764 IVL458764 JFH458764 JPD458764 JYZ458764 KIV458764 KSR458764 LCN458764 LMJ458764 LWF458764 MGB458764 MPX458764 MZT458764 NJP458764 NTL458764 ODH458764 OND458764 OWZ458764 PGV458764 PQR458764 QAN458764 QKJ458764 QUF458764 REB458764 RNX458764 RXT458764 SHP458764 SRL458764 TBH458764 TLD458764 TUZ458764 UEV458764 UOR458764 UYN458764 VIJ458764 VSF458764 WCB458764 WLX458764 WVT458764 L524300 JH524300 TD524300 ACZ524300 AMV524300 AWR524300 BGN524300 BQJ524300 CAF524300 CKB524300 CTX524300 DDT524300 DNP524300 DXL524300 EHH524300 ERD524300 FAZ524300 FKV524300 FUR524300 GEN524300 GOJ524300 GYF524300 HIB524300 HRX524300 IBT524300 ILP524300 IVL524300 JFH524300 JPD524300 JYZ524300 KIV524300 KSR524300 LCN524300 LMJ524300 LWF524300 MGB524300 MPX524300 MZT524300 NJP524300 NTL524300 ODH524300 OND524300 OWZ524300 PGV524300 PQR524300 QAN524300 QKJ524300 QUF524300 REB524300 RNX524300 RXT524300 SHP524300 SRL524300 TBH524300 TLD524300 TUZ524300 UEV524300 UOR524300 UYN524300 VIJ524300 VSF524300 WCB524300 WLX524300 WVT524300 L589836 JH589836 TD589836 ACZ589836 AMV589836 AWR589836 BGN589836 BQJ589836 CAF589836 CKB589836 CTX589836 DDT589836 DNP589836 DXL589836 EHH589836 ERD589836 FAZ589836 FKV589836 FUR589836 GEN589836 GOJ589836 GYF589836 HIB589836 HRX589836 IBT589836 ILP589836 IVL589836 JFH589836 JPD589836 JYZ589836 KIV589836 KSR589836 LCN589836 LMJ589836 LWF589836 MGB589836 MPX589836 MZT589836 NJP589836 NTL589836 ODH589836 OND589836 OWZ589836 PGV589836 PQR589836 QAN589836 QKJ589836 QUF589836 REB589836 RNX589836 RXT589836 SHP589836 SRL589836 TBH589836 TLD589836 TUZ589836 UEV589836 UOR589836 UYN589836 VIJ589836 VSF589836 WCB589836 WLX589836 WVT589836 L655372 JH655372 TD655372 ACZ655372 AMV655372 AWR655372 BGN655372 BQJ655372 CAF655372 CKB655372 CTX655372 DDT655372 DNP655372 DXL655372 EHH655372 ERD655372 FAZ655372 FKV655372 FUR655372 GEN655372 GOJ655372 GYF655372 HIB655372 HRX655372 IBT655372 ILP655372 IVL655372 JFH655372 JPD655372 JYZ655372 KIV655372 KSR655372 LCN655372 LMJ655372 LWF655372 MGB655372 MPX655372 MZT655372 NJP655372 NTL655372 ODH655372 OND655372 OWZ655372 PGV655372 PQR655372 QAN655372 QKJ655372 QUF655372 REB655372 RNX655372 RXT655372 SHP655372 SRL655372 TBH655372 TLD655372 TUZ655372 UEV655372 UOR655372 UYN655372 VIJ655372 VSF655372 WCB655372 WLX655372 WVT655372 L720908 JH720908 TD720908 ACZ720908 AMV720908 AWR720908 BGN720908 BQJ720908 CAF720908 CKB720908 CTX720908 DDT720908 DNP720908 DXL720908 EHH720908 ERD720908 FAZ720908 FKV720908 FUR720908 GEN720908 GOJ720908 GYF720908 HIB720908 HRX720908 IBT720908 ILP720908 IVL720908 JFH720908 JPD720908 JYZ720908 KIV720908 KSR720908 LCN720908 LMJ720908 LWF720908 MGB720908 MPX720908 MZT720908 NJP720908 NTL720908 ODH720908 OND720908 OWZ720908 PGV720908 PQR720908 QAN720908 QKJ720908 QUF720908 REB720908 RNX720908 RXT720908 SHP720908 SRL720908 TBH720908 TLD720908 TUZ720908 UEV720908 UOR720908 UYN720908 VIJ720908 VSF720908 WCB720908 WLX720908 WVT720908 L786444 JH786444 TD786444 ACZ786444 AMV786444 AWR786444 BGN786444 BQJ786444 CAF786444 CKB786444 CTX786444 DDT786444 DNP786444 DXL786444 EHH786444 ERD786444 FAZ786444 FKV786444 FUR786444 GEN786444 GOJ786444 GYF786444 HIB786444 HRX786444 IBT786444 ILP786444 IVL786444 JFH786444 JPD786444 JYZ786444 KIV786444 KSR786444 LCN786444 LMJ786444 LWF786444 MGB786444 MPX786444 MZT786444 NJP786444 NTL786444 ODH786444 OND786444 OWZ786444 PGV786444 PQR786444 QAN786444 QKJ786444 QUF786444 REB786444 RNX786444 RXT786444 SHP786444 SRL786444 TBH786444 TLD786444 TUZ786444 UEV786444 UOR786444 UYN786444 VIJ786444 VSF786444 WCB786444 WLX786444 WVT786444 L851980 JH851980 TD851980 ACZ851980 AMV851980 AWR851980 BGN851980 BQJ851980 CAF851980 CKB851980 CTX851980 DDT851980 DNP851980 DXL851980 EHH851980 ERD851980 FAZ851980 FKV851980 FUR851980 GEN851980 GOJ851980 GYF851980 HIB851980 HRX851980 IBT851980 ILP851980 IVL851980 JFH851980 JPD851980 JYZ851980 KIV851980 KSR851980 LCN851980 LMJ851980 LWF851980 MGB851980 MPX851980 MZT851980 NJP851980 NTL851980 ODH851980 OND851980 OWZ851980 PGV851980 PQR851980 QAN851980 QKJ851980 QUF851980 REB851980 RNX851980 RXT851980 SHP851980 SRL851980 TBH851980 TLD851980 TUZ851980 UEV851980 UOR851980 UYN851980 VIJ851980 VSF851980 WCB851980 WLX851980 WVT851980 L917516 JH917516 TD917516 ACZ917516 AMV917516 AWR917516 BGN917516 BQJ917516 CAF917516 CKB917516 CTX917516 DDT917516 DNP917516 DXL917516 EHH917516 ERD917516 FAZ917516 FKV917516 FUR917516 GEN917516 GOJ917516 GYF917516 HIB917516 HRX917516 IBT917516 ILP917516 IVL917516 JFH917516 JPD917516 JYZ917516 KIV917516 KSR917516 LCN917516 LMJ917516 LWF917516 MGB917516 MPX917516 MZT917516 NJP917516 NTL917516 ODH917516 OND917516 OWZ917516 PGV917516 PQR917516 QAN917516 QKJ917516 QUF917516 REB917516 RNX917516 RXT917516 SHP917516 SRL917516 TBH917516 TLD917516 TUZ917516 UEV917516 UOR917516 UYN917516 VIJ917516 VSF917516 WCB917516 WLX917516 WVT917516 L983052 JH983052 TD983052 ACZ983052 AMV983052 AWR983052 BGN983052 BQJ983052 CAF983052 CKB983052 CTX983052 DDT983052 DNP983052 DXL983052 EHH983052 ERD983052 FAZ983052 FKV983052 FUR983052 GEN983052 GOJ983052 GYF983052 HIB983052 HRX983052 IBT983052 ILP983052 IVL983052 JFH983052 JPD983052 JYZ983052 KIV983052 KSR983052 LCN983052 LMJ983052 LWF983052 MGB983052 MPX983052 MZT983052 NJP983052 NTL983052 ODH983052 OND983052 OWZ983052 PGV983052 PQR983052 QAN983052 QKJ983052 QUF983052 REB983052 RNX983052 RXT983052 SHP983052 SRL983052 TBH983052 TLD983052 TUZ983052 UEV983052 UOR983052 UYN983052 VIJ983052 VSF983052 WCB983052 WLX983052 WVT983052">
      <formula1>"該当する,該当しない"</formula1>
    </dataValidation>
    <dataValidation type="list" allowBlank="1" showInputMessage="1" showErrorMessage="1" sqref="L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L65547 JH65547 TD65547 ACZ65547 AMV65547 AWR65547 BGN65547 BQJ65547 CAF65547 CKB65547 CTX65547 DDT65547 DNP65547 DXL65547 EHH65547 ERD65547 FAZ65547 FKV65547 FUR65547 GEN65547 GOJ65547 GYF65547 HIB65547 HRX65547 IBT65547 ILP65547 IVL65547 JFH65547 JPD65547 JYZ65547 KIV65547 KSR65547 LCN65547 LMJ65547 LWF65547 MGB65547 MPX65547 MZT65547 NJP65547 NTL65547 ODH65547 OND65547 OWZ65547 PGV65547 PQR65547 QAN65547 QKJ65547 QUF65547 REB65547 RNX65547 RXT65547 SHP65547 SRL65547 TBH65547 TLD65547 TUZ65547 UEV65547 UOR65547 UYN65547 VIJ65547 VSF65547 WCB65547 WLX65547 WVT65547 L131083 JH131083 TD131083 ACZ131083 AMV131083 AWR131083 BGN131083 BQJ131083 CAF131083 CKB131083 CTX131083 DDT131083 DNP131083 DXL131083 EHH131083 ERD131083 FAZ131083 FKV131083 FUR131083 GEN131083 GOJ131083 GYF131083 HIB131083 HRX131083 IBT131083 ILP131083 IVL131083 JFH131083 JPD131083 JYZ131083 KIV131083 KSR131083 LCN131083 LMJ131083 LWF131083 MGB131083 MPX131083 MZT131083 NJP131083 NTL131083 ODH131083 OND131083 OWZ131083 PGV131083 PQR131083 QAN131083 QKJ131083 QUF131083 REB131083 RNX131083 RXT131083 SHP131083 SRL131083 TBH131083 TLD131083 TUZ131083 UEV131083 UOR131083 UYN131083 VIJ131083 VSF131083 WCB131083 WLX131083 WVT131083 L196619 JH196619 TD196619 ACZ196619 AMV196619 AWR196619 BGN196619 BQJ196619 CAF196619 CKB196619 CTX196619 DDT196619 DNP196619 DXL196619 EHH196619 ERD196619 FAZ196619 FKV196619 FUR196619 GEN196619 GOJ196619 GYF196619 HIB196619 HRX196619 IBT196619 ILP196619 IVL196619 JFH196619 JPD196619 JYZ196619 KIV196619 KSR196619 LCN196619 LMJ196619 LWF196619 MGB196619 MPX196619 MZT196619 NJP196619 NTL196619 ODH196619 OND196619 OWZ196619 PGV196619 PQR196619 QAN196619 QKJ196619 QUF196619 REB196619 RNX196619 RXT196619 SHP196619 SRL196619 TBH196619 TLD196619 TUZ196619 UEV196619 UOR196619 UYN196619 VIJ196619 VSF196619 WCB196619 WLX196619 WVT196619 L262155 JH262155 TD262155 ACZ262155 AMV262155 AWR262155 BGN262155 BQJ262155 CAF262155 CKB262155 CTX262155 DDT262155 DNP262155 DXL262155 EHH262155 ERD262155 FAZ262155 FKV262155 FUR262155 GEN262155 GOJ262155 GYF262155 HIB262155 HRX262155 IBT262155 ILP262155 IVL262155 JFH262155 JPD262155 JYZ262155 KIV262155 KSR262155 LCN262155 LMJ262155 LWF262155 MGB262155 MPX262155 MZT262155 NJP262155 NTL262155 ODH262155 OND262155 OWZ262155 PGV262155 PQR262155 QAN262155 QKJ262155 QUF262155 REB262155 RNX262155 RXT262155 SHP262155 SRL262155 TBH262155 TLD262155 TUZ262155 UEV262155 UOR262155 UYN262155 VIJ262155 VSF262155 WCB262155 WLX262155 WVT262155 L327691 JH327691 TD327691 ACZ327691 AMV327691 AWR327691 BGN327691 BQJ327691 CAF327691 CKB327691 CTX327691 DDT327691 DNP327691 DXL327691 EHH327691 ERD327691 FAZ327691 FKV327691 FUR327691 GEN327691 GOJ327691 GYF327691 HIB327691 HRX327691 IBT327691 ILP327691 IVL327691 JFH327691 JPD327691 JYZ327691 KIV327691 KSR327691 LCN327691 LMJ327691 LWF327691 MGB327691 MPX327691 MZT327691 NJP327691 NTL327691 ODH327691 OND327691 OWZ327691 PGV327691 PQR327691 QAN327691 QKJ327691 QUF327691 REB327691 RNX327691 RXT327691 SHP327691 SRL327691 TBH327691 TLD327691 TUZ327691 UEV327691 UOR327691 UYN327691 VIJ327691 VSF327691 WCB327691 WLX327691 WVT327691 L393227 JH393227 TD393227 ACZ393227 AMV393227 AWR393227 BGN393227 BQJ393227 CAF393227 CKB393227 CTX393227 DDT393227 DNP393227 DXL393227 EHH393227 ERD393227 FAZ393227 FKV393227 FUR393227 GEN393227 GOJ393227 GYF393227 HIB393227 HRX393227 IBT393227 ILP393227 IVL393227 JFH393227 JPD393227 JYZ393227 KIV393227 KSR393227 LCN393227 LMJ393227 LWF393227 MGB393227 MPX393227 MZT393227 NJP393227 NTL393227 ODH393227 OND393227 OWZ393227 PGV393227 PQR393227 QAN393227 QKJ393227 QUF393227 REB393227 RNX393227 RXT393227 SHP393227 SRL393227 TBH393227 TLD393227 TUZ393227 UEV393227 UOR393227 UYN393227 VIJ393227 VSF393227 WCB393227 WLX393227 WVT393227 L458763 JH458763 TD458763 ACZ458763 AMV458763 AWR458763 BGN458763 BQJ458763 CAF458763 CKB458763 CTX458763 DDT458763 DNP458763 DXL458763 EHH458763 ERD458763 FAZ458763 FKV458763 FUR458763 GEN458763 GOJ458763 GYF458763 HIB458763 HRX458763 IBT458763 ILP458763 IVL458763 JFH458763 JPD458763 JYZ458763 KIV458763 KSR458763 LCN458763 LMJ458763 LWF458763 MGB458763 MPX458763 MZT458763 NJP458763 NTL458763 ODH458763 OND458763 OWZ458763 PGV458763 PQR458763 QAN458763 QKJ458763 QUF458763 REB458763 RNX458763 RXT458763 SHP458763 SRL458763 TBH458763 TLD458763 TUZ458763 UEV458763 UOR458763 UYN458763 VIJ458763 VSF458763 WCB458763 WLX458763 WVT458763 L524299 JH524299 TD524299 ACZ524299 AMV524299 AWR524299 BGN524299 BQJ524299 CAF524299 CKB524299 CTX524299 DDT524299 DNP524299 DXL524299 EHH524299 ERD524299 FAZ524299 FKV524299 FUR524299 GEN524299 GOJ524299 GYF524299 HIB524299 HRX524299 IBT524299 ILP524299 IVL524299 JFH524299 JPD524299 JYZ524299 KIV524299 KSR524299 LCN524299 LMJ524299 LWF524299 MGB524299 MPX524299 MZT524299 NJP524299 NTL524299 ODH524299 OND524299 OWZ524299 PGV524299 PQR524299 QAN524299 QKJ524299 QUF524299 REB524299 RNX524299 RXT524299 SHP524299 SRL524299 TBH524299 TLD524299 TUZ524299 UEV524299 UOR524299 UYN524299 VIJ524299 VSF524299 WCB524299 WLX524299 WVT524299 L589835 JH589835 TD589835 ACZ589835 AMV589835 AWR589835 BGN589835 BQJ589835 CAF589835 CKB589835 CTX589835 DDT589835 DNP589835 DXL589835 EHH589835 ERD589835 FAZ589835 FKV589835 FUR589835 GEN589835 GOJ589835 GYF589835 HIB589835 HRX589835 IBT589835 ILP589835 IVL589835 JFH589835 JPD589835 JYZ589835 KIV589835 KSR589835 LCN589835 LMJ589835 LWF589835 MGB589835 MPX589835 MZT589835 NJP589835 NTL589835 ODH589835 OND589835 OWZ589835 PGV589835 PQR589835 QAN589835 QKJ589835 QUF589835 REB589835 RNX589835 RXT589835 SHP589835 SRL589835 TBH589835 TLD589835 TUZ589835 UEV589835 UOR589835 UYN589835 VIJ589835 VSF589835 WCB589835 WLX589835 WVT589835 L655371 JH655371 TD655371 ACZ655371 AMV655371 AWR655371 BGN655371 BQJ655371 CAF655371 CKB655371 CTX655371 DDT655371 DNP655371 DXL655371 EHH655371 ERD655371 FAZ655371 FKV655371 FUR655371 GEN655371 GOJ655371 GYF655371 HIB655371 HRX655371 IBT655371 ILP655371 IVL655371 JFH655371 JPD655371 JYZ655371 KIV655371 KSR655371 LCN655371 LMJ655371 LWF655371 MGB655371 MPX655371 MZT655371 NJP655371 NTL655371 ODH655371 OND655371 OWZ655371 PGV655371 PQR655371 QAN655371 QKJ655371 QUF655371 REB655371 RNX655371 RXT655371 SHP655371 SRL655371 TBH655371 TLD655371 TUZ655371 UEV655371 UOR655371 UYN655371 VIJ655371 VSF655371 WCB655371 WLX655371 WVT655371 L720907 JH720907 TD720907 ACZ720907 AMV720907 AWR720907 BGN720907 BQJ720907 CAF720907 CKB720907 CTX720907 DDT720907 DNP720907 DXL720907 EHH720907 ERD720907 FAZ720907 FKV720907 FUR720907 GEN720907 GOJ720907 GYF720907 HIB720907 HRX720907 IBT720907 ILP720907 IVL720907 JFH720907 JPD720907 JYZ720907 KIV720907 KSR720907 LCN720907 LMJ720907 LWF720907 MGB720907 MPX720907 MZT720907 NJP720907 NTL720907 ODH720907 OND720907 OWZ720907 PGV720907 PQR720907 QAN720907 QKJ720907 QUF720907 REB720907 RNX720907 RXT720907 SHP720907 SRL720907 TBH720907 TLD720907 TUZ720907 UEV720907 UOR720907 UYN720907 VIJ720907 VSF720907 WCB720907 WLX720907 WVT720907 L786443 JH786443 TD786443 ACZ786443 AMV786443 AWR786443 BGN786443 BQJ786443 CAF786443 CKB786443 CTX786443 DDT786443 DNP786443 DXL786443 EHH786443 ERD786443 FAZ786443 FKV786443 FUR786443 GEN786443 GOJ786443 GYF786443 HIB786443 HRX786443 IBT786443 ILP786443 IVL786443 JFH786443 JPD786443 JYZ786443 KIV786443 KSR786443 LCN786443 LMJ786443 LWF786443 MGB786443 MPX786443 MZT786443 NJP786443 NTL786443 ODH786443 OND786443 OWZ786443 PGV786443 PQR786443 QAN786443 QKJ786443 QUF786443 REB786443 RNX786443 RXT786443 SHP786443 SRL786443 TBH786443 TLD786443 TUZ786443 UEV786443 UOR786443 UYN786443 VIJ786443 VSF786443 WCB786443 WLX786443 WVT786443 L851979 JH851979 TD851979 ACZ851979 AMV851979 AWR851979 BGN851979 BQJ851979 CAF851979 CKB851979 CTX851979 DDT851979 DNP851979 DXL851979 EHH851979 ERD851979 FAZ851979 FKV851979 FUR851979 GEN851979 GOJ851979 GYF851979 HIB851979 HRX851979 IBT851979 ILP851979 IVL851979 JFH851979 JPD851979 JYZ851979 KIV851979 KSR851979 LCN851979 LMJ851979 LWF851979 MGB851979 MPX851979 MZT851979 NJP851979 NTL851979 ODH851979 OND851979 OWZ851979 PGV851979 PQR851979 QAN851979 QKJ851979 QUF851979 REB851979 RNX851979 RXT851979 SHP851979 SRL851979 TBH851979 TLD851979 TUZ851979 UEV851979 UOR851979 UYN851979 VIJ851979 VSF851979 WCB851979 WLX851979 WVT851979 L917515 JH917515 TD917515 ACZ917515 AMV917515 AWR917515 BGN917515 BQJ917515 CAF917515 CKB917515 CTX917515 DDT917515 DNP917515 DXL917515 EHH917515 ERD917515 FAZ917515 FKV917515 FUR917515 GEN917515 GOJ917515 GYF917515 HIB917515 HRX917515 IBT917515 ILP917515 IVL917515 JFH917515 JPD917515 JYZ917515 KIV917515 KSR917515 LCN917515 LMJ917515 LWF917515 MGB917515 MPX917515 MZT917515 NJP917515 NTL917515 ODH917515 OND917515 OWZ917515 PGV917515 PQR917515 QAN917515 QKJ917515 QUF917515 REB917515 RNX917515 RXT917515 SHP917515 SRL917515 TBH917515 TLD917515 TUZ917515 UEV917515 UOR917515 UYN917515 VIJ917515 VSF917515 WCB917515 WLX917515 WVT917515 L983051 JH983051 TD983051 ACZ983051 AMV983051 AWR983051 BGN983051 BQJ983051 CAF983051 CKB983051 CTX983051 DDT983051 DNP983051 DXL983051 EHH983051 ERD983051 FAZ983051 FKV983051 FUR983051 GEN983051 GOJ983051 GYF983051 HIB983051 HRX983051 IBT983051 ILP983051 IVL983051 JFH983051 JPD983051 JYZ983051 KIV983051 KSR983051 LCN983051 LMJ983051 LWF983051 MGB983051 MPX983051 MZT983051 NJP983051 NTL983051 ODH983051 OND983051 OWZ983051 PGV983051 PQR983051 QAN983051 QKJ983051 QUF983051 REB983051 RNX983051 RXT983051 SHP983051 SRL983051 TBH983051 TLD983051 TUZ983051 UEV983051 UOR983051 UYN983051 VIJ983051 VSF983051 WCB983051 WLX983051 WVT983051">
      <formula1>"田,畑,樹園地,ハウス等"</formula1>
    </dataValidation>
    <dataValidation imeMode="on" allowBlank="1" showInputMessage="1" showErrorMessage="1" sqref="C4:C6 IY4:IY6 SU4:SU6 ACQ4:ACQ6 AMM4:AMM6 AWI4:AWI6 BGE4:BGE6 BQA4:BQA6 BZW4:BZW6 CJS4:CJS6 CTO4:CTO6 DDK4:DDK6 DNG4:DNG6 DXC4:DXC6 EGY4:EGY6 EQU4:EQU6 FAQ4:FAQ6 FKM4:FKM6 FUI4:FUI6 GEE4:GEE6 GOA4:GOA6 GXW4:GXW6 HHS4:HHS6 HRO4:HRO6 IBK4:IBK6 ILG4:ILG6 IVC4:IVC6 JEY4:JEY6 JOU4:JOU6 JYQ4:JYQ6 KIM4:KIM6 KSI4:KSI6 LCE4:LCE6 LMA4:LMA6 LVW4:LVW6 MFS4:MFS6 MPO4:MPO6 MZK4:MZK6 NJG4:NJG6 NTC4:NTC6 OCY4:OCY6 OMU4:OMU6 OWQ4:OWQ6 PGM4:PGM6 PQI4:PQI6 QAE4:QAE6 QKA4:QKA6 QTW4:QTW6 RDS4:RDS6 RNO4:RNO6 RXK4:RXK6 SHG4:SHG6 SRC4:SRC6 TAY4:TAY6 TKU4:TKU6 TUQ4:TUQ6 UEM4:UEM6 UOI4:UOI6 UYE4:UYE6 VIA4:VIA6 VRW4:VRW6 WBS4:WBS6 WLO4:WLO6 WVK4:WVK6 C65540:C65542 IY65540:IY65542 SU65540:SU65542 ACQ65540:ACQ65542 AMM65540:AMM65542 AWI65540:AWI65542 BGE65540:BGE65542 BQA65540:BQA65542 BZW65540:BZW65542 CJS65540:CJS65542 CTO65540:CTO65542 DDK65540:DDK65542 DNG65540:DNG65542 DXC65540:DXC65542 EGY65540:EGY65542 EQU65540:EQU65542 FAQ65540:FAQ65542 FKM65540:FKM65542 FUI65540:FUI65542 GEE65540:GEE65542 GOA65540:GOA65542 GXW65540:GXW65542 HHS65540:HHS65542 HRO65540:HRO65542 IBK65540:IBK65542 ILG65540:ILG65542 IVC65540:IVC65542 JEY65540:JEY65542 JOU65540:JOU65542 JYQ65540:JYQ65542 KIM65540:KIM65542 KSI65540:KSI65542 LCE65540:LCE65542 LMA65540:LMA65542 LVW65540:LVW65542 MFS65540:MFS65542 MPO65540:MPO65542 MZK65540:MZK65542 NJG65540:NJG65542 NTC65540:NTC65542 OCY65540:OCY65542 OMU65540:OMU65542 OWQ65540:OWQ65542 PGM65540:PGM65542 PQI65540:PQI65542 QAE65540:QAE65542 QKA65540:QKA65542 QTW65540:QTW65542 RDS65540:RDS65542 RNO65540:RNO65542 RXK65540:RXK65542 SHG65540:SHG65542 SRC65540:SRC65542 TAY65540:TAY65542 TKU65540:TKU65542 TUQ65540:TUQ65542 UEM65540:UEM65542 UOI65540:UOI65542 UYE65540:UYE65542 VIA65540:VIA65542 VRW65540:VRW65542 WBS65540:WBS65542 WLO65540:WLO65542 WVK65540:WVK65542 C131076:C131078 IY131076:IY131078 SU131076:SU131078 ACQ131076:ACQ131078 AMM131076:AMM131078 AWI131076:AWI131078 BGE131076:BGE131078 BQA131076:BQA131078 BZW131076:BZW131078 CJS131076:CJS131078 CTO131076:CTO131078 DDK131076:DDK131078 DNG131076:DNG131078 DXC131076:DXC131078 EGY131076:EGY131078 EQU131076:EQU131078 FAQ131076:FAQ131078 FKM131076:FKM131078 FUI131076:FUI131078 GEE131076:GEE131078 GOA131076:GOA131078 GXW131076:GXW131078 HHS131076:HHS131078 HRO131076:HRO131078 IBK131076:IBK131078 ILG131076:ILG131078 IVC131076:IVC131078 JEY131076:JEY131078 JOU131076:JOU131078 JYQ131076:JYQ131078 KIM131076:KIM131078 KSI131076:KSI131078 LCE131076:LCE131078 LMA131076:LMA131078 LVW131076:LVW131078 MFS131076:MFS131078 MPO131076:MPO131078 MZK131076:MZK131078 NJG131076:NJG131078 NTC131076:NTC131078 OCY131076:OCY131078 OMU131076:OMU131078 OWQ131076:OWQ131078 PGM131076:PGM131078 PQI131076:PQI131078 QAE131076:QAE131078 QKA131076:QKA131078 QTW131076:QTW131078 RDS131076:RDS131078 RNO131076:RNO131078 RXK131076:RXK131078 SHG131076:SHG131078 SRC131076:SRC131078 TAY131076:TAY131078 TKU131076:TKU131078 TUQ131076:TUQ131078 UEM131076:UEM131078 UOI131076:UOI131078 UYE131076:UYE131078 VIA131076:VIA131078 VRW131076:VRW131078 WBS131076:WBS131078 WLO131076:WLO131078 WVK131076:WVK131078 C196612:C196614 IY196612:IY196614 SU196612:SU196614 ACQ196612:ACQ196614 AMM196612:AMM196614 AWI196612:AWI196614 BGE196612:BGE196614 BQA196612:BQA196614 BZW196612:BZW196614 CJS196612:CJS196614 CTO196612:CTO196614 DDK196612:DDK196614 DNG196612:DNG196614 DXC196612:DXC196614 EGY196612:EGY196614 EQU196612:EQU196614 FAQ196612:FAQ196614 FKM196612:FKM196614 FUI196612:FUI196614 GEE196612:GEE196614 GOA196612:GOA196614 GXW196612:GXW196614 HHS196612:HHS196614 HRO196612:HRO196614 IBK196612:IBK196614 ILG196612:ILG196614 IVC196612:IVC196614 JEY196612:JEY196614 JOU196612:JOU196614 JYQ196612:JYQ196614 KIM196612:KIM196614 KSI196612:KSI196614 LCE196612:LCE196614 LMA196612:LMA196614 LVW196612:LVW196614 MFS196612:MFS196614 MPO196612:MPO196614 MZK196612:MZK196614 NJG196612:NJG196614 NTC196612:NTC196614 OCY196612:OCY196614 OMU196612:OMU196614 OWQ196612:OWQ196614 PGM196612:PGM196614 PQI196612:PQI196614 QAE196612:QAE196614 QKA196612:QKA196614 QTW196612:QTW196614 RDS196612:RDS196614 RNO196612:RNO196614 RXK196612:RXK196614 SHG196612:SHG196614 SRC196612:SRC196614 TAY196612:TAY196614 TKU196612:TKU196614 TUQ196612:TUQ196614 UEM196612:UEM196614 UOI196612:UOI196614 UYE196612:UYE196614 VIA196612:VIA196614 VRW196612:VRW196614 WBS196612:WBS196614 WLO196612:WLO196614 WVK196612:WVK196614 C262148:C262150 IY262148:IY262150 SU262148:SU262150 ACQ262148:ACQ262150 AMM262148:AMM262150 AWI262148:AWI262150 BGE262148:BGE262150 BQA262148:BQA262150 BZW262148:BZW262150 CJS262148:CJS262150 CTO262148:CTO262150 DDK262148:DDK262150 DNG262148:DNG262150 DXC262148:DXC262150 EGY262148:EGY262150 EQU262148:EQU262150 FAQ262148:FAQ262150 FKM262148:FKM262150 FUI262148:FUI262150 GEE262148:GEE262150 GOA262148:GOA262150 GXW262148:GXW262150 HHS262148:HHS262150 HRO262148:HRO262150 IBK262148:IBK262150 ILG262148:ILG262150 IVC262148:IVC262150 JEY262148:JEY262150 JOU262148:JOU262150 JYQ262148:JYQ262150 KIM262148:KIM262150 KSI262148:KSI262150 LCE262148:LCE262150 LMA262148:LMA262150 LVW262148:LVW262150 MFS262148:MFS262150 MPO262148:MPO262150 MZK262148:MZK262150 NJG262148:NJG262150 NTC262148:NTC262150 OCY262148:OCY262150 OMU262148:OMU262150 OWQ262148:OWQ262150 PGM262148:PGM262150 PQI262148:PQI262150 QAE262148:QAE262150 QKA262148:QKA262150 QTW262148:QTW262150 RDS262148:RDS262150 RNO262148:RNO262150 RXK262148:RXK262150 SHG262148:SHG262150 SRC262148:SRC262150 TAY262148:TAY262150 TKU262148:TKU262150 TUQ262148:TUQ262150 UEM262148:UEM262150 UOI262148:UOI262150 UYE262148:UYE262150 VIA262148:VIA262150 VRW262148:VRW262150 WBS262148:WBS262150 WLO262148:WLO262150 WVK262148:WVK262150 C327684:C327686 IY327684:IY327686 SU327684:SU327686 ACQ327684:ACQ327686 AMM327684:AMM327686 AWI327684:AWI327686 BGE327684:BGE327686 BQA327684:BQA327686 BZW327684:BZW327686 CJS327684:CJS327686 CTO327684:CTO327686 DDK327684:DDK327686 DNG327684:DNG327686 DXC327684:DXC327686 EGY327684:EGY327686 EQU327684:EQU327686 FAQ327684:FAQ327686 FKM327684:FKM327686 FUI327684:FUI327686 GEE327684:GEE327686 GOA327684:GOA327686 GXW327684:GXW327686 HHS327684:HHS327686 HRO327684:HRO327686 IBK327684:IBK327686 ILG327684:ILG327686 IVC327684:IVC327686 JEY327684:JEY327686 JOU327684:JOU327686 JYQ327684:JYQ327686 KIM327684:KIM327686 KSI327684:KSI327686 LCE327684:LCE327686 LMA327684:LMA327686 LVW327684:LVW327686 MFS327684:MFS327686 MPO327684:MPO327686 MZK327684:MZK327686 NJG327684:NJG327686 NTC327684:NTC327686 OCY327684:OCY327686 OMU327684:OMU327686 OWQ327684:OWQ327686 PGM327684:PGM327686 PQI327684:PQI327686 QAE327684:QAE327686 QKA327684:QKA327686 QTW327684:QTW327686 RDS327684:RDS327686 RNO327684:RNO327686 RXK327684:RXK327686 SHG327684:SHG327686 SRC327684:SRC327686 TAY327684:TAY327686 TKU327684:TKU327686 TUQ327684:TUQ327686 UEM327684:UEM327686 UOI327684:UOI327686 UYE327684:UYE327686 VIA327684:VIA327686 VRW327684:VRW327686 WBS327684:WBS327686 WLO327684:WLO327686 WVK327684:WVK327686 C393220:C393222 IY393220:IY393222 SU393220:SU393222 ACQ393220:ACQ393222 AMM393220:AMM393222 AWI393220:AWI393222 BGE393220:BGE393222 BQA393220:BQA393222 BZW393220:BZW393222 CJS393220:CJS393222 CTO393220:CTO393222 DDK393220:DDK393222 DNG393220:DNG393222 DXC393220:DXC393222 EGY393220:EGY393222 EQU393220:EQU393222 FAQ393220:FAQ393222 FKM393220:FKM393222 FUI393220:FUI393222 GEE393220:GEE393222 GOA393220:GOA393222 GXW393220:GXW393222 HHS393220:HHS393222 HRO393220:HRO393222 IBK393220:IBK393222 ILG393220:ILG393222 IVC393220:IVC393222 JEY393220:JEY393222 JOU393220:JOU393222 JYQ393220:JYQ393222 KIM393220:KIM393222 KSI393220:KSI393222 LCE393220:LCE393222 LMA393220:LMA393222 LVW393220:LVW393222 MFS393220:MFS393222 MPO393220:MPO393222 MZK393220:MZK393222 NJG393220:NJG393222 NTC393220:NTC393222 OCY393220:OCY393222 OMU393220:OMU393222 OWQ393220:OWQ393222 PGM393220:PGM393222 PQI393220:PQI393222 QAE393220:QAE393222 QKA393220:QKA393222 QTW393220:QTW393222 RDS393220:RDS393222 RNO393220:RNO393222 RXK393220:RXK393222 SHG393220:SHG393222 SRC393220:SRC393222 TAY393220:TAY393222 TKU393220:TKU393222 TUQ393220:TUQ393222 UEM393220:UEM393222 UOI393220:UOI393222 UYE393220:UYE393222 VIA393220:VIA393222 VRW393220:VRW393222 WBS393220:WBS393222 WLO393220:WLO393222 WVK393220:WVK393222 C458756:C458758 IY458756:IY458758 SU458756:SU458758 ACQ458756:ACQ458758 AMM458756:AMM458758 AWI458756:AWI458758 BGE458756:BGE458758 BQA458756:BQA458758 BZW458756:BZW458758 CJS458756:CJS458758 CTO458756:CTO458758 DDK458756:DDK458758 DNG458756:DNG458758 DXC458756:DXC458758 EGY458756:EGY458758 EQU458756:EQU458758 FAQ458756:FAQ458758 FKM458756:FKM458758 FUI458756:FUI458758 GEE458756:GEE458758 GOA458756:GOA458758 GXW458756:GXW458758 HHS458756:HHS458758 HRO458756:HRO458758 IBK458756:IBK458758 ILG458756:ILG458758 IVC458756:IVC458758 JEY458756:JEY458758 JOU458756:JOU458758 JYQ458756:JYQ458758 KIM458756:KIM458758 KSI458756:KSI458758 LCE458756:LCE458758 LMA458756:LMA458758 LVW458756:LVW458758 MFS458756:MFS458758 MPO458756:MPO458758 MZK458756:MZK458758 NJG458756:NJG458758 NTC458756:NTC458758 OCY458756:OCY458758 OMU458756:OMU458758 OWQ458756:OWQ458758 PGM458756:PGM458758 PQI458756:PQI458758 QAE458756:QAE458758 QKA458756:QKA458758 QTW458756:QTW458758 RDS458756:RDS458758 RNO458756:RNO458758 RXK458756:RXK458758 SHG458756:SHG458758 SRC458756:SRC458758 TAY458756:TAY458758 TKU458756:TKU458758 TUQ458756:TUQ458758 UEM458756:UEM458758 UOI458756:UOI458758 UYE458756:UYE458758 VIA458756:VIA458758 VRW458756:VRW458758 WBS458756:WBS458758 WLO458756:WLO458758 WVK458756:WVK458758 C524292:C524294 IY524292:IY524294 SU524292:SU524294 ACQ524292:ACQ524294 AMM524292:AMM524294 AWI524292:AWI524294 BGE524292:BGE524294 BQA524292:BQA524294 BZW524292:BZW524294 CJS524292:CJS524294 CTO524292:CTO524294 DDK524292:DDK524294 DNG524292:DNG524294 DXC524292:DXC524294 EGY524292:EGY524294 EQU524292:EQU524294 FAQ524292:FAQ524294 FKM524292:FKM524294 FUI524292:FUI524294 GEE524292:GEE524294 GOA524292:GOA524294 GXW524292:GXW524294 HHS524292:HHS524294 HRO524292:HRO524294 IBK524292:IBK524294 ILG524292:ILG524294 IVC524292:IVC524294 JEY524292:JEY524294 JOU524292:JOU524294 JYQ524292:JYQ524294 KIM524292:KIM524294 KSI524292:KSI524294 LCE524292:LCE524294 LMA524292:LMA524294 LVW524292:LVW524294 MFS524292:MFS524294 MPO524292:MPO524294 MZK524292:MZK524294 NJG524292:NJG524294 NTC524292:NTC524294 OCY524292:OCY524294 OMU524292:OMU524294 OWQ524292:OWQ524294 PGM524292:PGM524294 PQI524292:PQI524294 QAE524292:QAE524294 QKA524292:QKA524294 QTW524292:QTW524294 RDS524292:RDS524294 RNO524292:RNO524294 RXK524292:RXK524294 SHG524292:SHG524294 SRC524292:SRC524294 TAY524292:TAY524294 TKU524292:TKU524294 TUQ524292:TUQ524294 UEM524292:UEM524294 UOI524292:UOI524294 UYE524292:UYE524294 VIA524292:VIA524294 VRW524292:VRW524294 WBS524292:WBS524294 WLO524292:WLO524294 WVK524292:WVK524294 C589828:C589830 IY589828:IY589830 SU589828:SU589830 ACQ589828:ACQ589830 AMM589828:AMM589830 AWI589828:AWI589830 BGE589828:BGE589830 BQA589828:BQA589830 BZW589828:BZW589830 CJS589828:CJS589830 CTO589828:CTO589830 DDK589828:DDK589830 DNG589828:DNG589830 DXC589828:DXC589830 EGY589828:EGY589830 EQU589828:EQU589830 FAQ589828:FAQ589830 FKM589828:FKM589830 FUI589828:FUI589830 GEE589828:GEE589830 GOA589828:GOA589830 GXW589828:GXW589830 HHS589828:HHS589830 HRO589828:HRO589830 IBK589828:IBK589830 ILG589828:ILG589830 IVC589828:IVC589830 JEY589828:JEY589830 JOU589828:JOU589830 JYQ589828:JYQ589830 KIM589828:KIM589830 KSI589828:KSI589830 LCE589828:LCE589830 LMA589828:LMA589830 LVW589828:LVW589830 MFS589828:MFS589830 MPO589828:MPO589830 MZK589828:MZK589830 NJG589828:NJG589830 NTC589828:NTC589830 OCY589828:OCY589830 OMU589828:OMU589830 OWQ589828:OWQ589830 PGM589828:PGM589830 PQI589828:PQI589830 QAE589828:QAE589830 QKA589828:QKA589830 QTW589828:QTW589830 RDS589828:RDS589830 RNO589828:RNO589830 RXK589828:RXK589830 SHG589828:SHG589830 SRC589828:SRC589830 TAY589828:TAY589830 TKU589828:TKU589830 TUQ589828:TUQ589830 UEM589828:UEM589830 UOI589828:UOI589830 UYE589828:UYE589830 VIA589828:VIA589830 VRW589828:VRW589830 WBS589828:WBS589830 WLO589828:WLO589830 WVK589828:WVK589830 C655364:C655366 IY655364:IY655366 SU655364:SU655366 ACQ655364:ACQ655366 AMM655364:AMM655366 AWI655364:AWI655366 BGE655364:BGE655366 BQA655364:BQA655366 BZW655364:BZW655366 CJS655364:CJS655366 CTO655364:CTO655366 DDK655364:DDK655366 DNG655364:DNG655366 DXC655364:DXC655366 EGY655364:EGY655366 EQU655364:EQU655366 FAQ655364:FAQ655366 FKM655364:FKM655366 FUI655364:FUI655366 GEE655364:GEE655366 GOA655364:GOA655366 GXW655364:GXW655366 HHS655364:HHS655366 HRO655364:HRO655366 IBK655364:IBK655366 ILG655364:ILG655366 IVC655364:IVC655366 JEY655364:JEY655366 JOU655364:JOU655366 JYQ655364:JYQ655366 KIM655364:KIM655366 KSI655364:KSI655366 LCE655364:LCE655366 LMA655364:LMA655366 LVW655364:LVW655366 MFS655364:MFS655366 MPO655364:MPO655366 MZK655364:MZK655366 NJG655364:NJG655366 NTC655364:NTC655366 OCY655364:OCY655366 OMU655364:OMU655366 OWQ655364:OWQ655366 PGM655364:PGM655366 PQI655364:PQI655366 QAE655364:QAE655366 QKA655364:QKA655366 QTW655364:QTW655366 RDS655364:RDS655366 RNO655364:RNO655366 RXK655364:RXK655366 SHG655364:SHG655366 SRC655364:SRC655366 TAY655364:TAY655366 TKU655364:TKU655366 TUQ655364:TUQ655366 UEM655364:UEM655366 UOI655364:UOI655366 UYE655364:UYE655366 VIA655364:VIA655366 VRW655364:VRW655366 WBS655364:WBS655366 WLO655364:WLO655366 WVK655364:WVK655366 C720900:C720902 IY720900:IY720902 SU720900:SU720902 ACQ720900:ACQ720902 AMM720900:AMM720902 AWI720900:AWI720902 BGE720900:BGE720902 BQA720900:BQA720902 BZW720900:BZW720902 CJS720900:CJS720902 CTO720900:CTO720902 DDK720900:DDK720902 DNG720900:DNG720902 DXC720900:DXC720902 EGY720900:EGY720902 EQU720900:EQU720902 FAQ720900:FAQ720902 FKM720900:FKM720902 FUI720900:FUI720902 GEE720900:GEE720902 GOA720900:GOA720902 GXW720900:GXW720902 HHS720900:HHS720902 HRO720900:HRO720902 IBK720900:IBK720902 ILG720900:ILG720902 IVC720900:IVC720902 JEY720900:JEY720902 JOU720900:JOU720902 JYQ720900:JYQ720902 KIM720900:KIM720902 KSI720900:KSI720902 LCE720900:LCE720902 LMA720900:LMA720902 LVW720900:LVW720902 MFS720900:MFS720902 MPO720900:MPO720902 MZK720900:MZK720902 NJG720900:NJG720902 NTC720900:NTC720902 OCY720900:OCY720902 OMU720900:OMU720902 OWQ720900:OWQ720902 PGM720900:PGM720902 PQI720900:PQI720902 QAE720900:QAE720902 QKA720900:QKA720902 QTW720900:QTW720902 RDS720900:RDS720902 RNO720900:RNO720902 RXK720900:RXK720902 SHG720900:SHG720902 SRC720900:SRC720902 TAY720900:TAY720902 TKU720900:TKU720902 TUQ720900:TUQ720902 UEM720900:UEM720902 UOI720900:UOI720902 UYE720900:UYE720902 VIA720900:VIA720902 VRW720900:VRW720902 WBS720900:WBS720902 WLO720900:WLO720902 WVK720900:WVK720902 C786436:C786438 IY786436:IY786438 SU786436:SU786438 ACQ786436:ACQ786438 AMM786436:AMM786438 AWI786436:AWI786438 BGE786436:BGE786438 BQA786436:BQA786438 BZW786436:BZW786438 CJS786436:CJS786438 CTO786436:CTO786438 DDK786436:DDK786438 DNG786436:DNG786438 DXC786436:DXC786438 EGY786436:EGY786438 EQU786436:EQU786438 FAQ786436:FAQ786438 FKM786436:FKM786438 FUI786436:FUI786438 GEE786436:GEE786438 GOA786436:GOA786438 GXW786436:GXW786438 HHS786436:HHS786438 HRO786436:HRO786438 IBK786436:IBK786438 ILG786436:ILG786438 IVC786436:IVC786438 JEY786436:JEY786438 JOU786436:JOU786438 JYQ786436:JYQ786438 KIM786436:KIM786438 KSI786436:KSI786438 LCE786436:LCE786438 LMA786436:LMA786438 LVW786436:LVW786438 MFS786436:MFS786438 MPO786436:MPO786438 MZK786436:MZK786438 NJG786436:NJG786438 NTC786436:NTC786438 OCY786436:OCY786438 OMU786436:OMU786438 OWQ786436:OWQ786438 PGM786436:PGM786438 PQI786436:PQI786438 QAE786436:QAE786438 QKA786436:QKA786438 QTW786436:QTW786438 RDS786436:RDS786438 RNO786436:RNO786438 RXK786436:RXK786438 SHG786436:SHG786438 SRC786436:SRC786438 TAY786436:TAY786438 TKU786436:TKU786438 TUQ786436:TUQ786438 UEM786436:UEM786438 UOI786436:UOI786438 UYE786436:UYE786438 VIA786436:VIA786438 VRW786436:VRW786438 WBS786436:WBS786438 WLO786436:WLO786438 WVK786436:WVK786438 C851972:C851974 IY851972:IY851974 SU851972:SU851974 ACQ851972:ACQ851974 AMM851972:AMM851974 AWI851972:AWI851974 BGE851972:BGE851974 BQA851972:BQA851974 BZW851972:BZW851974 CJS851972:CJS851974 CTO851972:CTO851974 DDK851972:DDK851974 DNG851972:DNG851974 DXC851972:DXC851974 EGY851972:EGY851974 EQU851972:EQU851974 FAQ851972:FAQ851974 FKM851972:FKM851974 FUI851972:FUI851974 GEE851972:GEE851974 GOA851972:GOA851974 GXW851972:GXW851974 HHS851972:HHS851974 HRO851972:HRO851974 IBK851972:IBK851974 ILG851972:ILG851974 IVC851972:IVC851974 JEY851972:JEY851974 JOU851972:JOU851974 JYQ851972:JYQ851974 KIM851972:KIM851974 KSI851972:KSI851974 LCE851972:LCE851974 LMA851972:LMA851974 LVW851972:LVW851974 MFS851972:MFS851974 MPO851972:MPO851974 MZK851972:MZK851974 NJG851972:NJG851974 NTC851972:NTC851974 OCY851972:OCY851974 OMU851972:OMU851974 OWQ851972:OWQ851974 PGM851972:PGM851974 PQI851972:PQI851974 QAE851972:QAE851974 QKA851972:QKA851974 QTW851972:QTW851974 RDS851972:RDS851974 RNO851972:RNO851974 RXK851972:RXK851974 SHG851972:SHG851974 SRC851972:SRC851974 TAY851972:TAY851974 TKU851972:TKU851974 TUQ851972:TUQ851974 UEM851972:UEM851974 UOI851972:UOI851974 UYE851972:UYE851974 VIA851972:VIA851974 VRW851972:VRW851974 WBS851972:WBS851974 WLO851972:WLO851974 WVK851972:WVK851974 C917508:C917510 IY917508:IY917510 SU917508:SU917510 ACQ917508:ACQ917510 AMM917508:AMM917510 AWI917508:AWI917510 BGE917508:BGE917510 BQA917508:BQA917510 BZW917508:BZW917510 CJS917508:CJS917510 CTO917508:CTO917510 DDK917508:DDK917510 DNG917508:DNG917510 DXC917508:DXC917510 EGY917508:EGY917510 EQU917508:EQU917510 FAQ917508:FAQ917510 FKM917508:FKM917510 FUI917508:FUI917510 GEE917508:GEE917510 GOA917508:GOA917510 GXW917508:GXW917510 HHS917508:HHS917510 HRO917508:HRO917510 IBK917508:IBK917510 ILG917508:ILG917510 IVC917508:IVC917510 JEY917508:JEY917510 JOU917508:JOU917510 JYQ917508:JYQ917510 KIM917508:KIM917510 KSI917508:KSI917510 LCE917508:LCE917510 LMA917508:LMA917510 LVW917508:LVW917510 MFS917508:MFS917510 MPO917508:MPO917510 MZK917508:MZK917510 NJG917508:NJG917510 NTC917508:NTC917510 OCY917508:OCY917510 OMU917508:OMU917510 OWQ917508:OWQ917510 PGM917508:PGM917510 PQI917508:PQI917510 QAE917508:QAE917510 QKA917508:QKA917510 QTW917508:QTW917510 RDS917508:RDS917510 RNO917508:RNO917510 RXK917508:RXK917510 SHG917508:SHG917510 SRC917508:SRC917510 TAY917508:TAY917510 TKU917508:TKU917510 TUQ917508:TUQ917510 UEM917508:UEM917510 UOI917508:UOI917510 UYE917508:UYE917510 VIA917508:VIA917510 VRW917508:VRW917510 WBS917508:WBS917510 WLO917508:WLO917510 WVK917508:WVK917510 C983044:C983046 IY983044:IY983046 SU983044:SU983046 ACQ983044:ACQ983046 AMM983044:AMM983046 AWI983044:AWI983046 BGE983044:BGE983046 BQA983044:BQA983046 BZW983044:BZW983046 CJS983044:CJS983046 CTO983044:CTO983046 DDK983044:DDK983046 DNG983044:DNG983046 DXC983044:DXC983046 EGY983044:EGY983046 EQU983044:EQU983046 FAQ983044:FAQ983046 FKM983044:FKM983046 FUI983044:FUI983046 GEE983044:GEE983046 GOA983044:GOA983046 GXW983044:GXW983046 HHS983044:HHS983046 HRO983044:HRO983046 IBK983044:IBK983046 ILG983044:ILG983046 IVC983044:IVC983046 JEY983044:JEY983046 JOU983044:JOU983046 JYQ983044:JYQ983046 KIM983044:KIM983046 KSI983044:KSI983046 LCE983044:LCE983046 LMA983044:LMA983046 LVW983044:LVW983046 MFS983044:MFS983046 MPO983044:MPO983046 MZK983044:MZK983046 NJG983044:NJG983046 NTC983044:NTC983046 OCY983044:OCY983046 OMU983044:OMU983046 OWQ983044:OWQ983046 PGM983044:PGM983046 PQI983044:PQI983046 QAE983044:QAE983046 QKA983044:QKA983046 QTW983044:QTW983046 RDS983044:RDS983046 RNO983044:RNO983046 RXK983044:RXK983046 SHG983044:SHG983046 SRC983044:SRC983046 TAY983044:TAY983046 TKU983044:TKU983046 TUQ983044:TUQ983046 UEM983044:UEM983046 UOI983044:UOI983046 UYE983044:UYE983046 VIA983044:VIA983046 VRW983044:VRW983046 WBS983044:WBS983046 WLO983044:WLO983046 WVK983044:WVK983046"/>
    <dataValidation type="list" allowBlank="1" showInputMessage="1" showErrorMessage="1" sqref="M13:M14 JI13:JI14 TE13:TE14 ADA13:ADA14 AMW13:AMW14 AWS13:AWS14 BGO13:BGO14 BQK13:BQK14 CAG13:CAG14 CKC13:CKC14 CTY13:CTY14 DDU13:DDU14 DNQ13:DNQ14 DXM13:DXM14 EHI13:EHI14 ERE13:ERE14 FBA13:FBA14 FKW13:FKW14 FUS13:FUS14 GEO13:GEO14 GOK13:GOK14 GYG13:GYG14 HIC13:HIC14 HRY13:HRY14 IBU13:IBU14 ILQ13:ILQ14 IVM13:IVM14 JFI13:JFI14 JPE13:JPE14 JZA13:JZA14 KIW13:KIW14 KSS13:KSS14 LCO13:LCO14 LMK13:LMK14 LWG13:LWG14 MGC13:MGC14 MPY13:MPY14 MZU13:MZU14 NJQ13:NJQ14 NTM13:NTM14 ODI13:ODI14 ONE13:ONE14 OXA13:OXA14 PGW13:PGW14 PQS13:PQS14 QAO13:QAO14 QKK13:QKK14 QUG13:QUG14 REC13:REC14 RNY13:RNY14 RXU13:RXU14 SHQ13:SHQ14 SRM13:SRM14 TBI13:TBI14 TLE13:TLE14 TVA13:TVA14 UEW13:UEW14 UOS13:UOS14 UYO13:UYO14 VIK13:VIK14 VSG13:VSG14 WCC13:WCC14 WLY13:WLY14 WVU13:WVU14 M65549:M65550 JI65549:JI65550 TE65549:TE65550 ADA65549:ADA65550 AMW65549:AMW65550 AWS65549:AWS65550 BGO65549:BGO65550 BQK65549:BQK65550 CAG65549:CAG65550 CKC65549:CKC65550 CTY65549:CTY65550 DDU65549:DDU65550 DNQ65549:DNQ65550 DXM65549:DXM65550 EHI65549:EHI65550 ERE65549:ERE65550 FBA65549:FBA65550 FKW65549:FKW65550 FUS65549:FUS65550 GEO65549:GEO65550 GOK65549:GOK65550 GYG65549:GYG65550 HIC65549:HIC65550 HRY65549:HRY65550 IBU65549:IBU65550 ILQ65549:ILQ65550 IVM65549:IVM65550 JFI65549:JFI65550 JPE65549:JPE65550 JZA65549:JZA65550 KIW65549:KIW65550 KSS65549:KSS65550 LCO65549:LCO65550 LMK65549:LMK65550 LWG65549:LWG65550 MGC65549:MGC65550 MPY65549:MPY65550 MZU65549:MZU65550 NJQ65549:NJQ65550 NTM65549:NTM65550 ODI65549:ODI65550 ONE65549:ONE65550 OXA65549:OXA65550 PGW65549:PGW65550 PQS65549:PQS65550 QAO65549:QAO65550 QKK65549:QKK65550 QUG65549:QUG65550 REC65549:REC65550 RNY65549:RNY65550 RXU65549:RXU65550 SHQ65549:SHQ65550 SRM65549:SRM65550 TBI65549:TBI65550 TLE65549:TLE65550 TVA65549:TVA65550 UEW65549:UEW65550 UOS65549:UOS65550 UYO65549:UYO65550 VIK65549:VIK65550 VSG65549:VSG65550 WCC65549:WCC65550 WLY65549:WLY65550 WVU65549:WVU65550 M131085:M131086 JI131085:JI131086 TE131085:TE131086 ADA131085:ADA131086 AMW131085:AMW131086 AWS131085:AWS131086 BGO131085:BGO131086 BQK131085:BQK131086 CAG131085:CAG131086 CKC131085:CKC131086 CTY131085:CTY131086 DDU131085:DDU131086 DNQ131085:DNQ131086 DXM131085:DXM131086 EHI131085:EHI131086 ERE131085:ERE131086 FBA131085:FBA131086 FKW131085:FKW131086 FUS131085:FUS131086 GEO131085:GEO131086 GOK131085:GOK131086 GYG131085:GYG131086 HIC131085:HIC131086 HRY131085:HRY131086 IBU131085:IBU131086 ILQ131085:ILQ131086 IVM131085:IVM131086 JFI131085:JFI131086 JPE131085:JPE131086 JZA131085:JZA131086 KIW131085:KIW131086 KSS131085:KSS131086 LCO131085:LCO131086 LMK131085:LMK131086 LWG131085:LWG131086 MGC131085:MGC131086 MPY131085:MPY131086 MZU131085:MZU131086 NJQ131085:NJQ131086 NTM131085:NTM131086 ODI131085:ODI131086 ONE131085:ONE131086 OXA131085:OXA131086 PGW131085:PGW131086 PQS131085:PQS131086 QAO131085:QAO131086 QKK131085:QKK131086 QUG131085:QUG131086 REC131085:REC131086 RNY131085:RNY131086 RXU131085:RXU131086 SHQ131085:SHQ131086 SRM131085:SRM131086 TBI131085:TBI131086 TLE131085:TLE131086 TVA131085:TVA131086 UEW131085:UEW131086 UOS131085:UOS131086 UYO131085:UYO131086 VIK131085:VIK131086 VSG131085:VSG131086 WCC131085:WCC131086 WLY131085:WLY131086 WVU131085:WVU131086 M196621:M196622 JI196621:JI196622 TE196621:TE196622 ADA196621:ADA196622 AMW196621:AMW196622 AWS196621:AWS196622 BGO196621:BGO196622 BQK196621:BQK196622 CAG196621:CAG196622 CKC196621:CKC196622 CTY196621:CTY196622 DDU196621:DDU196622 DNQ196621:DNQ196622 DXM196621:DXM196622 EHI196621:EHI196622 ERE196621:ERE196622 FBA196621:FBA196622 FKW196621:FKW196622 FUS196621:FUS196622 GEO196621:GEO196622 GOK196621:GOK196622 GYG196621:GYG196622 HIC196621:HIC196622 HRY196621:HRY196622 IBU196621:IBU196622 ILQ196621:ILQ196622 IVM196621:IVM196622 JFI196621:JFI196622 JPE196621:JPE196622 JZA196621:JZA196622 KIW196621:KIW196622 KSS196621:KSS196622 LCO196621:LCO196622 LMK196621:LMK196622 LWG196621:LWG196622 MGC196621:MGC196622 MPY196621:MPY196622 MZU196621:MZU196622 NJQ196621:NJQ196622 NTM196621:NTM196622 ODI196621:ODI196622 ONE196621:ONE196622 OXA196621:OXA196622 PGW196621:PGW196622 PQS196621:PQS196622 QAO196621:QAO196622 QKK196621:QKK196622 QUG196621:QUG196622 REC196621:REC196622 RNY196621:RNY196622 RXU196621:RXU196622 SHQ196621:SHQ196622 SRM196621:SRM196622 TBI196621:TBI196622 TLE196621:TLE196622 TVA196621:TVA196622 UEW196621:UEW196622 UOS196621:UOS196622 UYO196621:UYO196622 VIK196621:VIK196622 VSG196621:VSG196622 WCC196621:WCC196622 WLY196621:WLY196622 WVU196621:WVU196622 M262157:M262158 JI262157:JI262158 TE262157:TE262158 ADA262157:ADA262158 AMW262157:AMW262158 AWS262157:AWS262158 BGO262157:BGO262158 BQK262157:BQK262158 CAG262157:CAG262158 CKC262157:CKC262158 CTY262157:CTY262158 DDU262157:DDU262158 DNQ262157:DNQ262158 DXM262157:DXM262158 EHI262157:EHI262158 ERE262157:ERE262158 FBA262157:FBA262158 FKW262157:FKW262158 FUS262157:FUS262158 GEO262157:GEO262158 GOK262157:GOK262158 GYG262157:GYG262158 HIC262157:HIC262158 HRY262157:HRY262158 IBU262157:IBU262158 ILQ262157:ILQ262158 IVM262157:IVM262158 JFI262157:JFI262158 JPE262157:JPE262158 JZA262157:JZA262158 KIW262157:KIW262158 KSS262157:KSS262158 LCO262157:LCO262158 LMK262157:LMK262158 LWG262157:LWG262158 MGC262157:MGC262158 MPY262157:MPY262158 MZU262157:MZU262158 NJQ262157:NJQ262158 NTM262157:NTM262158 ODI262157:ODI262158 ONE262157:ONE262158 OXA262157:OXA262158 PGW262157:PGW262158 PQS262157:PQS262158 QAO262157:QAO262158 QKK262157:QKK262158 QUG262157:QUG262158 REC262157:REC262158 RNY262157:RNY262158 RXU262157:RXU262158 SHQ262157:SHQ262158 SRM262157:SRM262158 TBI262157:TBI262158 TLE262157:TLE262158 TVA262157:TVA262158 UEW262157:UEW262158 UOS262157:UOS262158 UYO262157:UYO262158 VIK262157:VIK262158 VSG262157:VSG262158 WCC262157:WCC262158 WLY262157:WLY262158 WVU262157:WVU262158 M327693:M327694 JI327693:JI327694 TE327693:TE327694 ADA327693:ADA327694 AMW327693:AMW327694 AWS327693:AWS327694 BGO327693:BGO327694 BQK327693:BQK327694 CAG327693:CAG327694 CKC327693:CKC327694 CTY327693:CTY327694 DDU327693:DDU327694 DNQ327693:DNQ327694 DXM327693:DXM327694 EHI327693:EHI327694 ERE327693:ERE327694 FBA327693:FBA327694 FKW327693:FKW327694 FUS327693:FUS327694 GEO327693:GEO327694 GOK327693:GOK327694 GYG327693:GYG327694 HIC327693:HIC327694 HRY327693:HRY327694 IBU327693:IBU327694 ILQ327693:ILQ327694 IVM327693:IVM327694 JFI327693:JFI327694 JPE327693:JPE327694 JZA327693:JZA327694 KIW327693:KIW327694 KSS327693:KSS327694 LCO327693:LCO327694 LMK327693:LMK327694 LWG327693:LWG327694 MGC327693:MGC327694 MPY327693:MPY327694 MZU327693:MZU327694 NJQ327693:NJQ327694 NTM327693:NTM327694 ODI327693:ODI327694 ONE327693:ONE327694 OXA327693:OXA327694 PGW327693:PGW327694 PQS327693:PQS327694 QAO327693:QAO327694 QKK327693:QKK327694 QUG327693:QUG327694 REC327693:REC327694 RNY327693:RNY327694 RXU327693:RXU327694 SHQ327693:SHQ327694 SRM327693:SRM327694 TBI327693:TBI327694 TLE327693:TLE327694 TVA327693:TVA327694 UEW327693:UEW327694 UOS327693:UOS327694 UYO327693:UYO327694 VIK327693:VIK327694 VSG327693:VSG327694 WCC327693:WCC327694 WLY327693:WLY327694 WVU327693:WVU327694 M393229:M393230 JI393229:JI393230 TE393229:TE393230 ADA393229:ADA393230 AMW393229:AMW393230 AWS393229:AWS393230 BGO393229:BGO393230 BQK393229:BQK393230 CAG393229:CAG393230 CKC393229:CKC393230 CTY393229:CTY393230 DDU393229:DDU393230 DNQ393229:DNQ393230 DXM393229:DXM393230 EHI393229:EHI393230 ERE393229:ERE393230 FBA393229:FBA393230 FKW393229:FKW393230 FUS393229:FUS393230 GEO393229:GEO393230 GOK393229:GOK393230 GYG393229:GYG393230 HIC393229:HIC393230 HRY393229:HRY393230 IBU393229:IBU393230 ILQ393229:ILQ393230 IVM393229:IVM393230 JFI393229:JFI393230 JPE393229:JPE393230 JZA393229:JZA393230 KIW393229:KIW393230 KSS393229:KSS393230 LCO393229:LCO393230 LMK393229:LMK393230 LWG393229:LWG393230 MGC393229:MGC393230 MPY393229:MPY393230 MZU393229:MZU393230 NJQ393229:NJQ393230 NTM393229:NTM393230 ODI393229:ODI393230 ONE393229:ONE393230 OXA393229:OXA393230 PGW393229:PGW393230 PQS393229:PQS393230 QAO393229:QAO393230 QKK393229:QKK393230 QUG393229:QUG393230 REC393229:REC393230 RNY393229:RNY393230 RXU393229:RXU393230 SHQ393229:SHQ393230 SRM393229:SRM393230 TBI393229:TBI393230 TLE393229:TLE393230 TVA393229:TVA393230 UEW393229:UEW393230 UOS393229:UOS393230 UYO393229:UYO393230 VIK393229:VIK393230 VSG393229:VSG393230 WCC393229:WCC393230 WLY393229:WLY393230 WVU393229:WVU393230 M458765:M458766 JI458765:JI458766 TE458765:TE458766 ADA458765:ADA458766 AMW458765:AMW458766 AWS458765:AWS458766 BGO458765:BGO458766 BQK458765:BQK458766 CAG458765:CAG458766 CKC458765:CKC458766 CTY458765:CTY458766 DDU458765:DDU458766 DNQ458765:DNQ458766 DXM458765:DXM458766 EHI458765:EHI458766 ERE458765:ERE458766 FBA458765:FBA458766 FKW458765:FKW458766 FUS458765:FUS458766 GEO458765:GEO458766 GOK458765:GOK458766 GYG458765:GYG458766 HIC458765:HIC458766 HRY458765:HRY458766 IBU458765:IBU458766 ILQ458765:ILQ458766 IVM458765:IVM458766 JFI458765:JFI458766 JPE458765:JPE458766 JZA458765:JZA458766 KIW458765:KIW458766 KSS458765:KSS458766 LCO458765:LCO458766 LMK458765:LMK458766 LWG458765:LWG458766 MGC458765:MGC458766 MPY458765:MPY458766 MZU458765:MZU458766 NJQ458765:NJQ458766 NTM458765:NTM458766 ODI458765:ODI458766 ONE458765:ONE458766 OXA458765:OXA458766 PGW458765:PGW458766 PQS458765:PQS458766 QAO458765:QAO458766 QKK458765:QKK458766 QUG458765:QUG458766 REC458765:REC458766 RNY458765:RNY458766 RXU458765:RXU458766 SHQ458765:SHQ458766 SRM458765:SRM458766 TBI458765:TBI458766 TLE458765:TLE458766 TVA458765:TVA458766 UEW458765:UEW458766 UOS458765:UOS458766 UYO458765:UYO458766 VIK458765:VIK458766 VSG458765:VSG458766 WCC458765:WCC458766 WLY458765:WLY458766 WVU458765:WVU458766 M524301:M524302 JI524301:JI524302 TE524301:TE524302 ADA524301:ADA524302 AMW524301:AMW524302 AWS524301:AWS524302 BGO524301:BGO524302 BQK524301:BQK524302 CAG524301:CAG524302 CKC524301:CKC524302 CTY524301:CTY524302 DDU524301:DDU524302 DNQ524301:DNQ524302 DXM524301:DXM524302 EHI524301:EHI524302 ERE524301:ERE524302 FBA524301:FBA524302 FKW524301:FKW524302 FUS524301:FUS524302 GEO524301:GEO524302 GOK524301:GOK524302 GYG524301:GYG524302 HIC524301:HIC524302 HRY524301:HRY524302 IBU524301:IBU524302 ILQ524301:ILQ524302 IVM524301:IVM524302 JFI524301:JFI524302 JPE524301:JPE524302 JZA524301:JZA524302 KIW524301:KIW524302 KSS524301:KSS524302 LCO524301:LCO524302 LMK524301:LMK524302 LWG524301:LWG524302 MGC524301:MGC524302 MPY524301:MPY524302 MZU524301:MZU524302 NJQ524301:NJQ524302 NTM524301:NTM524302 ODI524301:ODI524302 ONE524301:ONE524302 OXA524301:OXA524302 PGW524301:PGW524302 PQS524301:PQS524302 QAO524301:QAO524302 QKK524301:QKK524302 QUG524301:QUG524302 REC524301:REC524302 RNY524301:RNY524302 RXU524301:RXU524302 SHQ524301:SHQ524302 SRM524301:SRM524302 TBI524301:TBI524302 TLE524301:TLE524302 TVA524301:TVA524302 UEW524301:UEW524302 UOS524301:UOS524302 UYO524301:UYO524302 VIK524301:VIK524302 VSG524301:VSG524302 WCC524301:WCC524302 WLY524301:WLY524302 WVU524301:WVU524302 M589837:M589838 JI589837:JI589838 TE589837:TE589838 ADA589837:ADA589838 AMW589837:AMW589838 AWS589837:AWS589838 BGO589837:BGO589838 BQK589837:BQK589838 CAG589837:CAG589838 CKC589837:CKC589838 CTY589837:CTY589838 DDU589837:DDU589838 DNQ589837:DNQ589838 DXM589837:DXM589838 EHI589837:EHI589838 ERE589837:ERE589838 FBA589837:FBA589838 FKW589837:FKW589838 FUS589837:FUS589838 GEO589837:GEO589838 GOK589837:GOK589838 GYG589837:GYG589838 HIC589837:HIC589838 HRY589837:HRY589838 IBU589837:IBU589838 ILQ589837:ILQ589838 IVM589837:IVM589838 JFI589837:JFI589838 JPE589837:JPE589838 JZA589837:JZA589838 KIW589837:KIW589838 KSS589837:KSS589838 LCO589837:LCO589838 LMK589837:LMK589838 LWG589837:LWG589838 MGC589837:MGC589838 MPY589837:MPY589838 MZU589837:MZU589838 NJQ589837:NJQ589838 NTM589837:NTM589838 ODI589837:ODI589838 ONE589837:ONE589838 OXA589837:OXA589838 PGW589837:PGW589838 PQS589837:PQS589838 QAO589837:QAO589838 QKK589837:QKK589838 QUG589837:QUG589838 REC589837:REC589838 RNY589837:RNY589838 RXU589837:RXU589838 SHQ589837:SHQ589838 SRM589837:SRM589838 TBI589837:TBI589838 TLE589837:TLE589838 TVA589837:TVA589838 UEW589837:UEW589838 UOS589837:UOS589838 UYO589837:UYO589838 VIK589837:VIK589838 VSG589837:VSG589838 WCC589837:WCC589838 WLY589837:WLY589838 WVU589837:WVU589838 M655373:M655374 JI655373:JI655374 TE655373:TE655374 ADA655373:ADA655374 AMW655373:AMW655374 AWS655373:AWS655374 BGO655373:BGO655374 BQK655373:BQK655374 CAG655373:CAG655374 CKC655373:CKC655374 CTY655373:CTY655374 DDU655373:DDU655374 DNQ655373:DNQ655374 DXM655373:DXM655374 EHI655373:EHI655374 ERE655373:ERE655374 FBA655373:FBA655374 FKW655373:FKW655374 FUS655373:FUS655374 GEO655373:GEO655374 GOK655373:GOK655374 GYG655373:GYG655374 HIC655373:HIC655374 HRY655373:HRY655374 IBU655373:IBU655374 ILQ655373:ILQ655374 IVM655373:IVM655374 JFI655373:JFI655374 JPE655373:JPE655374 JZA655373:JZA655374 KIW655373:KIW655374 KSS655373:KSS655374 LCO655373:LCO655374 LMK655373:LMK655374 LWG655373:LWG655374 MGC655373:MGC655374 MPY655373:MPY655374 MZU655373:MZU655374 NJQ655373:NJQ655374 NTM655373:NTM655374 ODI655373:ODI655374 ONE655373:ONE655374 OXA655373:OXA655374 PGW655373:PGW655374 PQS655373:PQS655374 QAO655373:QAO655374 QKK655373:QKK655374 QUG655373:QUG655374 REC655373:REC655374 RNY655373:RNY655374 RXU655373:RXU655374 SHQ655373:SHQ655374 SRM655373:SRM655374 TBI655373:TBI655374 TLE655373:TLE655374 TVA655373:TVA655374 UEW655373:UEW655374 UOS655373:UOS655374 UYO655373:UYO655374 VIK655373:VIK655374 VSG655373:VSG655374 WCC655373:WCC655374 WLY655373:WLY655374 WVU655373:WVU655374 M720909:M720910 JI720909:JI720910 TE720909:TE720910 ADA720909:ADA720910 AMW720909:AMW720910 AWS720909:AWS720910 BGO720909:BGO720910 BQK720909:BQK720910 CAG720909:CAG720910 CKC720909:CKC720910 CTY720909:CTY720910 DDU720909:DDU720910 DNQ720909:DNQ720910 DXM720909:DXM720910 EHI720909:EHI720910 ERE720909:ERE720910 FBA720909:FBA720910 FKW720909:FKW720910 FUS720909:FUS720910 GEO720909:GEO720910 GOK720909:GOK720910 GYG720909:GYG720910 HIC720909:HIC720910 HRY720909:HRY720910 IBU720909:IBU720910 ILQ720909:ILQ720910 IVM720909:IVM720910 JFI720909:JFI720910 JPE720909:JPE720910 JZA720909:JZA720910 KIW720909:KIW720910 KSS720909:KSS720910 LCO720909:LCO720910 LMK720909:LMK720910 LWG720909:LWG720910 MGC720909:MGC720910 MPY720909:MPY720910 MZU720909:MZU720910 NJQ720909:NJQ720910 NTM720909:NTM720910 ODI720909:ODI720910 ONE720909:ONE720910 OXA720909:OXA720910 PGW720909:PGW720910 PQS720909:PQS720910 QAO720909:QAO720910 QKK720909:QKK720910 QUG720909:QUG720910 REC720909:REC720910 RNY720909:RNY720910 RXU720909:RXU720910 SHQ720909:SHQ720910 SRM720909:SRM720910 TBI720909:TBI720910 TLE720909:TLE720910 TVA720909:TVA720910 UEW720909:UEW720910 UOS720909:UOS720910 UYO720909:UYO720910 VIK720909:VIK720910 VSG720909:VSG720910 WCC720909:WCC720910 WLY720909:WLY720910 WVU720909:WVU720910 M786445:M786446 JI786445:JI786446 TE786445:TE786446 ADA786445:ADA786446 AMW786445:AMW786446 AWS786445:AWS786446 BGO786445:BGO786446 BQK786445:BQK786446 CAG786445:CAG786446 CKC786445:CKC786446 CTY786445:CTY786446 DDU786445:DDU786446 DNQ786445:DNQ786446 DXM786445:DXM786446 EHI786445:EHI786446 ERE786445:ERE786446 FBA786445:FBA786446 FKW786445:FKW786446 FUS786445:FUS786446 GEO786445:GEO786446 GOK786445:GOK786446 GYG786445:GYG786446 HIC786445:HIC786446 HRY786445:HRY786446 IBU786445:IBU786446 ILQ786445:ILQ786446 IVM786445:IVM786446 JFI786445:JFI786446 JPE786445:JPE786446 JZA786445:JZA786446 KIW786445:KIW786446 KSS786445:KSS786446 LCO786445:LCO786446 LMK786445:LMK786446 LWG786445:LWG786446 MGC786445:MGC786446 MPY786445:MPY786446 MZU786445:MZU786446 NJQ786445:NJQ786446 NTM786445:NTM786446 ODI786445:ODI786446 ONE786445:ONE786446 OXA786445:OXA786446 PGW786445:PGW786446 PQS786445:PQS786446 QAO786445:QAO786446 QKK786445:QKK786446 QUG786445:QUG786446 REC786445:REC786446 RNY786445:RNY786446 RXU786445:RXU786446 SHQ786445:SHQ786446 SRM786445:SRM786446 TBI786445:TBI786446 TLE786445:TLE786446 TVA786445:TVA786446 UEW786445:UEW786446 UOS786445:UOS786446 UYO786445:UYO786446 VIK786445:VIK786446 VSG786445:VSG786446 WCC786445:WCC786446 WLY786445:WLY786446 WVU786445:WVU786446 M851981:M851982 JI851981:JI851982 TE851981:TE851982 ADA851981:ADA851982 AMW851981:AMW851982 AWS851981:AWS851982 BGO851981:BGO851982 BQK851981:BQK851982 CAG851981:CAG851982 CKC851981:CKC851982 CTY851981:CTY851982 DDU851981:DDU851982 DNQ851981:DNQ851982 DXM851981:DXM851982 EHI851981:EHI851982 ERE851981:ERE851982 FBA851981:FBA851982 FKW851981:FKW851982 FUS851981:FUS851982 GEO851981:GEO851982 GOK851981:GOK851982 GYG851981:GYG851982 HIC851981:HIC851982 HRY851981:HRY851982 IBU851981:IBU851982 ILQ851981:ILQ851982 IVM851981:IVM851982 JFI851981:JFI851982 JPE851981:JPE851982 JZA851981:JZA851982 KIW851981:KIW851982 KSS851981:KSS851982 LCO851981:LCO851982 LMK851981:LMK851982 LWG851981:LWG851982 MGC851981:MGC851982 MPY851981:MPY851982 MZU851981:MZU851982 NJQ851981:NJQ851982 NTM851981:NTM851982 ODI851981:ODI851982 ONE851981:ONE851982 OXA851981:OXA851982 PGW851981:PGW851982 PQS851981:PQS851982 QAO851981:QAO851982 QKK851981:QKK851982 QUG851981:QUG851982 REC851981:REC851982 RNY851981:RNY851982 RXU851981:RXU851982 SHQ851981:SHQ851982 SRM851981:SRM851982 TBI851981:TBI851982 TLE851981:TLE851982 TVA851981:TVA851982 UEW851981:UEW851982 UOS851981:UOS851982 UYO851981:UYO851982 VIK851981:VIK851982 VSG851981:VSG851982 WCC851981:WCC851982 WLY851981:WLY851982 WVU851981:WVU851982 M917517:M917518 JI917517:JI917518 TE917517:TE917518 ADA917517:ADA917518 AMW917517:AMW917518 AWS917517:AWS917518 BGO917517:BGO917518 BQK917517:BQK917518 CAG917517:CAG917518 CKC917517:CKC917518 CTY917517:CTY917518 DDU917517:DDU917518 DNQ917517:DNQ917518 DXM917517:DXM917518 EHI917517:EHI917518 ERE917517:ERE917518 FBA917517:FBA917518 FKW917517:FKW917518 FUS917517:FUS917518 GEO917517:GEO917518 GOK917517:GOK917518 GYG917517:GYG917518 HIC917517:HIC917518 HRY917517:HRY917518 IBU917517:IBU917518 ILQ917517:ILQ917518 IVM917517:IVM917518 JFI917517:JFI917518 JPE917517:JPE917518 JZA917517:JZA917518 KIW917517:KIW917518 KSS917517:KSS917518 LCO917517:LCO917518 LMK917517:LMK917518 LWG917517:LWG917518 MGC917517:MGC917518 MPY917517:MPY917518 MZU917517:MZU917518 NJQ917517:NJQ917518 NTM917517:NTM917518 ODI917517:ODI917518 ONE917517:ONE917518 OXA917517:OXA917518 PGW917517:PGW917518 PQS917517:PQS917518 QAO917517:QAO917518 QKK917517:QKK917518 QUG917517:QUG917518 REC917517:REC917518 RNY917517:RNY917518 RXU917517:RXU917518 SHQ917517:SHQ917518 SRM917517:SRM917518 TBI917517:TBI917518 TLE917517:TLE917518 TVA917517:TVA917518 UEW917517:UEW917518 UOS917517:UOS917518 UYO917517:UYO917518 VIK917517:VIK917518 VSG917517:VSG917518 WCC917517:WCC917518 WLY917517:WLY917518 WVU917517:WVU917518 M983053:M983054 JI983053:JI983054 TE983053:TE983054 ADA983053:ADA983054 AMW983053:AMW983054 AWS983053:AWS983054 BGO983053:BGO983054 BQK983053:BQK983054 CAG983053:CAG983054 CKC983053:CKC983054 CTY983053:CTY983054 DDU983053:DDU983054 DNQ983053:DNQ983054 DXM983053:DXM983054 EHI983053:EHI983054 ERE983053:ERE983054 FBA983053:FBA983054 FKW983053:FKW983054 FUS983053:FUS983054 GEO983053:GEO983054 GOK983053:GOK983054 GYG983053:GYG983054 HIC983053:HIC983054 HRY983053:HRY983054 IBU983053:IBU983054 ILQ983053:ILQ983054 IVM983053:IVM983054 JFI983053:JFI983054 JPE983053:JPE983054 JZA983053:JZA983054 KIW983053:KIW983054 KSS983053:KSS983054 LCO983053:LCO983054 LMK983053:LMK983054 LWG983053:LWG983054 MGC983053:MGC983054 MPY983053:MPY983054 MZU983053:MZU983054 NJQ983053:NJQ983054 NTM983053:NTM983054 ODI983053:ODI983054 ONE983053:ONE983054 OXA983053:OXA983054 PGW983053:PGW983054 PQS983053:PQS983054 QAO983053:QAO983054 QKK983053:QKK983054 QUG983053:QUG983054 REC983053:REC983054 RNY983053:RNY983054 RXU983053:RXU983054 SHQ983053:SHQ983054 SRM983053:SRM983054 TBI983053:TBI983054 TLE983053:TLE983054 TVA983053:TVA983054 UEW983053:UEW983054 UOS983053:UOS983054 UYO983053:UYO983054 VIK983053:VIK983054 VSG983053:VSG983054 WCC983053:WCC983054 WLY983053:WLY983054 WVU983053:WVU983054">
      <formula1>"上,中,下"</formula1>
    </dataValidation>
    <dataValidation type="whole" allowBlank="1" showInputMessage="1" showErrorMessage="1" sqref="L13:L14 JH13:JH14 TD13:TD14 ACZ13:ACZ14 AMV13:AMV14 AWR13:AWR14 BGN13:BGN14 BQJ13:BQJ14 CAF13:CAF14 CKB13:CKB14 CTX13:CTX14 DDT13:DDT14 DNP13:DNP14 DXL13:DXL14 EHH13:EHH14 ERD13:ERD14 FAZ13:FAZ14 FKV13:FKV14 FUR13:FUR14 GEN13:GEN14 GOJ13:GOJ14 GYF13:GYF14 HIB13:HIB14 HRX13:HRX14 IBT13:IBT14 ILP13:ILP14 IVL13:IVL14 JFH13:JFH14 JPD13:JPD14 JYZ13:JYZ14 KIV13:KIV14 KSR13:KSR14 LCN13:LCN14 LMJ13:LMJ14 LWF13:LWF14 MGB13:MGB14 MPX13:MPX14 MZT13:MZT14 NJP13:NJP14 NTL13:NTL14 ODH13:ODH14 OND13:OND14 OWZ13:OWZ14 PGV13:PGV14 PQR13:PQR14 QAN13:QAN14 QKJ13:QKJ14 QUF13:QUF14 REB13:REB14 RNX13:RNX14 RXT13:RXT14 SHP13:SHP14 SRL13:SRL14 TBH13:TBH14 TLD13:TLD14 TUZ13:TUZ14 UEV13:UEV14 UOR13:UOR14 UYN13:UYN14 VIJ13:VIJ14 VSF13:VSF14 WCB13:WCB14 WLX13:WLX14 WVT13:WVT14 L65549:L65550 JH65549:JH65550 TD65549:TD65550 ACZ65549:ACZ65550 AMV65549:AMV65550 AWR65549:AWR65550 BGN65549:BGN65550 BQJ65549:BQJ65550 CAF65549:CAF65550 CKB65549:CKB65550 CTX65549:CTX65550 DDT65549:DDT65550 DNP65549:DNP65550 DXL65549:DXL65550 EHH65549:EHH65550 ERD65549:ERD65550 FAZ65549:FAZ65550 FKV65549:FKV65550 FUR65549:FUR65550 GEN65549:GEN65550 GOJ65549:GOJ65550 GYF65549:GYF65550 HIB65549:HIB65550 HRX65549:HRX65550 IBT65549:IBT65550 ILP65549:ILP65550 IVL65549:IVL65550 JFH65549:JFH65550 JPD65549:JPD65550 JYZ65549:JYZ65550 KIV65549:KIV65550 KSR65549:KSR65550 LCN65549:LCN65550 LMJ65549:LMJ65550 LWF65549:LWF65550 MGB65549:MGB65550 MPX65549:MPX65550 MZT65549:MZT65550 NJP65549:NJP65550 NTL65549:NTL65550 ODH65549:ODH65550 OND65549:OND65550 OWZ65549:OWZ65550 PGV65549:PGV65550 PQR65549:PQR65550 QAN65549:QAN65550 QKJ65549:QKJ65550 QUF65549:QUF65550 REB65549:REB65550 RNX65549:RNX65550 RXT65549:RXT65550 SHP65549:SHP65550 SRL65549:SRL65550 TBH65549:TBH65550 TLD65549:TLD65550 TUZ65549:TUZ65550 UEV65549:UEV65550 UOR65549:UOR65550 UYN65549:UYN65550 VIJ65549:VIJ65550 VSF65549:VSF65550 WCB65549:WCB65550 WLX65549:WLX65550 WVT65549:WVT65550 L131085:L131086 JH131085:JH131086 TD131085:TD131086 ACZ131085:ACZ131086 AMV131085:AMV131086 AWR131085:AWR131086 BGN131085:BGN131086 BQJ131085:BQJ131086 CAF131085:CAF131086 CKB131085:CKB131086 CTX131085:CTX131086 DDT131085:DDT131086 DNP131085:DNP131086 DXL131085:DXL131086 EHH131085:EHH131086 ERD131085:ERD131086 FAZ131085:FAZ131086 FKV131085:FKV131086 FUR131085:FUR131086 GEN131085:GEN131086 GOJ131085:GOJ131086 GYF131085:GYF131086 HIB131085:HIB131086 HRX131085:HRX131086 IBT131085:IBT131086 ILP131085:ILP131086 IVL131085:IVL131086 JFH131085:JFH131086 JPD131085:JPD131086 JYZ131085:JYZ131086 KIV131085:KIV131086 KSR131085:KSR131086 LCN131085:LCN131086 LMJ131085:LMJ131086 LWF131085:LWF131086 MGB131085:MGB131086 MPX131085:MPX131086 MZT131085:MZT131086 NJP131085:NJP131086 NTL131085:NTL131086 ODH131085:ODH131086 OND131085:OND131086 OWZ131085:OWZ131086 PGV131085:PGV131086 PQR131085:PQR131086 QAN131085:QAN131086 QKJ131085:QKJ131086 QUF131085:QUF131086 REB131085:REB131086 RNX131085:RNX131086 RXT131085:RXT131086 SHP131085:SHP131086 SRL131085:SRL131086 TBH131085:TBH131086 TLD131085:TLD131086 TUZ131085:TUZ131086 UEV131085:UEV131086 UOR131085:UOR131086 UYN131085:UYN131086 VIJ131085:VIJ131086 VSF131085:VSF131086 WCB131085:WCB131086 WLX131085:WLX131086 WVT131085:WVT131086 L196621:L196622 JH196621:JH196622 TD196621:TD196622 ACZ196621:ACZ196622 AMV196621:AMV196622 AWR196621:AWR196622 BGN196621:BGN196622 BQJ196621:BQJ196622 CAF196621:CAF196622 CKB196621:CKB196622 CTX196621:CTX196622 DDT196621:DDT196622 DNP196621:DNP196622 DXL196621:DXL196622 EHH196621:EHH196622 ERD196621:ERD196622 FAZ196621:FAZ196622 FKV196621:FKV196622 FUR196621:FUR196622 GEN196621:GEN196622 GOJ196621:GOJ196622 GYF196621:GYF196622 HIB196621:HIB196622 HRX196621:HRX196622 IBT196621:IBT196622 ILP196621:ILP196622 IVL196621:IVL196622 JFH196621:JFH196622 JPD196621:JPD196622 JYZ196621:JYZ196622 KIV196621:KIV196622 KSR196621:KSR196622 LCN196621:LCN196622 LMJ196621:LMJ196622 LWF196621:LWF196622 MGB196621:MGB196622 MPX196621:MPX196622 MZT196621:MZT196622 NJP196621:NJP196622 NTL196621:NTL196622 ODH196621:ODH196622 OND196621:OND196622 OWZ196621:OWZ196622 PGV196621:PGV196622 PQR196621:PQR196622 QAN196621:QAN196622 QKJ196621:QKJ196622 QUF196621:QUF196622 REB196621:REB196622 RNX196621:RNX196622 RXT196621:RXT196622 SHP196621:SHP196622 SRL196621:SRL196622 TBH196621:TBH196622 TLD196621:TLD196622 TUZ196621:TUZ196622 UEV196621:UEV196622 UOR196621:UOR196622 UYN196621:UYN196622 VIJ196621:VIJ196622 VSF196621:VSF196622 WCB196621:WCB196622 WLX196621:WLX196622 WVT196621:WVT196622 L262157:L262158 JH262157:JH262158 TD262157:TD262158 ACZ262157:ACZ262158 AMV262157:AMV262158 AWR262157:AWR262158 BGN262157:BGN262158 BQJ262157:BQJ262158 CAF262157:CAF262158 CKB262157:CKB262158 CTX262157:CTX262158 DDT262157:DDT262158 DNP262157:DNP262158 DXL262157:DXL262158 EHH262157:EHH262158 ERD262157:ERD262158 FAZ262157:FAZ262158 FKV262157:FKV262158 FUR262157:FUR262158 GEN262157:GEN262158 GOJ262157:GOJ262158 GYF262157:GYF262158 HIB262157:HIB262158 HRX262157:HRX262158 IBT262157:IBT262158 ILP262157:ILP262158 IVL262157:IVL262158 JFH262157:JFH262158 JPD262157:JPD262158 JYZ262157:JYZ262158 KIV262157:KIV262158 KSR262157:KSR262158 LCN262157:LCN262158 LMJ262157:LMJ262158 LWF262157:LWF262158 MGB262157:MGB262158 MPX262157:MPX262158 MZT262157:MZT262158 NJP262157:NJP262158 NTL262157:NTL262158 ODH262157:ODH262158 OND262157:OND262158 OWZ262157:OWZ262158 PGV262157:PGV262158 PQR262157:PQR262158 QAN262157:QAN262158 QKJ262157:QKJ262158 QUF262157:QUF262158 REB262157:REB262158 RNX262157:RNX262158 RXT262157:RXT262158 SHP262157:SHP262158 SRL262157:SRL262158 TBH262157:TBH262158 TLD262157:TLD262158 TUZ262157:TUZ262158 UEV262157:UEV262158 UOR262157:UOR262158 UYN262157:UYN262158 VIJ262157:VIJ262158 VSF262157:VSF262158 WCB262157:WCB262158 WLX262157:WLX262158 WVT262157:WVT262158 L327693:L327694 JH327693:JH327694 TD327693:TD327694 ACZ327693:ACZ327694 AMV327693:AMV327694 AWR327693:AWR327694 BGN327693:BGN327694 BQJ327693:BQJ327694 CAF327693:CAF327694 CKB327693:CKB327694 CTX327693:CTX327694 DDT327693:DDT327694 DNP327693:DNP327694 DXL327693:DXL327694 EHH327693:EHH327694 ERD327693:ERD327694 FAZ327693:FAZ327694 FKV327693:FKV327694 FUR327693:FUR327694 GEN327693:GEN327694 GOJ327693:GOJ327694 GYF327693:GYF327694 HIB327693:HIB327694 HRX327693:HRX327694 IBT327693:IBT327694 ILP327693:ILP327694 IVL327693:IVL327694 JFH327693:JFH327694 JPD327693:JPD327694 JYZ327693:JYZ327694 KIV327693:KIV327694 KSR327693:KSR327694 LCN327693:LCN327694 LMJ327693:LMJ327694 LWF327693:LWF327694 MGB327693:MGB327694 MPX327693:MPX327694 MZT327693:MZT327694 NJP327693:NJP327694 NTL327693:NTL327694 ODH327693:ODH327694 OND327693:OND327694 OWZ327693:OWZ327694 PGV327693:PGV327694 PQR327693:PQR327694 QAN327693:QAN327694 QKJ327693:QKJ327694 QUF327693:QUF327694 REB327693:REB327694 RNX327693:RNX327694 RXT327693:RXT327694 SHP327693:SHP327694 SRL327693:SRL327694 TBH327693:TBH327694 TLD327693:TLD327694 TUZ327693:TUZ327694 UEV327693:UEV327694 UOR327693:UOR327694 UYN327693:UYN327694 VIJ327693:VIJ327694 VSF327693:VSF327694 WCB327693:WCB327694 WLX327693:WLX327694 WVT327693:WVT327694 L393229:L393230 JH393229:JH393230 TD393229:TD393230 ACZ393229:ACZ393230 AMV393229:AMV393230 AWR393229:AWR393230 BGN393229:BGN393230 BQJ393229:BQJ393230 CAF393229:CAF393230 CKB393229:CKB393230 CTX393229:CTX393230 DDT393229:DDT393230 DNP393229:DNP393230 DXL393229:DXL393230 EHH393229:EHH393230 ERD393229:ERD393230 FAZ393229:FAZ393230 FKV393229:FKV393230 FUR393229:FUR393230 GEN393229:GEN393230 GOJ393229:GOJ393230 GYF393229:GYF393230 HIB393229:HIB393230 HRX393229:HRX393230 IBT393229:IBT393230 ILP393229:ILP393230 IVL393229:IVL393230 JFH393229:JFH393230 JPD393229:JPD393230 JYZ393229:JYZ393230 KIV393229:KIV393230 KSR393229:KSR393230 LCN393229:LCN393230 LMJ393229:LMJ393230 LWF393229:LWF393230 MGB393229:MGB393230 MPX393229:MPX393230 MZT393229:MZT393230 NJP393229:NJP393230 NTL393229:NTL393230 ODH393229:ODH393230 OND393229:OND393230 OWZ393229:OWZ393230 PGV393229:PGV393230 PQR393229:PQR393230 QAN393229:QAN393230 QKJ393229:QKJ393230 QUF393229:QUF393230 REB393229:REB393230 RNX393229:RNX393230 RXT393229:RXT393230 SHP393229:SHP393230 SRL393229:SRL393230 TBH393229:TBH393230 TLD393229:TLD393230 TUZ393229:TUZ393230 UEV393229:UEV393230 UOR393229:UOR393230 UYN393229:UYN393230 VIJ393229:VIJ393230 VSF393229:VSF393230 WCB393229:WCB393230 WLX393229:WLX393230 WVT393229:WVT393230 L458765:L458766 JH458765:JH458766 TD458765:TD458766 ACZ458765:ACZ458766 AMV458765:AMV458766 AWR458765:AWR458766 BGN458765:BGN458766 BQJ458765:BQJ458766 CAF458765:CAF458766 CKB458765:CKB458766 CTX458765:CTX458766 DDT458765:DDT458766 DNP458765:DNP458766 DXL458765:DXL458766 EHH458765:EHH458766 ERD458765:ERD458766 FAZ458765:FAZ458766 FKV458765:FKV458766 FUR458765:FUR458766 GEN458765:GEN458766 GOJ458765:GOJ458766 GYF458765:GYF458766 HIB458765:HIB458766 HRX458765:HRX458766 IBT458765:IBT458766 ILP458765:ILP458766 IVL458765:IVL458766 JFH458765:JFH458766 JPD458765:JPD458766 JYZ458765:JYZ458766 KIV458765:KIV458766 KSR458765:KSR458766 LCN458765:LCN458766 LMJ458765:LMJ458766 LWF458765:LWF458766 MGB458765:MGB458766 MPX458765:MPX458766 MZT458765:MZT458766 NJP458765:NJP458766 NTL458765:NTL458766 ODH458765:ODH458766 OND458765:OND458766 OWZ458765:OWZ458766 PGV458765:PGV458766 PQR458765:PQR458766 QAN458765:QAN458766 QKJ458765:QKJ458766 QUF458765:QUF458766 REB458765:REB458766 RNX458765:RNX458766 RXT458765:RXT458766 SHP458765:SHP458766 SRL458765:SRL458766 TBH458765:TBH458766 TLD458765:TLD458766 TUZ458765:TUZ458766 UEV458765:UEV458766 UOR458765:UOR458766 UYN458765:UYN458766 VIJ458765:VIJ458766 VSF458765:VSF458766 WCB458765:WCB458766 WLX458765:WLX458766 WVT458765:WVT458766 L524301:L524302 JH524301:JH524302 TD524301:TD524302 ACZ524301:ACZ524302 AMV524301:AMV524302 AWR524301:AWR524302 BGN524301:BGN524302 BQJ524301:BQJ524302 CAF524301:CAF524302 CKB524301:CKB524302 CTX524301:CTX524302 DDT524301:DDT524302 DNP524301:DNP524302 DXL524301:DXL524302 EHH524301:EHH524302 ERD524301:ERD524302 FAZ524301:FAZ524302 FKV524301:FKV524302 FUR524301:FUR524302 GEN524301:GEN524302 GOJ524301:GOJ524302 GYF524301:GYF524302 HIB524301:HIB524302 HRX524301:HRX524302 IBT524301:IBT524302 ILP524301:ILP524302 IVL524301:IVL524302 JFH524301:JFH524302 JPD524301:JPD524302 JYZ524301:JYZ524302 KIV524301:KIV524302 KSR524301:KSR524302 LCN524301:LCN524302 LMJ524301:LMJ524302 LWF524301:LWF524302 MGB524301:MGB524302 MPX524301:MPX524302 MZT524301:MZT524302 NJP524301:NJP524302 NTL524301:NTL524302 ODH524301:ODH524302 OND524301:OND524302 OWZ524301:OWZ524302 PGV524301:PGV524302 PQR524301:PQR524302 QAN524301:QAN524302 QKJ524301:QKJ524302 QUF524301:QUF524302 REB524301:REB524302 RNX524301:RNX524302 RXT524301:RXT524302 SHP524301:SHP524302 SRL524301:SRL524302 TBH524301:TBH524302 TLD524301:TLD524302 TUZ524301:TUZ524302 UEV524301:UEV524302 UOR524301:UOR524302 UYN524301:UYN524302 VIJ524301:VIJ524302 VSF524301:VSF524302 WCB524301:WCB524302 WLX524301:WLX524302 WVT524301:WVT524302 L589837:L589838 JH589837:JH589838 TD589837:TD589838 ACZ589837:ACZ589838 AMV589837:AMV589838 AWR589837:AWR589838 BGN589837:BGN589838 BQJ589837:BQJ589838 CAF589837:CAF589838 CKB589837:CKB589838 CTX589837:CTX589838 DDT589837:DDT589838 DNP589837:DNP589838 DXL589837:DXL589838 EHH589837:EHH589838 ERD589837:ERD589838 FAZ589837:FAZ589838 FKV589837:FKV589838 FUR589837:FUR589838 GEN589837:GEN589838 GOJ589837:GOJ589838 GYF589837:GYF589838 HIB589837:HIB589838 HRX589837:HRX589838 IBT589837:IBT589838 ILP589837:ILP589838 IVL589837:IVL589838 JFH589837:JFH589838 JPD589837:JPD589838 JYZ589837:JYZ589838 KIV589837:KIV589838 KSR589837:KSR589838 LCN589837:LCN589838 LMJ589837:LMJ589838 LWF589837:LWF589838 MGB589837:MGB589838 MPX589837:MPX589838 MZT589837:MZT589838 NJP589837:NJP589838 NTL589837:NTL589838 ODH589837:ODH589838 OND589837:OND589838 OWZ589837:OWZ589838 PGV589837:PGV589838 PQR589837:PQR589838 QAN589837:QAN589838 QKJ589837:QKJ589838 QUF589837:QUF589838 REB589837:REB589838 RNX589837:RNX589838 RXT589837:RXT589838 SHP589837:SHP589838 SRL589837:SRL589838 TBH589837:TBH589838 TLD589837:TLD589838 TUZ589837:TUZ589838 UEV589837:UEV589838 UOR589837:UOR589838 UYN589837:UYN589838 VIJ589837:VIJ589838 VSF589837:VSF589838 WCB589837:WCB589838 WLX589837:WLX589838 WVT589837:WVT589838 L655373:L655374 JH655373:JH655374 TD655373:TD655374 ACZ655373:ACZ655374 AMV655373:AMV655374 AWR655373:AWR655374 BGN655373:BGN655374 BQJ655373:BQJ655374 CAF655373:CAF655374 CKB655373:CKB655374 CTX655373:CTX655374 DDT655373:DDT655374 DNP655373:DNP655374 DXL655373:DXL655374 EHH655373:EHH655374 ERD655373:ERD655374 FAZ655373:FAZ655374 FKV655373:FKV655374 FUR655373:FUR655374 GEN655373:GEN655374 GOJ655373:GOJ655374 GYF655373:GYF655374 HIB655373:HIB655374 HRX655373:HRX655374 IBT655373:IBT655374 ILP655373:ILP655374 IVL655373:IVL655374 JFH655373:JFH655374 JPD655373:JPD655374 JYZ655373:JYZ655374 KIV655373:KIV655374 KSR655373:KSR655374 LCN655373:LCN655374 LMJ655373:LMJ655374 LWF655373:LWF655374 MGB655373:MGB655374 MPX655373:MPX655374 MZT655373:MZT655374 NJP655373:NJP655374 NTL655373:NTL655374 ODH655373:ODH655374 OND655373:OND655374 OWZ655373:OWZ655374 PGV655373:PGV655374 PQR655373:PQR655374 QAN655373:QAN655374 QKJ655373:QKJ655374 QUF655373:QUF655374 REB655373:REB655374 RNX655373:RNX655374 RXT655373:RXT655374 SHP655373:SHP655374 SRL655373:SRL655374 TBH655373:TBH655374 TLD655373:TLD655374 TUZ655373:TUZ655374 UEV655373:UEV655374 UOR655373:UOR655374 UYN655373:UYN655374 VIJ655373:VIJ655374 VSF655373:VSF655374 WCB655373:WCB655374 WLX655373:WLX655374 WVT655373:WVT655374 L720909:L720910 JH720909:JH720910 TD720909:TD720910 ACZ720909:ACZ720910 AMV720909:AMV720910 AWR720909:AWR720910 BGN720909:BGN720910 BQJ720909:BQJ720910 CAF720909:CAF720910 CKB720909:CKB720910 CTX720909:CTX720910 DDT720909:DDT720910 DNP720909:DNP720910 DXL720909:DXL720910 EHH720909:EHH720910 ERD720909:ERD720910 FAZ720909:FAZ720910 FKV720909:FKV720910 FUR720909:FUR720910 GEN720909:GEN720910 GOJ720909:GOJ720910 GYF720909:GYF720910 HIB720909:HIB720910 HRX720909:HRX720910 IBT720909:IBT720910 ILP720909:ILP720910 IVL720909:IVL720910 JFH720909:JFH720910 JPD720909:JPD720910 JYZ720909:JYZ720910 KIV720909:KIV720910 KSR720909:KSR720910 LCN720909:LCN720910 LMJ720909:LMJ720910 LWF720909:LWF720910 MGB720909:MGB720910 MPX720909:MPX720910 MZT720909:MZT720910 NJP720909:NJP720910 NTL720909:NTL720910 ODH720909:ODH720910 OND720909:OND720910 OWZ720909:OWZ720910 PGV720909:PGV720910 PQR720909:PQR720910 QAN720909:QAN720910 QKJ720909:QKJ720910 QUF720909:QUF720910 REB720909:REB720910 RNX720909:RNX720910 RXT720909:RXT720910 SHP720909:SHP720910 SRL720909:SRL720910 TBH720909:TBH720910 TLD720909:TLD720910 TUZ720909:TUZ720910 UEV720909:UEV720910 UOR720909:UOR720910 UYN720909:UYN720910 VIJ720909:VIJ720910 VSF720909:VSF720910 WCB720909:WCB720910 WLX720909:WLX720910 WVT720909:WVT720910 L786445:L786446 JH786445:JH786446 TD786445:TD786446 ACZ786445:ACZ786446 AMV786445:AMV786446 AWR786445:AWR786446 BGN786445:BGN786446 BQJ786445:BQJ786446 CAF786445:CAF786446 CKB786445:CKB786446 CTX786445:CTX786446 DDT786445:DDT786446 DNP786445:DNP786446 DXL786445:DXL786446 EHH786445:EHH786446 ERD786445:ERD786446 FAZ786445:FAZ786446 FKV786445:FKV786446 FUR786445:FUR786446 GEN786445:GEN786446 GOJ786445:GOJ786446 GYF786445:GYF786446 HIB786445:HIB786446 HRX786445:HRX786446 IBT786445:IBT786446 ILP786445:ILP786446 IVL786445:IVL786446 JFH786445:JFH786446 JPD786445:JPD786446 JYZ786445:JYZ786446 KIV786445:KIV786446 KSR786445:KSR786446 LCN786445:LCN786446 LMJ786445:LMJ786446 LWF786445:LWF786446 MGB786445:MGB786446 MPX786445:MPX786446 MZT786445:MZT786446 NJP786445:NJP786446 NTL786445:NTL786446 ODH786445:ODH786446 OND786445:OND786446 OWZ786445:OWZ786446 PGV786445:PGV786446 PQR786445:PQR786446 QAN786445:QAN786446 QKJ786445:QKJ786446 QUF786445:QUF786446 REB786445:REB786446 RNX786445:RNX786446 RXT786445:RXT786446 SHP786445:SHP786446 SRL786445:SRL786446 TBH786445:TBH786446 TLD786445:TLD786446 TUZ786445:TUZ786446 UEV786445:UEV786446 UOR786445:UOR786446 UYN786445:UYN786446 VIJ786445:VIJ786446 VSF786445:VSF786446 WCB786445:WCB786446 WLX786445:WLX786446 WVT786445:WVT786446 L851981:L851982 JH851981:JH851982 TD851981:TD851982 ACZ851981:ACZ851982 AMV851981:AMV851982 AWR851981:AWR851982 BGN851981:BGN851982 BQJ851981:BQJ851982 CAF851981:CAF851982 CKB851981:CKB851982 CTX851981:CTX851982 DDT851981:DDT851982 DNP851981:DNP851982 DXL851981:DXL851982 EHH851981:EHH851982 ERD851981:ERD851982 FAZ851981:FAZ851982 FKV851981:FKV851982 FUR851981:FUR851982 GEN851981:GEN851982 GOJ851981:GOJ851982 GYF851981:GYF851982 HIB851981:HIB851982 HRX851981:HRX851982 IBT851981:IBT851982 ILP851981:ILP851982 IVL851981:IVL851982 JFH851981:JFH851982 JPD851981:JPD851982 JYZ851981:JYZ851982 KIV851981:KIV851982 KSR851981:KSR851982 LCN851981:LCN851982 LMJ851981:LMJ851982 LWF851981:LWF851982 MGB851981:MGB851982 MPX851981:MPX851982 MZT851981:MZT851982 NJP851981:NJP851982 NTL851981:NTL851982 ODH851981:ODH851982 OND851981:OND851982 OWZ851981:OWZ851982 PGV851981:PGV851982 PQR851981:PQR851982 QAN851981:QAN851982 QKJ851981:QKJ851982 QUF851981:QUF851982 REB851981:REB851982 RNX851981:RNX851982 RXT851981:RXT851982 SHP851981:SHP851982 SRL851981:SRL851982 TBH851981:TBH851982 TLD851981:TLD851982 TUZ851981:TUZ851982 UEV851981:UEV851982 UOR851981:UOR851982 UYN851981:UYN851982 VIJ851981:VIJ851982 VSF851981:VSF851982 WCB851981:WCB851982 WLX851981:WLX851982 WVT851981:WVT851982 L917517:L917518 JH917517:JH917518 TD917517:TD917518 ACZ917517:ACZ917518 AMV917517:AMV917518 AWR917517:AWR917518 BGN917517:BGN917518 BQJ917517:BQJ917518 CAF917517:CAF917518 CKB917517:CKB917518 CTX917517:CTX917518 DDT917517:DDT917518 DNP917517:DNP917518 DXL917517:DXL917518 EHH917517:EHH917518 ERD917517:ERD917518 FAZ917517:FAZ917518 FKV917517:FKV917518 FUR917517:FUR917518 GEN917517:GEN917518 GOJ917517:GOJ917518 GYF917517:GYF917518 HIB917517:HIB917518 HRX917517:HRX917518 IBT917517:IBT917518 ILP917517:ILP917518 IVL917517:IVL917518 JFH917517:JFH917518 JPD917517:JPD917518 JYZ917517:JYZ917518 KIV917517:KIV917518 KSR917517:KSR917518 LCN917517:LCN917518 LMJ917517:LMJ917518 LWF917517:LWF917518 MGB917517:MGB917518 MPX917517:MPX917518 MZT917517:MZT917518 NJP917517:NJP917518 NTL917517:NTL917518 ODH917517:ODH917518 OND917517:OND917518 OWZ917517:OWZ917518 PGV917517:PGV917518 PQR917517:PQR917518 QAN917517:QAN917518 QKJ917517:QKJ917518 QUF917517:QUF917518 REB917517:REB917518 RNX917517:RNX917518 RXT917517:RXT917518 SHP917517:SHP917518 SRL917517:SRL917518 TBH917517:TBH917518 TLD917517:TLD917518 TUZ917517:TUZ917518 UEV917517:UEV917518 UOR917517:UOR917518 UYN917517:UYN917518 VIJ917517:VIJ917518 VSF917517:VSF917518 WCB917517:WCB917518 WLX917517:WLX917518 WVT917517:WVT917518 L983053:L983054 JH983053:JH983054 TD983053:TD983054 ACZ983053:ACZ983054 AMV983053:AMV983054 AWR983053:AWR983054 BGN983053:BGN983054 BQJ983053:BQJ983054 CAF983053:CAF983054 CKB983053:CKB983054 CTX983053:CTX983054 DDT983053:DDT983054 DNP983053:DNP983054 DXL983053:DXL983054 EHH983053:EHH983054 ERD983053:ERD983054 FAZ983053:FAZ983054 FKV983053:FKV983054 FUR983053:FUR983054 GEN983053:GEN983054 GOJ983053:GOJ983054 GYF983053:GYF983054 HIB983053:HIB983054 HRX983053:HRX983054 IBT983053:IBT983054 ILP983053:ILP983054 IVL983053:IVL983054 JFH983053:JFH983054 JPD983053:JPD983054 JYZ983053:JYZ983054 KIV983053:KIV983054 KSR983053:KSR983054 LCN983053:LCN983054 LMJ983053:LMJ983054 LWF983053:LWF983054 MGB983053:MGB983054 MPX983053:MPX983054 MZT983053:MZT983054 NJP983053:NJP983054 NTL983053:NTL983054 ODH983053:ODH983054 OND983053:OND983054 OWZ983053:OWZ983054 PGV983053:PGV983054 PQR983053:PQR983054 QAN983053:QAN983054 QKJ983053:QKJ983054 QUF983053:QUF983054 REB983053:REB983054 RNX983053:RNX983054 RXT983053:RXT983054 SHP983053:SHP983054 SRL983053:SRL983054 TBH983053:TBH983054 TLD983053:TLD983054 TUZ983053:TUZ983054 UEV983053:UEV983054 UOR983053:UOR983054 UYN983053:UYN983054 VIJ983053:VIJ983054 VSF983053:VSF983054 WCB983053:WCB983054 WLX983053:WLX983054 WVT983053:WVT983054">
      <formula1>1</formula1>
      <formula2>12</formula2>
    </dataValidation>
  </dataValidations>
  <printOptions horizontalCentered="1"/>
  <pageMargins left="0.78740157480314965" right="0.78740157480314965" top="0.78740157480314965" bottom="0.78740157480314965" header="0.51181102362204722" footer="0.51181102362204722"/>
  <pageSetup paperSize="9"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pageSetUpPr fitToPage="1"/>
  </sheetPr>
  <dimension ref="A1:X107"/>
  <sheetViews>
    <sheetView showGridLines="0" workbookViewId="0">
      <pane ySplit="5" topLeftCell="A6" activePane="bottomLeft" state="frozen"/>
      <selection activeCell="I22" sqref="I22"/>
      <selection pane="bottomLeft" activeCell="B9" sqref="B9"/>
    </sheetView>
  </sheetViews>
  <sheetFormatPr defaultRowHeight="13.5" zeroHeight="1"/>
  <cols>
    <col min="1" max="1" width="13.5" style="90" bestFit="1" customWidth="1"/>
    <col min="2" max="2" width="32.375" style="90" customWidth="1"/>
    <col min="3" max="3" width="14.125" style="90" bestFit="1" customWidth="1"/>
    <col min="4" max="4" width="39" style="90" bestFit="1" customWidth="1"/>
    <col min="5" max="5" width="25.875" style="90" bestFit="1" customWidth="1"/>
    <col min="6" max="6" width="3.125" style="89" customWidth="1"/>
    <col min="7" max="24" width="9" style="89"/>
    <col min="25" max="16384" width="9" style="90"/>
  </cols>
  <sheetData>
    <row r="1" spans="1:24" s="87" customFormat="1">
      <c r="A1" s="85" t="s">
        <v>0</v>
      </c>
      <c r="B1" s="85" t="s">
        <v>274</v>
      </c>
      <c r="C1" s="85" t="s">
        <v>1</v>
      </c>
      <c r="D1" s="85" t="s">
        <v>2</v>
      </c>
      <c r="E1" s="324" t="s">
        <v>394</v>
      </c>
      <c r="F1" s="86"/>
      <c r="G1" s="86"/>
      <c r="H1" s="86"/>
      <c r="I1" s="86"/>
      <c r="J1" s="86"/>
      <c r="K1" s="86"/>
      <c r="L1" s="86"/>
      <c r="M1" s="86"/>
      <c r="N1" s="86"/>
      <c r="O1" s="86"/>
      <c r="P1" s="86"/>
      <c r="Q1" s="86"/>
      <c r="R1" s="86"/>
      <c r="S1" s="86"/>
      <c r="T1" s="86"/>
      <c r="U1" s="86"/>
      <c r="V1" s="86"/>
      <c r="W1" s="86"/>
      <c r="X1" s="86"/>
    </row>
    <row r="2" spans="1:24">
      <c r="A2" s="416" t="s">
        <v>439</v>
      </c>
      <c r="B2" s="88" t="s">
        <v>440</v>
      </c>
      <c r="C2" s="270" t="s">
        <v>441</v>
      </c>
      <c r="D2" s="377" t="s">
        <v>442</v>
      </c>
      <c r="E2" s="378">
        <v>1</v>
      </c>
    </row>
    <row r="3" spans="1:24" ht="9.75" customHeight="1">
      <c r="A3" s="417"/>
      <c r="B3" s="417"/>
      <c r="C3" s="417"/>
      <c r="D3" s="417"/>
      <c r="E3" s="417"/>
    </row>
    <row r="4" spans="1:24">
      <c r="A4" s="417" t="s">
        <v>3</v>
      </c>
      <c r="B4" s="417"/>
      <c r="C4" s="417"/>
      <c r="D4" s="417"/>
      <c r="E4" s="417"/>
    </row>
    <row r="5" spans="1:24" ht="21.95" customHeight="1">
      <c r="A5" s="91" t="s">
        <v>4</v>
      </c>
      <c r="B5" s="85" t="s">
        <v>5</v>
      </c>
      <c r="C5" s="85" t="s">
        <v>6</v>
      </c>
      <c r="D5" s="92" t="s">
        <v>7</v>
      </c>
      <c r="E5" s="85" t="s">
        <v>8</v>
      </c>
    </row>
    <row r="6" spans="1:24" ht="24" customHeight="1">
      <c r="A6" s="474" t="s">
        <v>443</v>
      </c>
      <c r="B6" s="369" t="s">
        <v>444</v>
      </c>
      <c r="C6" s="369" t="s">
        <v>445</v>
      </c>
      <c r="D6" s="370" t="s">
        <v>446</v>
      </c>
      <c r="E6" s="371"/>
    </row>
    <row r="7" spans="1:24" ht="24" customHeight="1">
      <c r="A7" s="374" t="s">
        <v>447</v>
      </c>
      <c r="B7" s="372" t="s">
        <v>448</v>
      </c>
      <c r="C7" s="372" t="s">
        <v>449</v>
      </c>
      <c r="D7" s="373" t="s">
        <v>450</v>
      </c>
      <c r="E7" s="372" t="s">
        <v>451</v>
      </c>
    </row>
    <row r="8" spans="1:24" ht="24" customHeight="1">
      <c r="A8" s="374" t="s">
        <v>452</v>
      </c>
      <c r="B8" s="372" t="s">
        <v>453</v>
      </c>
      <c r="C8" s="372" t="s">
        <v>454</v>
      </c>
      <c r="D8" s="373" t="s">
        <v>455</v>
      </c>
      <c r="E8" s="372"/>
    </row>
    <row r="9" spans="1:24" ht="24" customHeight="1">
      <c r="A9" s="374" t="s">
        <v>456</v>
      </c>
      <c r="B9" s="372" t="s">
        <v>457</v>
      </c>
      <c r="C9" s="372" t="s">
        <v>223</v>
      </c>
      <c r="D9" s="373" t="s">
        <v>458</v>
      </c>
      <c r="E9" s="372"/>
    </row>
    <row r="10" spans="1:24" ht="24" customHeight="1">
      <c r="A10" s="374" t="s">
        <v>459</v>
      </c>
      <c r="B10" s="372" t="s">
        <v>460</v>
      </c>
      <c r="C10" s="372" t="s">
        <v>461</v>
      </c>
      <c r="D10" s="373" t="s">
        <v>462</v>
      </c>
      <c r="E10" s="372" t="s">
        <v>463</v>
      </c>
    </row>
    <row r="11" spans="1:24" ht="24" customHeight="1">
      <c r="A11" s="374" t="s">
        <v>464</v>
      </c>
      <c r="B11" s="372" t="s">
        <v>465</v>
      </c>
      <c r="C11" s="372" t="s">
        <v>466</v>
      </c>
      <c r="D11" s="373" t="s">
        <v>467</v>
      </c>
      <c r="E11" s="372" t="s">
        <v>468</v>
      </c>
    </row>
    <row r="12" spans="1:24" ht="24" customHeight="1">
      <c r="A12" s="374" t="s">
        <v>469</v>
      </c>
      <c r="B12" s="372" t="s">
        <v>470</v>
      </c>
      <c r="C12" s="372" t="s">
        <v>471</v>
      </c>
      <c r="D12" s="373" t="s">
        <v>472</v>
      </c>
      <c r="E12" s="372" t="s">
        <v>468</v>
      </c>
    </row>
    <row r="13" spans="1:24" ht="24" customHeight="1">
      <c r="A13" s="374" t="s">
        <v>473</v>
      </c>
      <c r="B13" s="372" t="s">
        <v>465</v>
      </c>
      <c r="C13" s="372" t="s">
        <v>474</v>
      </c>
      <c r="D13" s="373" t="s">
        <v>467</v>
      </c>
      <c r="E13" s="372" t="s">
        <v>468</v>
      </c>
    </row>
    <row r="14" spans="1:24" ht="24" customHeight="1">
      <c r="A14" s="374" t="s">
        <v>475</v>
      </c>
      <c r="B14" s="372" t="s">
        <v>476</v>
      </c>
      <c r="C14" s="372" t="s">
        <v>471</v>
      </c>
      <c r="D14" s="373" t="s">
        <v>455</v>
      </c>
      <c r="E14" s="372" t="s">
        <v>468</v>
      </c>
    </row>
    <row r="15" spans="1:24" ht="24" customHeight="1">
      <c r="A15" s="374" t="s">
        <v>477</v>
      </c>
      <c r="B15" s="372" t="s">
        <v>470</v>
      </c>
      <c r="C15" s="372" t="s">
        <v>478</v>
      </c>
      <c r="D15" s="373" t="s">
        <v>472</v>
      </c>
      <c r="E15" s="372" t="s">
        <v>468</v>
      </c>
    </row>
    <row r="16" spans="1:24" ht="24" customHeight="1">
      <c r="A16" s="374" t="s">
        <v>479</v>
      </c>
      <c r="B16" s="372" t="s">
        <v>465</v>
      </c>
      <c r="C16" s="372" t="s">
        <v>480</v>
      </c>
      <c r="D16" s="373" t="s">
        <v>467</v>
      </c>
      <c r="E16" s="372" t="s">
        <v>468</v>
      </c>
    </row>
    <row r="17" spans="1:5" ht="24" customHeight="1">
      <c r="A17" s="374" t="s">
        <v>481</v>
      </c>
      <c r="B17" s="372" t="s">
        <v>476</v>
      </c>
      <c r="C17" s="372" t="s">
        <v>478</v>
      </c>
      <c r="D17" s="373" t="s">
        <v>455</v>
      </c>
      <c r="E17" s="372" t="s">
        <v>468</v>
      </c>
    </row>
    <row r="18" spans="1:5" ht="24" customHeight="1">
      <c r="A18" s="374" t="s">
        <v>482</v>
      </c>
      <c r="B18" s="372" t="s">
        <v>470</v>
      </c>
      <c r="C18" s="372" t="s">
        <v>483</v>
      </c>
      <c r="D18" s="373" t="s">
        <v>472</v>
      </c>
      <c r="E18" s="372" t="s">
        <v>468</v>
      </c>
    </row>
    <row r="19" spans="1:5" ht="24" customHeight="1">
      <c r="A19" s="374" t="s">
        <v>484</v>
      </c>
      <c r="B19" s="372" t="s">
        <v>465</v>
      </c>
      <c r="C19" s="372" t="s">
        <v>485</v>
      </c>
      <c r="D19" s="373" t="s">
        <v>467</v>
      </c>
      <c r="E19" s="372" t="s">
        <v>468</v>
      </c>
    </row>
    <row r="20" spans="1:5" ht="24" customHeight="1">
      <c r="A20" s="374" t="s">
        <v>486</v>
      </c>
      <c r="B20" s="372" t="s">
        <v>476</v>
      </c>
      <c r="C20" s="372" t="s">
        <v>483</v>
      </c>
      <c r="D20" s="373" t="s">
        <v>455</v>
      </c>
      <c r="E20" s="372" t="s">
        <v>468</v>
      </c>
    </row>
    <row r="21" spans="1:5" ht="24" customHeight="1">
      <c r="A21" s="374" t="s">
        <v>487</v>
      </c>
      <c r="B21" s="372" t="s">
        <v>470</v>
      </c>
      <c r="C21" s="372" t="s">
        <v>488</v>
      </c>
      <c r="D21" s="373" t="s">
        <v>472</v>
      </c>
      <c r="E21" s="372" t="s">
        <v>468</v>
      </c>
    </row>
    <row r="22" spans="1:5" ht="24" customHeight="1">
      <c r="A22" s="374" t="s">
        <v>489</v>
      </c>
      <c r="B22" s="372" t="s">
        <v>465</v>
      </c>
      <c r="C22" s="372" t="s">
        <v>490</v>
      </c>
      <c r="D22" s="373" t="s">
        <v>467</v>
      </c>
      <c r="E22" s="372" t="s">
        <v>468</v>
      </c>
    </row>
    <row r="23" spans="1:5" ht="24" customHeight="1">
      <c r="A23" s="374" t="s">
        <v>491</v>
      </c>
      <c r="B23" s="372" t="s">
        <v>470</v>
      </c>
      <c r="C23" s="372" t="s">
        <v>245</v>
      </c>
      <c r="D23" s="373" t="s">
        <v>472</v>
      </c>
      <c r="E23" s="372" t="s">
        <v>468</v>
      </c>
    </row>
    <row r="24" spans="1:5" ht="24" customHeight="1">
      <c r="A24" s="375" t="s">
        <v>492</v>
      </c>
      <c r="B24" s="375" t="s">
        <v>465</v>
      </c>
      <c r="C24" s="375" t="s">
        <v>493</v>
      </c>
      <c r="D24" s="375" t="s">
        <v>467</v>
      </c>
      <c r="E24" s="375" t="s">
        <v>468</v>
      </c>
    </row>
    <row r="25" spans="1:5" ht="24" customHeight="1">
      <c r="A25" s="376" t="s">
        <v>494</v>
      </c>
      <c r="B25" s="376" t="s">
        <v>495</v>
      </c>
      <c r="C25" s="376" t="s">
        <v>247</v>
      </c>
      <c r="D25" s="376" t="s">
        <v>450</v>
      </c>
      <c r="E25" s="376"/>
    </row>
    <row r="26" spans="1:5">
      <c r="A26" s="89"/>
      <c r="B26" s="89"/>
      <c r="C26" s="89"/>
      <c r="D26" s="89"/>
      <c r="E26" s="89"/>
    </row>
    <row r="27" spans="1:5">
      <c r="A27" s="89"/>
      <c r="B27" s="89"/>
      <c r="C27" s="89"/>
      <c r="D27" s="89"/>
      <c r="E27" s="89"/>
    </row>
    <row r="28" spans="1:5">
      <c r="A28" s="89"/>
      <c r="B28" s="89"/>
      <c r="C28" s="89"/>
      <c r="D28" s="89"/>
      <c r="E28" s="89"/>
    </row>
    <row r="29" spans="1:5">
      <c r="A29" s="89"/>
      <c r="B29" s="89"/>
      <c r="C29" s="89"/>
      <c r="D29" s="89"/>
      <c r="E29" s="89"/>
    </row>
    <row r="30" spans="1:5">
      <c r="A30" s="89"/>
      <c r="B30" s="89"/>
      <c r="C30" s="89"/>
      <c r="D30" s="89"/>
      <c r="E30" s="89"/>
    </row>
    <row r="31" spans="1:5">
      <c r="A31" s="89"/>
      <c r="B31" s="89"/>
      <c r="C31" s="89"/>
      <c r="D31" s="89"/>
      <c r="E31" s="89"/>
    </row>
    <row r="32" spans="1:5">
      <c r="A32" s="89"/>
      <c r="B32" s="89"/>
      <c r="C32" s="89"/>
      <c r="D32" s="89"/>
      <c r="E32" s="89"/>
    </row>
    <row r="33" spans="1:5">
      <c r="A33" s="89"/>
      <c r="B33" s="89"/>
      <c r="C33" s="89"/>
      <c r="D33" s="89"/>
      <c r="E33" s="89"/>
    </row>
    <row r="34" spans="1:5">
      <c r="A34" s="89"/>
      <c r="B34" s="89"/>
      <c r="C34" s="89"/>
      <c r="D34" s="89"/>
      <c r="E34" s="89"/>
    </row>
    <row r="35" spans="1:5">
      <c r="A35" s="89"/>
      <c r="B35" s="89"/>
      <c r="C35" s="89"/>
      <c r="D35" s="89"/>
      <c r="E35" s="89"/>
    </row>
    <row r="36" spans="1:5"/>
    <row r="37" spans="1:5"/>
    <row r="38" spans="1:5"/>
    <row r="39" spans="1:5"/>
    <row r="40" spans="1:5"/>
    <row r="41" spans="1:5"/>
    <row r="42" spans="1:5"/>
    <row r="43" spans="1:5"/>
    <row r="44" spans="1:5"/>
    <row r="45" spans="1:5"/>
    <row r="46" spans="1:5"/>
    <row r="47" spans="1:5"/>
    <row r="48" spans="1:5"/>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sheetData>
  <sheetProtection sheet="1" objects="1" scenarios="1" selectLockedCells="1"/>
  <phoneticPr fontId="14"/>
  <printOptions horizontalCentered="1"/>
  <pageMargins left="0.78740157480314965" right="0.78740157480314965" top="1.1811023622047245" bottom="0.39370078740157483" header="0.78740157480314965" footer="0.51181102362204722"/>
  <pageSetup paperSize="9" scale="85" firstPageNumber="0" orientation="landscape" cellComments="asDisplayed" horizontalDpi="4294967293" verticalDpi="300" r:id="rId1"/>
  <headerFooter alignWithMargins="0">
    <oddHeader>&amp;L肉用牛（肥育）春から秋の耕作放棄地経産牛放牧（全域）</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FF00"/>
    <pageSetUpPr fitToPage="1"/>
  </sheetPr>
  <dimension ref="A1:CG129"/>
  <sheetViews>
    <sheetView showGridLines="0" workbookViewId="0">
      <pane xSplit="1" ySplit="4" topLeftCell="B8" activePane="bottomRight" state="frozen"/>
      <selection pane="topRight" activeCell="B1" sqref="B1"/>
      <selection pane="bottomLeft" activeCell="A5" sqref="A5"/>
      <selection pane="bottomRight" activeCell="G5" sqref="G5"/>
    </sheetView>
  </sheetViews>
  <sheetFormatPr defaultRowHeight="12" zeroHeight="1"/>
  <cols>
    <col min="1" max="1" width="3.875" style="97" customWidth="1"/>
    <col min="2" max="2" width="2.875" style="97" customWidth="1"/>
    <col min="3" max="3" width="19.375" style="97" customWidth="1"/>
    <col min="4" max="4" width="27.125" style="97" customWidth="1"/>
    <col min="5" max="5" width="3.625" style="97" customWidth="1"/>
    <col min="6" max="6" width="2.625" style="97" bestFit="1" customWidth="1"/>
    <col min="7" max="8" width="3.375" style="97" customWidth="1"/>
    <col min="9" max="9" width="5.25" style="97" customWidth="1"/>
    <col min="10" max="12" width="12.25" style="97" customWidth="1"/>
    <col min="13" max="13" width="5.75" style="98" customWidth="1"/>
    <col min="14" max="15" width="11.25" style="98" customWidth="1"/>
    <col min="16" max="16" width="11.25" style="159" customWidth="1"/>
    <col min="17" max="19" width="11.25" style="97" customWidth="1"/>
    <col min="20" max="20" width="27.25" style="97" bestFit="1" customWidth="1"/>
    <col min="21" max="21" width="4.5" style="97" customWidth="1"/>
    <col min="22" max="22" width="15.125" style="97" customWidth="1"/>
    <col min="23" max="23" width="11.5" style="97" customWidth="1"/>
    <col min="24" max="24" width="12.125" style="97" customWidth="1"/>
    <col min="25" max="25" width="7.875" style="97" customWidth="1"/>
    <col min="26" max="26" width="8.875" style="97" customWidth="1"/>
    <col min="27" max="27" width="4.875" style="97" customWidth="1"/>
    <col min="28" max="28" width="16.25" style="97" customWidth="1"/>
    <col min="29" max="29" width="11.875" style="97" customWidth="1"/>
    <col min="30" max="30" width="8.25" style="97" customWidth="1"/>
    <col min="31" max="31" width="6.125" style="97" customWidth="1"/>
    <col min="32" max="32" width="6.625" style="97" customWidth="1"/>
    <col min="33" max="33" width="12.5" style="97" customWidth="1"/>
    <col min="34" max="16384" width="9" style="97"/>
  </cols>
  <sheetData>
    <row r="1" spans="1:85" ht="16.5" customHeight="1">
      <c r="A1" s="441" t="s">
        <v>9</v>
      </c>
      <c r="B1" s="93"/>
      <c r="C1" s="93"/>
      <c r="D1" s="94" t="s">
        <v>10</v>
      </c>
      <c r="E1" s="805">
        <f>①技術体系!E2*100</f>
        <v>100</v>
      </c>
      <c r="F1" s="805"/>
      <c r="G1" s="95" t="s">
        <v>11</v>
      </c>
      <c r="H1" s="96"/>
      <c r="I1" s="96"/>
      <c r="J1" s="96"/>
      <c r="P1" s="98"/>
      <c r="Q1" s="99" t="str">
        <f>①技術体系!A2</f>
        <v>放牧牛肉</v>
      </c>
      <c r="U1" s="100"/>
      <c r="V1" s="100"/>
      <c r="W1" s="100"/>
      <c r="X1" s="100"/>
      <c r="Y1" s="100"/>
      <c r="Z1" s="100"/>
      <c r="AA1" s="100"/>
      <c r="AB1" s="100"/>
      <c r="AC1" s="100"/>
      <c r="AD1" s="100"/>
      <c r="AE1" s="100"/>
      <c r="AF1" s="100"/>
      <c r="AG1" s="100"/>
      <c r="AH1" s="100"/>
      <c r="AI1" s="100"/>
      <c r="AJ1" s="100"/>
      <c r="AK1" s="100"/>
      <c r="AL1" s="100"/>
      <c r="AM1" s="100"/>
      <c r="AN1" s="100"/>
      <c r="AO1" s="100"/>
      <c r="AP1" s="100"/>
      <c r="AQ1" s="100"/>
      <c r="AR1" s="100"/>
      <c r="AS1" s="100"/>
      <c r="AT1" s="100"/>
      <c r="AU1" s="100"/>
      <c r="AV1" s="100"/>
      <c r="AW1" s="100"/>
      <c r="AX1" s="100"/>
      <c r="AY1" s="100"/>
      <c r="AZ1" s="100"/>
      <c r="BA1" s="100"/>
      <c r="BB1" s="100"/>
      <c r="BC1" s="100"/>
      <c r="BD1" s="100"/>
      <c r="BE1" s="100"/>
      <c r="BF1" s="100"/>
      <c r="BG1" s="100"/>
      <c r="BH1" s="100"/>
      <c r="BI1" s="100"/>
      <c r="BJ1" s="100"/>
      <c r="BK1" s="100"/>
      <c r="BL1" s="100"/>
      <c r="BM1" s="100"/>
      <c r="BN1" s="100"/>
      <c r="BO1" s="100"/>
      <c r="BP1" s="100"/>
      <c r="BQ1" s="100"/>
      <c r="BR1" s="100"/>
      <c r="BS1" s="100"/>
      <c r="BT1" s="100"/>
      <c r="BU1" s="100"/>
      <c r="BV1" s="100"/>
      <c r="BW1" s="100"/>
      <c r="BX1" s="100"/>
      <c r="BY1" s="100"/>
      <c r="BZ1" s="100"/>
      <c r="CA1" s="100"/>
      <c r="CB1" s="100"/>
      <c r="CC1" s="100"/>
      <c r="CD1" s="100"/>
      <c r="CE1" s="100"/>
      <c r="CF1" s="100"/>
      <c r="CG1" s="100"/>
    </row>
    <row r="2" spans="1:85" ht="18.75" customHeight="1">
      <c r="A2" s="799" t="s">
        <v>12</v>
      </c>
      <c r="B2" s="799"/>
      <c r="C2" s="799"/>
      <c r="D2" s="101" t="s">
        <v>13</v>
      </c>
      <c r="E2" s="806" t="s">
        <v>14</v>
      </c>
      <c r="F2" s="806" t="s">
        <v>15</v>
      </c>
      <c r="G2" s="806" t="s">
        <v>16</v>
      </c>
      <c r="H2" s="798" t="s">
        <v>17</v>
      </c>
      <c r="I2" s="798" t="s">
        <v>18</v>
      </c>
      <c r="J2" s="205" t="s">
        <v>19</v>
      </c>
      <c r="K2" s="205" t="s">
        <v>20</v>
      </c>
      <c r="L2" s="101" t="s">
        <v>21</v>
      </c>
      <c r="M2" s="800" t="s">
        <v>22</v>
      </c>
      <c r="N2" s="801"/>
      <c r="O2" s="801"/>
      <c r="P2" s="801"/>
      <c r="Q2" s="801"/>
      <c r="R2" s="801"/>
      <c r="S2" s="802"/>
      <c r="T2" s="205"/>
      <c r="U2" s="100"/>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c r="AW2" s="100"/>
      <c r="AX2" s="100"/>
      <c r="AY2" s="100"/>
      <c r="AZ2" s="100"/>
      <c r="BA2" s="100"/>
      <c r="BB2" s="100"/>
      <c r="BC2" s="100"/>
      <c r="BD2" s="100"/>
      <c r="BE2" s="100"/>
      <c r="BF2" s="100"/>
      <c r="BG2" s="100"/>
      <c r="BH2" s="100"/>
      <c r="BI2" s="100"/>
      <c r="BJ2" s="100"/>
      <c r="BK2" s="100"/>
      <c r="BL2" s="100"/>
      <c r="BM2" s="100"/>
      <c r="BN2" s="100"/>
      <c r="BO2" s="100"/>
      <c r="BP2" s="100"/>
      <c r="BQ2" s="100"/>
      <c r="BR2" s="100"/>
      <c r="BS2" s="100"/>
      <c r="BT2" s="100"/>
      <c r="BU2" s="100"/>
      <c r="BV2" s="100"/>
      <c r="BW2" s="100"/>
      <c r="BX2" s="100"/>
      <c r="BY2" s="100"/>
      <c r="BZ2" s="100"/>
      <c r="CA2" s="100"/>
      <c r="CB2" s="100"/>
      <c r="CC2" s="100"/>
      <c r="CD2" s="100"/>
      <c r="CE2" s="100"/>
      <c r="CF2" s="100"/>
    </row>
    <row r="3" spans="1:85" ht="17.25" customHeight="1">
      <c r="A3" s="102"/>
      <c r="B3" s="103"/>
      <c r="C3" s="104"/>
      <c r="D3" s="104"/>
      <c r="E3" s="806"/>
      <c r="F3" s="806"/>
      <c r="G3" s="806"/>
      <c r="H3" s="798"/>
      <c r="I3" s="798"/>
      <c r="J3" s="105"/>
      <c r="K3" s="105" t="s">
        <v>23</v>
      </c>
      <c r="L3" s="104" t="s">
        <v>20</v>
      </c>
      <c r="M3" s="803" t="s">
        <v>24</v>
      </c>
      <c r="N3" s="104" t="s">
        <v>25</v>
      </c>
      <c r="O3" s="104" t="s">
        <v>26</v>
      </c>
      <c r="P3" s="104" t="s">
        <v>27</v>
      </c>
      <c r="Q3" s="104" t="s">
        <v>28</v>
      </c>
      <c r="R3" s="104" t="s">
        <v>28</v>
      </c>
      <c r="S3" s="104" t="s">
        <v>29</v>
      </c>
      <c r="T3" s="104" t="s">
        <v>30</v>
      </c>
      <c r="U3" s="100"/>
      <c r="V3" s="100"/>
      <c r="W3" s="100"/>
      <c r="X3" s="100"/>
      <c r="Y3" s="100"/>
      <c r="Z3" s="100"/>
      <c r="AA3" s="100"/>
      <c r="AB3" s="100"/>
      <c r="AC3" s="100"/>
      <c r="AD3" s="100"/>
      <c r="AE3" s="100"/>
      <c r="AF3" s="100"/>
      <c r="AG3" s="100"/>
      <c r="AH3" s="100"/>
      <c r="AI3" s="100"/>
      <c r="AJ3" s="100"/>
      <c r="AK3" s="100"/>
      <c r="AL3" s="100"/>
      <c r="AM3" s="100"/>
      <c r="AN3" s="100"/>
      <c r="AO3" s="100"/>
      <c r="AP3" s="100"/>
      <c r="AQ3" s="100"/>
      <c r="AR3" s="100"/>
      <c r="AS3" s="100"/>
      <c r="AT3" s="100"/>
      <c r="AU3" s="100"/>
      <c r="AV3" s="100"/>
      <c r="AW3" s="100"/>
      <c r="AX3" s="100"/>
      <c r="AY3" s="100"/>
      <c r="AZ3" s="100"/>
      <c r="BA3" s="100"/>
      <c r="BB3" s="100"/>
      <c r="BC3" s="100"/>
      <c r="BD3" s="100"/>
      <c r="BE3" s="100"/>
      <c r="BF3" s="100"/>
      <c r="BG3" s="100"/>
      <c r="BH3" s="100"/>
      <c r="BI3" s="100"/>
      <c r="BJ3" s="100"/>
      <c r="BK3" s="100"/>
      <c r="BL3" s="100"/>
      <c r="BM3" s="100"/>
      <c r="BN3" s="100"/>
      <c r="BO3" s="100"/>
      <c r="BP3" s="100"/>
      <c r="BQ3" s="100"/>
      <c r="BR3" s="100"/>
      <c r="BS3" s="100"/>
      <c r="BT3" s="100"/>
      <c r="BU3" s="100"/>
      <c r="BV3" s="100"/>
      <c r="BW3" s="100"/>
      <c r="BX3" s="100"/>
      <c r="BY3" s="100"/>
      <c r="BZ3" s="100"/>
      <c r="CA3" s="100"/>
      <c r="CB3" s="100"/>
      <c r="CC3" s="100"/>
      <c r="CD3" s="100"/>
      <c r="CE3" s="100"/>
      <c r="CF3" s="100"/>
    </row>
    <row r="4" spans="1:85" ht="18" customHeight="1">
      <c r="A4" s="106"/>
      <c r="B4" s="107"/>
      <c r="C4" s="108"/>
      <c r="D4" s="108"/>
      <c r="E4" s="806"/>
      <c r="F4" s="806"/>
      <c r="G4" s="806"/>
      <c r="H4" s="798"/>
      <c r="I4" s="798"/>
      <c r="J4" s="109"/>
      <c r="K4" s="109"/>
      <c r="L4" s="108"/>
      <c r="M4" s="803"/>
      <c r="N4" s="108"/>
      <c r="O4" s="108"/>
      <c r="P4" s="108"/>
      <c r="Q4" s="108"/>
      <c r="R4" s="110" t="s">
        <v>31</v>
      </c>
      <c r="S4" s="110" t="s">
        <v>31</v>
      </c>
      <c r="T4" s="108"/>
      <c r="U4" s="100"/>
      <c r="V4" s="23"/>
      <c r="W4" s="100"/>
      <c r="X4" s="100"/>
      <c r="Y4" s="100"/>
      <c r="Z4" s="100"/>
      <c r="AA4" s="100"/>
      <c r="AB4" s="100"/>
      <c r="AC4" s="100"/>
      <c r="AD4" s="100"/>
      <c r="AE4" s="100"/>
      <c r="AF4" s="100"/>
      <c r="AG4" s="100"/>
      <c r="AH4" s="100"/>
      <c r="AI4" s="100"/>
      <c r="AJ4" s="100"/>
      <c r="AK4" s="100"/>
      <c r="AL4" s="100"/>
      <c r="AM4" s="100"/>
      <c r="AN4" s="100"/>
      <c r="AO4" s="100"/>
      <c r="AP4" s="100"/>
      <c r="AQ4" s="100"/>
      <c r="AR4" s="100"/>
      <c r="AS4" s="100"/>
      <c r="AT4" s="100"/>
      <c r="AU4" s="100"/>
      <c r="AV4" s="100"/>
      <c r="AW4" s="100"/>
      <c r="AX4" s="100"/>
      <c r="AY4" s="100"/>
      <c r="AZ4" s="100"/>
      <c r="BA4" s="100"/>
      <c r="BB4" s="100"/>
      <c r="BC4" s="100"/>
      <c r="BD4" s="100"/>
      <c r="BE4" s="100"/>
      <c r="BF4" s="100"/>
      <c r="BG4" s="100"/>
      <c r="BH4" s="100"/>
      <c r="BI4" s="100"/>
      <c r="BJ4" s="100"/>
      <c r="BK4" s="100"/>
      <c r="BL4" s="100"/>
      <c r="BM4" s="100"/>
      <c r="BN4" s="100"/>
      <c r="BO4" s="100"/>
      <c r="BP4" s="100"/>
      <c r="BQ4" s="100"/>
      <c r="BR4" s="100"/>
      <c r="BS4" s="100"/>
      <c r="BT4" s="100"/>
      <c r="BU4" s="100"/>
      <c r="BV4" s="100"/>
      <c r="BW4" s="100"/>
      <c r="BX4" s="100"/>
      <c r="BY4" s="100"/>
      <c r="BZ4" s="100"/>
      <c r="CA4" s="100"/>
      <c r="CB4" s="100"/>
      <c r="CC4" s="100"/>
      <c r="CD4" s="100"/>
      <c r="CE4" s="100"/>
      <c r="CF4" s="100"/>
    </row>
    <row r="5" spans="1:85" ht="14.1" customHeight="1">
      <c r="A5" s="111"/>
      <c r="B5" s="789"/>
      <c r="C5" s="790"/>
      <c r="D5" s="112"/>
      <c r="E5" s="113"/>
      <c r="F5" s="113"/>
      <c r="G5" s="114"/>
      <c r="H5" s="113"/>
      <c r="I5" s="124"/>
      <c r="J5" s="115"/>
      <c r="K5" s="397">
        <f>J5*E5</f>
        <v>0</v>
      </c>
      <c r="L5" s="398">
        <f>IF(I5="",K5,I5*K5)</f>
        <v>0</v>
      </c>
      <c r="M5" s="114"/>
      <c r="N5" s="407">
        <f>IF(I5="",INT(K5*M5),INT(K5*I5*M5))</f>
        <v>0</v>
      </c>
      <c r="O5" s="407">
        <f>N5*(G5)</f>
        <v>0</v>
      </c>
      <c r="P5" s="408">
        <f>N5-O5</f>
        <v>0</v>
      </c>
      <c r="Q5" s="407">
        <f>IF(H5="",0,ROUND(P5/H5,0))</f>
        <v>0</v>
      </c>
      <c r="R5" s="407">
        <f>IF(Q5=0,0,INT(Q5/$E$1*10))</f>
        <v>0</v>
      </c>
      <c r="S5" s="407">
        <f>IF(R5=0,0,$D$42*K5*M5/$E$1*10)</f>
        <v>0</v>
      </c>
      <c r="T5" s="327"/>
      <c r="U5" s="203"/>
      <c r="V5" s="204"/>
      <c r="W5" s="100"/>
      <c r="X5" s="100"/>
      <c r="Y5" s="100"/>
      <c r="Z5" s="100"/>
      <c r="AA5" s="100"/>
      <c r="AB5" s="100"/>
      <c r="AC5" s="100"/>
      <c r="AD5" s="100"/>
      <c r="AE5" s="100"/>
      <c r="AF5" s="100"/>
      <c r="AG5" s="100"/>
      <c r="AH5" s="100"/>
      <c r="AI5" s="100"/>
      <c r="AJ5" s="100"/>
      <c r="AK5" s="100"/>
      <c r="AL5" s="100"/>
      <c r="AM5" s="100"/>
      <c r="AN5" s="100"/>
      <c r="AO5" s="100"/>
      <c r="AP5" s="100"/>
      <c r="AQ5" s="100"/>
      <c r="AR5" s="100"/>
      <c r="AS5" s="100"/>
      <c r="AT5" s="100"/>
      <c r="AU5" s="100"/>
      <c r="AV5" s="100"/>
      <c r="AW5" s="100"/>
      <c r="AX5" s="100"/>
      <c r="AY5" s="100"/>
      <c r="AZ5" s="100"/>
      <c r="BA5" s="100"/>
      <c r="BB5" s="100"/>
      <c r="BC5" s="100"/>
      <c r="BD5" s="100"/>
      <c r="BE5" s="100"/>
      <c r="BF5" s="100"/>
      <c r="BG5" s="100"/>
      <c r="BH5" s="100"/>
      <c r="BI5" s="100"/>
      <c r="BJ5" s="100"/>
      <c r="BK5" s="100"/>
      <c r="BL5" s="100"/>
      <c r="BM5" s="100"/>
      <c r="BN5" s="100"/>
      <c r="BO5" s="100"/>
      <c r="BP5" s="100"/>
      <c r="BQ5" s="100"/>
      <c r="BR5" s="100"/>
      <c r="BS5" s="100"/>
      <c r="BT5" s="100"/>
      <c r="BU5" s="100"/>
      <c r="BV5" s="100"/>
      <c r="BW5" s="100"/>
      <c r="BX5" s="100"/>
      <c r="BY5" s="100"/>
      <c r="BZ5" s="100"/>
      <c r="CA5" s="100"/>
      <c r="CB5" s="100"/>
      <c r="CC5" s="100"/>
      <c r="CD5" s="100"/>
      <c r="CE5" s="100"/>
      <c r="CF5" s="100"/>
    </row>
    <row r="6" spans="1:85" ht="14.1" customHeight="1">
      <c r="A6" s="116" t="s">
        <v>32</v>
      </c>
      <c r="B6" s="783"/>
      <c r="C6" s="784"/>
      <c r="D6" s="112"/>
      <c r="E6" s="113"/>
      <c r="F6" s="113"/>
      <c r="G6" s="114"/>
      <c r="H6" s="113"/>
      <c r="I6" s="124"/>
      <c r="J6" s="117"/>
      <c r="K6" s="397">
        <f>J6*E6</f>
        <v>0</v>
      </c>
      <c r="L6" s="399">
        <f>IF(I6="",K6,I6*K6)</f>
        <v>0</v>
      </c>
      <c r="M6" s="114"/>
      <c r="N6" s="407">
        <f>IF(I6="",INT(K6*M6),INT(K6*I6*M6))</f>
        <v>0</v>
      </c>
      <c r="O6" s="407">
        <f>N6*(G6)</f>
        <v>0</v>
      </c>
      <c r="P6" s="408">
        <f>N6-O6</f>
        <v>0</v>
      </c>
      <c r="Q6" s="407">
        <f>IF(H6="",0,ROUND(P6/H6,0))</f>
        <v>0</v>
      </c>
      <c r="R6" s="407">
        <f t="shared" ref="R6:R18" si="0">IF(Q6=0,0,INT(Q6/$E$1*10))</f>
        <v>0</v>
      </c>
      <c r="S6" s="407">
        <f>IF(R6=0,0,$D$42*K6*M6/$E$1*10)</f>
        <v>0</v>
      </c>
      <c r="T6" s="328"/>
      <c r="U6" s="100"/>
      <c r="V6" s="1"/>
      <c r="W6" s="100"/>
      <c r="X6" s="100"/>
      <c r="Y6" s="100"/>
      <c r="Z6" s="100"/>
      <c r="AA6" s="100"/>
      <c r="AB6" s="100"/>
      <c r="AC6" s="100"/>
      <c r="AD6" s="100"/>
      <c r="AE6" s="100"/>
      <c r="AF6" s="100"/>
      <c r="AG6" s="100"/>
      <c r="AH6" s="100"/>
      <c r="AI6" s="100"/>
      <c r="AJ6" s="100"/>
      <c r="AK6" s="100"/>
      <c r="AL6" s="100"/>
      <c r="AM6" s="100"/>
      <c r="AN6" s="100"/>
      <c r="AO6" s="100"/>
      <c r="AP6" s="100"/>
      <c r="AQ6" s="100"/>
      <c r="AR6" s="100"/>
      <c r="AS6" s="100"/>
      <c r="AT6" s="100"/>
      <c r="AU6" s="100"/>
      <c r="AV6" s="100"/>
      <c r="AW6" s="100"/>
      <c r="AX6" s="100"/>
      <c r="AY6" s="100"/>
      <c r="AZ6" s="100"/>
      <c r="BA6" s="100"/>
      <c r="BB6" s="100"/>
      <c r="BC6" s="100"/>
      <c r="BD6" s="100"/>
      <c r="BE6" s="100"/>
      <c r="BF6" s="100"/>
      <c r="BG6" s="100"/>
      <c r="BH6" s="100"/>
      <c r="BI6" s="100"/>
      <c r="BJ6" s="100"/>
      <c r="BK6" s="100"/>
      <c r="BL6" s="100"/>
      <c r="BM6" s="100"/>
      <c r="BN6" s="100"/>
      <c r="BO6" s="100"/>
      <c r="BP6" s="100"/>
      <c r="BQ6" s="100"/>
      <c r="BR6" s="100"/>
      <c r="BS6" s="100"/>
      <c r="BT6" s="100"/>
      <c r="BU6" s="100"/>
      <c r="BV6" s="100"/>
      <c r="BW6" s="100"/>
      <c r="BX6" s="100"/>
      <c r="BY6" s="100"/>
      <c r="BZ6" s="100"/>
      <c r="CA6" s="100"/>
      <c r="CB6" s="100"/>
      <c r="CC6" s="100"/>
      <c r="CD6" s="100"/>
      <c r="CE6" s="100"/>
      <c r="CF6" s="100"/>
    </row>
    <row r="7" spans="1:85" ht="14.1" customHeight="1">
      <c r="A7" s="116" t="s">
        <v>33</v>
      </c>
      <c r="B7" s="783"/>
      <c r="C7" s="784"/>
      <c r="D7" s="112"/>
      <c r="E7" s="113"/>
      <c r="F7" s="113"/>
      <c r="G7" s="114"/>
      <c r="H7" s="113"/>
      <c r="I7" s="124"/>
      <c r="J7" s="118"/>
      <c r="K7" s="397">
        <f>J7*E7</f>
        <v>0</v>
      </c>
      <c r="L7" s="399">
        <f>IF(I7="",K7,I7*K7)</f>
        <v>0</v>
      </c>
      <c r="M7" s="114"/>
      <c r="N7" s="407">
        <f>IF(I7="",INT(K7*M7),INT(K7*I7*M7))</f>
        <v>0</v>
      </c>
      <c r="O7" s="407">
        <f>N7*(G7)</f>
        <v>0</v>
      </c>
      <c r="P7" s="408">
        <f>N7-O7</f>
        <v>0</v>
      </c>
      <c r="Q7" s="407">
        <f>IF(H7="",0,ROUND(P7/H7,0))</f>
        <v>0</v>
      </c>
      <c r="R7" s="407">
        <f t="shared" si="0"/>
        <v>0</v>
      </c>
      <c r="S7" s="407">
        <f>IF(R7=0,0,$D$42*K7*M7/$E$1*10)</f>
        <v>0</v>
      </c>
      <c r="T7" s="328"/>
      <c r="U7" s="100"/>
      <c r="V7" s="1"/>
      <c r="W7" s="100"/>
      <c r="X7" s="100"/>
      <c r="Y7" s="100"/>
      <c r="Z7" s="100"/>
      <c r="AA7" s="100"/>
      <c r="AB7" s="100"/>
      <c r="AC7" s="100"/>
      <c r="AD7" s="100"/>
      <c r="AE7" s="100"/>
      <c r="AF7" s="100"/>
      <c r="AG7" s="100"/>
      <c r="AH7" s="100"/>
      <c r="AI7" s="100"/>
      <c r="AJ7" s="100"/>
      <c r="AK7" s="100"/>
      <c r="AL7" s="100"/>
      <c r="AM7" s="100"/>
      <c r="AN7" s="100"/>
      <c r="AO7" s="100"/>
      <c r="AP7" s="100"/>
      <c r="AQ7" s="100"/>
      <c r="AR7" s="100"/>
      <c r="AS7" s="100"/>
      <c r="AT7" s="100"/>
      <c r="AU7" s="100"/>
      <c r="AV7" s="100"/>
      <c r="AW7" s="100"/>
      <c r="AX7" s="100"/>
      <c r="AY7" s="100"/>
      <c r="AZ7" s="100"/>
      <c r="BA7" s="100"/>
      <c r="BB7" s="100"/>
      <c r="BC7" s="100"/>
      <c r="BD7" s="100"/>
      <c r="BE7" s="100"/>
      <c r="BF7" s="100"/>
      <c r="BG7" s="100"/>
      <c r="BH7" s="100"/>
      <c r="BI7" s="100"/>
      <c r="BJ7" s="100"/>
      <c r="BK7" s="100"/>
      <c r="BL7" s="100"/>
      <c r="BM7" s="100"/>
      <c r="BN7" s="100"/>
      <c r="BO7" s="100"/>
      <c r="BP7" s="100"/>
      <c r="BQ7" s="100"/>
      <c r="BR7" s="100"/>
      <c r="BS7" s="100"/>
      <c r="BT7" s="100"/>
      <c r="BU7" s="100"/>
      <c r="BV7" s="100"/>
      <c r="BW7" s="100"/>
      <c r="BX7" s="100"/>
      <c r="BY7" s="100"/>
      <c r="BZ7" s="100"/>
      <c r="CA7" s="100"/>
      <c r="CB7" s="100"/>
      <c r="CC7" s="100"/>
      <c r="CD7" s="100"/>
      <c r="CE7" s="100"/>
      <c r="CF7" s="100"/>
    </row>
    <row r="8" spans="1:85" ht="14.1" customHeight="1">
      <c r="A8" s="119"/>
      <c r="B8" s="785"/>
      <c r="C8" s="786"/>
      <c r="D8" s="429"/>
      <c r="E8" s="430"/>
      <c r="F8" s="430"/>
      <c r="G8" s="431"/>
      <c r="H8" s="430"/>
      <c r="I8" s="432"/>
      <c r="J8" s="433"/>
      <c r="K8" s="400">
        <f>SUM(K5:K7)</f>
        <v>0</v>
      </c>
      <c r="L8" s="401">
        <f>SUM(L5:L7)</f>
        <v>0</v>
      </c>
      <c r="M8" s="431"/>
      <c r="N8" s="404">
        <f t="shared" ref="N8:S8" si="1">SUM(N5:N7)</f>
        <v>0</v>
      </c>
      <c r="O8" s="404">
        <f t="shared" si="1"/>
        <v>0</v>
      </c>
      <c r="P8" s="404">
        <f t="shared" si="1"/>
        <v>0</v>
      </c>
      <c r="Q8" s="404">
        <f t="shared" si="1"/>
        <v>0</v>
      </c>
      <c r="R8" s="404">
        <f t="shared" si="1"/>
        <v>0</v>
      </c>
      <c r="S8" s="404">
        <f t="shared" si="1"/>
        <v>0</v>
      </c>
      <c r="T8" s="120"/>
      <c r="U8" s="100"/>
      <c r="V8" s="1"/>
      <c r="W8" s="100"/>
      <c r="X8" s="100"/>
      <c r="Y8" s="100"/>
      <c r="Z8" s="100"/>
      <c r="AA8" s="100"/>
      <c r="AB8" s="100"/>
      <c r="AC8" s="100"/>
      <c r="AD8" s="100"/>
      <c r="AE8" s="100"/>
      <c r="AF8" s="100"/>
      <c r="AG8" s="100"/>
      <c r="AH8" s="100"/>
      <c r="AI8" s="100"/>
      <c r="AJ8" s="100"/>
      <c r="AK8" s="100"/>
      <c r="AL8" s="100"/>
      <c r="AM8" s="100"/>
      <c r="AN8" s="100"/>
      <c r="AO8" s="100"/>
      <c r="AP8" s="100"/>
      <c r="AQ8" s="100"/>
      <c r="AR8" s="100"/>
      <c r="AS8" s="100"/>
      <c r="AT8" s="100"/>
      <c r="AU8" s="100"/>
      <c r="AV8" s="100"/>
      <c r="AW8" s="100"/>
      <c r="AX8" s="100"/>
      <c r="AY8" s="100"/>
      <c r="AZ8" s="100"/>
      <c r="BA8" s="100"/>
      <c r="BB8" s="100"/>
      <c r="BC8" s="100"/>
      <c r="BD8" s="100"/>
      <c r="BE8" s="100"/>
      <c r="BF8" s="100"/>
      <c r="BG8" s="100"/>
      <c r="BH8" s="100"/>
      <c r="BI8" s="100"/>
      <c r="BJ8" s="100"/>
      <c r="BK8" s="100"/>
      <c r="BL8" s="100"/>
      <c r="BM8" s="100"/>
      <c r="BN8" s="100"/>
      <c r="BO8" s="100"/>
      <c r="BP8" s="100"/>
      <c r="BQ8" s="100"/>
      <c r="BR8" s="100"/>
      <c r="BS8" s="100"/>
      <c r="BT8" s="100"/>
      <c r="BU8" s="100"/>
      <c r="BV8" s="100"/>
      <c r="BW8" s="100"/>
      <c r="BX8" s="100"/>
      <c r="BY8" s="100"/>
      <c r="BZ8" s="100"/>
      <c r="CA8" s="100"/>
      <c r="CB8" s="100"/>
      <c r="CC8" s="100"/>
      <c r="CD8" s="100"/>
      <c r="CE8" s="100"/>
      <c r="CF8" s="100"/>
    </row>
    <row r="9" spans="1:85" ht="14.1" customHeight="1">
      <c r="A9" s="116"/>
      <c r="B9" s="789"/>
      <c r="C9" s="790"/>
      <c r="D9" s="112"/>
      <c r="E9" s="113"/>
      <c r="F9" s="113"/>
      <c r="G9" s="114"/>
      <c r="H9" s="113"/>
      <c r="I9" s="562"/>
      <c r="J9" s="118"/>
      <c r="K9" s="397">
        <f>J9*E9</f>
        <v>0</v>
      </c>
      <c r="L9" s="399">
        <f t="shared" ref="L9:L16" si="2">IF(I9="",K9,I9*K9)</f>
        <v>0</v>
      </c>
      <c r="M9" s="563"/>
      <c r="N9" s="407">
        <f t="shared" ref="N9:N16" si="3">IF(I9="",INT(K9*M9),INT(K9*I9*M9))</f>
        <v>0</v>
      </c>
      <c r="O9" s="407">
        <f t="shared" ref="O9:O16" si="4">N9*(G9)</f>
        <v>0</v>
      </c>
      <c r="P9" s="408">
        <f t="shared" ref="P9:P16" si="5">N9-O9</f>
        <v>0</v>
      </c>
      <c r="Q9" s="407">
        <f t="shared" ref="Q9:Q16" si="6">IF(H9="",0,ROUND(P9/H9,0))</f>
        <v>0</v>
      </c>
      <c r="R9" s="407">
        <f t="shared" si="0"/>
        <v>0</v>
      </c>
      <c r="S9" s="407">
        <f>IF(R9=0,0,$D$42*K9*M9/$E$1*10)</f>
        <v>0</v>
      </c>
      <c r="T9" s="328"/>
      <c r="U9" s="100"/>
      <c r="V9" s="1"/>
      <c r="W9" s="100"/>
      <c r="X9" s="100"/>
      <c r="Y9" s="100"/>
      <c r="Z9" s="100"/>
      <c r="AA9" s="100"/>
      <c r="AB9" s="100"/>
      <c r="AC9" s="100"/>
      <c r="AD9" s="100"/>
      <c r="AE9" s="100"/>
      <c r="AF9" s="100"/>
      <c r="AG9" s="100"/>
      <c r="AH9" s="100"/>
      <c r="AI9" s="100"/>
      <c r="AJ9" s="100"/>
      <c r="AK9" s="100"/>
      <c r="AL9" s="100"/>
      <c r="AM9" s="100"/>
      <c r="AN9" s="100"/>
      <c r="AO9" s="100"/>
      <c r="AP9" s="100"/>
      <c r="AQ9" s="100"/>
      <c r="AR9" s="100"/>
      <c r="AS9" s="100"/>
      <c r="AT9" s="100"/>
      <c r="AU9" s="100"/>
      <c r="AV9" s="100"/>
      <c r="AW9" s="100"/>
      <c r="AX9" s="100"/>
      <c r="AY9" s="100"/>
      <c r="AZ9" s="100"/>
      <c r="BA9" s="100"/>
      <c r="BB9" s="100"/>
      <c r="BC9" s="100"/>
      <c r="BD9" s="100"/>
      <c r="BE9" s="100"/>
      <c r="BF9" s="100"/>
      <c r="BG9" s="100"/>
      <c r="BH9" s="100"/>
      <c r="BI9" s="100"/>
      <c r="BJ9" s="100"/>
      <c r="BK9" s="100"/>
      <c r="BL9" s="100"/>
      <c r="BM9" s="100"/>
      <c r="BN9" s="100"/>
      <c r="BO9" s="100"/>
      <c r="BP9" s="100"/>
      <c r="BQ9" s="100"/>
      <c r="BR9" s="100"/>
      <c r="BS9" s="100"/>
      <c r="BT9" s="100"/>
      <c r="BU9" s="100"/>
      <c r="BV9" s="100"/>
      <c r="BW9" s="100"/>
      <c r="BX9" s="100"/>
      <c r="BY9" s="100"/>
      <c r="BZ9" s="100"/>
      <c r="CA9" s="100"/>
      <c r="CB9" s="100"/>
      <c r="CC9" s="100"/>
      <c r="CD9" s="100"/>
      <c r="CE9" s="100"/>
      <c r="CF9" s="100"/>
    </row>
    <row r="10" spans="1:85" ht="14.1" customHeight="1">
      <c r="A10" s="116"/>
      <c r="B10" s="783"/>
      <c r="C10" s="784"/>
      <c r="D10" s="112"/>
      <c r="E10" s="113"/>
      <c r="F10" s="113"/>
      <c r="G10" s="114"/>
      <c r="H10" s="113"/>
      <c r="I10" s="124"/>
      <c r="J10" s="202"/>
      <c r="K10" s="397">
        <f t="shared" ref="K10:K16" si="7">J10*E10</f>
        <v>0</v>
      </c>
      <c r="L10" s="399">
        <f t="shared" si="2"/>
        <v>0</v>
      </c>
      <c r="M10" s="114"/>
      <c r="N10" s="407">
        <f t="shared" si="3"/>
        <v>0</v>
      </c>
      <c r="O10" s="407">
        <f t="shared" si="4"/>
        <v>0</v>
      </c>
      <c r="P10" s="408">
        <f t="shared" si="5"/>
        <v>0</v>
      </c>
      <c r="Q10" s="407">
        <f t="shared" si="6"/>
        <v>0</v>
      </c>
      <c r="R10" s="407">
        <f t="shared" si="0"/>
        <v>0</v>
      </c>
      <c r="S10" s="407">
        <f>IF(R10=0,0,$D$42*K10*M10/$E$1*10)</f>
        <v>0</v>
      </c>
      <c r="T10" s="327"/>
      <c r="U10" s="100"/>
      <c r="V10" s="1"/>
      <c r="W10" s="100"/>
      <c r="X10" s="100"/>
      <c r="Y10" s="100"/>
      <c r="Z10" s="100"/>
      <c r="AA10" s="100"/>
      <c r="AB10" s="100"/>
      <c r="AC10" s="100"/>
      <c r="AD10" s="100"/>
      <c r="AE10" s="100"/>
      <c r="AF10" s="100"/>
      <c r="AG10" s="100"/>
      <c r="AH10" s="100"/>
      <c r="AI10" s="100"/>
      <c r="AJ10" s="100"/>
      <c r="AK10" s="100"/>
      <c r="AL10" s="100"/>
      <c r="AM10" s="100"/>
      <c r="AN10" s="100"/>
      <c r="AO10" s="100"/>
      <c r="AP10" s="100"/>
      <c r="AQ10" s="100"/>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0"/>
      <c r="CF10" s="100"/>
    </row>
    <row r="11" spans="1:85" ht="14.1" customHeight="1">
      <c r="A11" s="121" t="s">
        <v>34</v>
      </c>
      <c r="B11" s="783"/>
      <c r="C11" s="784"/>
      <c r="D11" s="475"/>
      <c r="E11" s="113"/>
      <c r="F11" s="113"/>
      <c r="G11" s="114"/>
      <c r="H11" s="113"/>
      <c r="I11" s="124"/>
      <c r="J11" s="202"/>
      <c r="K11" s="397">
        <f t="shared" si="7"/>
        <v>0</v>
      </c>
      <c r="L11" s="399">
        <f t="shared" si="2"/>
        <v>0</v>
      </c>
      <c r="M11" s="114"/>
      <c r="N11" s="407">
        <f t="shared" si="3"/>
        <v>0</v>
      </c>
      <c r="O11" s="407">
        <f t="shared" si="4"/>
        <v>0</v>
      </c>
      <c r="P11" s="408">
        <f t="shared" si="5"/>
        <v>0</v>
      </c>
      <c r="Q11" s="407">
        <f t="shared" si="6"/>
        <v>0</v>
      </c>
      <c r="R11" s="407">
        <f t="shared" si="0"/>
        <v>0</v>
      </c>
      <c r="S11" s="407">
        <f>IF(R11=0,0,$D$42*K11*M11/$E$1*10)</f>
        <v>0</v>
      </c>
      <c r="T11" s="327"/>
      <c r="U11" s="100"/>
      <c r="V11" s="1"/>
      <c r="W11" s="100"/>
      <c r="X11" s="100"/>
      <c r="Y11" s="100"/>
      <c r="Z11" s="100"/>
      <c r="AA11" s="100"/>
      <c r="AB11" s="100"/>
      <c r="AC11" s="100"/>
      <c r="AD11" s="100"/>
      <c r="AE11" s="100"/>
      <c r="AF11" s="100"/>
      <c r="AG11" s="100"/>
      <c r="AH11" s="100"/>
      <c r="AI11" s="100"/>
      <c r="AJ11" s="100"/>
      <c r="AK11" s="100"/>
      <c r="AL11" s="100"/>
      <c r="AM11" s="100"/>
      <c r="AN11" s="100"/>
      <c r="AO11" s="100"/>
      <c r="AP11" s="100"/>
      <c r="AQ11" s="100"/>
      <c r="AR11" s="100"/>
      <c r="AS11" s="100"/>
      <c r="AT11" s="100"/>
      <c r="AU11" s="100"/>
      <c r="AV11" s="100"/>
      <c r="AW11" s="100"/>
      <c r="AX11" s="100"/>
      <c r="AY11" s="100"/>
      <c r="AZ11" s="100"/>
      <c r="BA11" s="100"/>
      <c r="BB11" s="100"/>
      <c r="BC11" s="100"/>
      <c r="BD11" s="100"/>
      <c r="BE11" s="100"/>
      <c r="BF11" s="100"/>
      <c r="BG11" s="100"/>
      <c r="BH11" s="100"/>
      <c r="BI11" s="100"/>
      <c r="BJ11" s="100"/>
      <c r="BK11" s="100"/>
      <c r="BL11" s="100"/>
      <c r="BM11" s="100"/>
      <c r="BN11" s="100"/>
      <c r="BO11" s="100"/>
      <c r="BP11" s="100"/>
      <c r="BQ11" s="100"/>
      <c r="BR11" s="100"/>
      <c r="BS11" s="100"/>
      <c r="BT11" s="100"/>
      <c r="BU11" s="100"/>
      <c r="BV11" s="100"/>
      <c r="BW11" s="100"/>
      <c r="BX11" s="100"/>
      <c r="BY11" s="100"/>
      <c r="BZ11" s="100"/>
      <c r="CA11" s="100"/>
      <c r="CB11" s="100"/>
      <c r="CC11" s="100"/>
      <c r="CD11" s="100"/>
      <c r="CE11" s="100"/>
      <c r="CF11" s="100"/>
    </row>
    <row r="12" spans="1:85" ht="14.1" customHeight="1">
      <c r="A12" s="121"/>
      <c r="B12" s="783"/>
      <c r="C12" s="784"/>
      <c r="D12" s="475"/>
      <c r="E12" s="113"/>
      <c r="F12" s="113"/>
      <c r="G12" s="114"/>
      <c r="H12" s="113"/>
      <c r="I12" s="124"/>
      <c r="J12" s="202"/>
      <c r="K12" s="397">
        <f t="shared" si="7"/>
        <v>0</v>
      </c>
      <c r="L12" s="399">
        <f t="shared" si="2"/>
        <v>0</v>
      </c>
      <c r="M12" s="114"/>
      <c r="N12" s="407">
        <f t="shared" si="3"/>
        <v>0</v>
      </c>
      <c r="O12" s="407">
        <f t="shared" si="4"/>
        <v>0</v>
      </c>
      <c r="P12" s="408">
        <f t="shared" si="5"/>
        <v>0</v>
      </c>
      <c r="Q12" s="407">
        <f t="shared" si="6"/>
        <v>0</v>
      </c>
      <c r="R12" s="407">
        <f t="shared" si="0"/>
        <v>0</v>
      </c>
      <c r="S12" s="407">
        <f>IF(R12=0,0,$D$42*K12*M12/$E$1*10)</f>
        <v>0</v>
      </c>
      <c r="T12" s="327"/>
      <c r="U12" s="100"/>
      <c r="V12" s="1"/>
      <c r="W12" s="100"/>
      <c r="X12" s="100"/>
      <c r="Y12" s="100"/>
      <c r="Z12" s="100"/>
      <c r="AA12" s="100"/>
      <c r="AB12" s="100"/>
      <c r="AC12" s="100"/>
      <c r="AD12" s="100"/>
      <c r="AE12" s="100"/>
      <c r="AF12" s="100"/>
      <c r="AG12" s="100"/>
      <c r="AH12" s="100"/>
      <c r="AI12" s="100"/>
      <c r="AJ12" s="100"/>
      <c r="AK12" s="100"/>
      <c r="AL12" s="100"/>
      <c r="AM12" s="100"/>
      <c r="AN12" s="100"/>
      <c r="AO12" s="100"/>
      <c r="AP12" s="100"/>
      <c r="AQ12" s="100"/>
      <c r="AR12" s="100"/>
      <c r="AS12" s="100"/>
      <c r="AT12" s="100"/>
      <c r="AU12" s="100"/>
      <c r="AV12" s="100"/>
      <c r="AW12" s="100"/>
      <c r="AX12" s="100"/>
      <c r="AY12" s="100"/>
      <c r="AZ12" s="100"/>
      <c r="BA12" s="100"/>
      <c r="BB12" s="100"/>
      <c r="BC12" s="100"/>
      <c r="BD12" s="100"/>
      <c r="BE12" s="100"/>
      <c r="BF12" s="100"/>
      <c r="BG12" s="100"/>
      <c r="BH12" s="100"/>
      <c r="BI12" s="100"/>
      <c r="BJ12" s="100"/>
      <c r="BK12" s="100"/>
      <c r="BL12" s="100"/>
      <c r="BM12" s="100"/>
      <c r="BN12" s="100"/>
      <c r="BO12" s="100"/>
      <c r="BP12" s="100"/>
      <c r="BQ12" s="100"/>
      <c r="BR12" s="100"/>
      <c r="BS12" s="100"/>
      <c r="BT12" s="100"/>
      <c r="BU12" s="100"/>
      <c r="BV12" s="100"/>
      <c r="BW12" s="100"/>
      <c r="BX12" s="100"/>
      <c r="BY12" s="100"/>
      <c r="BZ12" s="100"/>
      <c r="CA12" s="100"/>
      <c r="CB12" s="100"/>
      <c r="CC12" s="100"/>
      <c r="CD12" s="100"/>
      <c r="CE12" s="100"/>
      <c r="CF12" s="100"/>
    </row>
    <row r="13" spans="1:85" ht="14.1" customHeight="1">
      <c r="A13" s="121" t="s">
        <v>35</v>
      </c>
      <c r="B13" s="783"/>
      <c r="C13" s="784"/>
      <c r="D13" s="112"/>
      <c r="E13" s="113"/>
      <c r="F13" s="113"/>
      <c r="G13" s="114"/>
      <c r="H13" s="113"/>
      <c r="I13" s="124"/>
      <c r="J13" s="476"/>
      <c r="K13" s="397">
        <f t="shared" si="7"/>
        <v>0</v>
      </c>
      <c r="L13" s="399">
        <f t="shared" si="2"/>
        <v>0</v>
      </c>
      <c r="M13" s="114"/>
      <c r="N13" s="407">
        <f t="shared" si="3"/>
        <v>0</v>
      </c>
      <c r="O13" s="407">
        <f t="shared" si="4"/>
        <v>0</v>
      </c>
      <c r="P13" s="408">
        <f t="shared" si="5"/>
        <v>0</v>
      </c>
      <c r="Q13" s="407">
        <f t="shared" si="6"/>
        <v>0</v>
      </c>
      <c r="R13" s="407">
        <f t="shared" si="0"/>
        <v>0</v>
      </c>
      <c r="S13" s="407">
        <f>IF(R13=0,0,$D$42*K13*M13/$E$1*10)</f>
        <v>0</v>
      </c>
      <c r="T13" s="327"/>
      <c r="U13" s="100"/>
      <c r="V13" s="1"/>
      <c r="W13" s="100"/>
      <c r="X13" s="100"/>
      <c r="Y13" s="100"/>
      <c r="Z13" s="100"/>
      <c r="AA13" s="100"/>
      <c r="AB13" s="100"/>
      <c r="AC13" s="100"/>
      <c r="AD13" s="100"/>
      <c r="AE13" s="100"/>
      <c r="AF13" s="100"/>
      <c r="AG13" s="100"/>
      <c r="AH13" s="100"/>
      <c r="AI13" s="100"/>
      <c r="AJ13" s="100"/>
      <c r="AK13" s="100"/>
      <c r="AL13" s="100"/>
      <c r="AM13" s="100"/>
      <c r="AN13" s="100"/>
      <c r="AO13" s="100"/>
      <c r="AP13" s="100"/>
      <c r="AQ13" s="100"/>
      <c r="AR13" s="100"/>
      <c r="AS13" s="100"/>
      <c r="AT13" s="100"/>
      <c r="AU13" s="100"/>
      <c r="AV13" s="100"/>
      <c r="AW13" s="100"/>
      <c r="AX13" s="100"/>
      <c r="AY13" s="100"/>
      <c r="AZ13" s="100"/>
      <c r="BA13" s="100"/>
      <c r="BB13" s="100"/>
      <c r="BC13" s="100"/>
      <c r="BD13" s="100"/>
      <c r="BE13" s="100"/>
      <c r="BF13" s="100"/>
      <c r="BG13" s="100"/>
      <c r="BH13" s="100"/>
      <c r="BI13" s="100"/>
      <c r="BJ13" s="100"/>
      <c r="BK13" s="100"/>
      <c r="BL13" s="100"/>
      <c r="BM13" s="100"/>
      <c r="BN13" s="100"/>
      <c r="BO13" s="100"/>
      <c r="BP13" s="100"/>
      <c r="BQ13" s="100"/>
      <c r="BR13" s="100"/>
      <c r="BS13" s="100"/>
      <c r="BT13" s="100"/>
      <c r="BU13" s="100"/>
      <c r="BV13" s="100"/>
      <c r="BW13" s="100"/>
      <c r="BX13" s="100"/>
      <c r="BY13" s="100"/>
      <c r="BZ13" s="100"/>
      <c r="CA13" s="100"/>
      <c r="CB13" s="100"/>
      <c r="CC13" s="100"/>
      <c r="CD13" s="100"/>
      <c r="CE13" s="100"/>
      <c r="CF13" s="100"/>
    </row>
    <row r="14" spans="1:85" ht="14.1" customHeight="1">
      <c r="A14" s="121"/>
      <c r="B14" s="783"/>
      <c r="C14" s="784"/>
      <c r="D14" s="112"/>
      <c r="E14" s="113"/>
      <c r="F14" s="113"/>
      <c r="G14" s="123"/>
      <c r="H14" s="113"/>
      <c r="I14" s="124"/>
      <c r="J14" s="118"/>
      <c r="K14" s="402">
        <f t="shared" si="7"/>
        <v>0</v>
      </c>
      <c r="L14" s="403">
        <f t="shared" si="2"/>
        <v>0</v>
      </c>
      <c r="M14" s="114"/>
      <c r="N14" s="407">
        <f t="shared" si="3"/>
        <v>0</v>
      </c>
      <c r="O14" s="407">
        <f t="shared" si="4"/>
        <v>0</v>
      </c>
      <c r="P14" s="408">
        <f t="shared" si="5"/>
        <v>0</v>
      </c>
      <c r="Q14" s="407">
        <f t="shared" si="6"/>
        <v>0</v>
      </c>
      <c r="R14" s="407">
        <f t="shared" si="0"/>
        <v>0</v>
      </c>
      <c r="S14" s="407">
        <f>IF(R14=0,0,$D$43*K14*M14/$E$1*10)</f>
        <v>0</v>
      </c>
      <c r="T14" s="328"/>
      <c r="U14" s="100"/>
      <c r="V14" s="1"/>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row>
    <row r="15" spans="1:85" ht="14.1" customHeight="1">
      <c r="A15" s="121"/>
      <c r="B15" s="783"/>
      <c r="C15" s="784"/>
      <c r="D15" s="112"/>
      <c r="E15" s="113"/>
      <c r="F15" s="113"/>
      <c r="G15" s="123"/>
      <c r="H15" s="113"/>
      <c r="I15" s="124"/>
      <c r="J15" s="118"/>
      <c r="K15" s="402">
        <f t="shared" si="7"/>
        <v>0</v>
      </c>
      <c r="L15" s="403">
        <f t="shared" si="2"/>
        <v>0</v>
      </c>
      <c r="M15" s="114"/>
      <c r="N15" s="407">
        <f t="shared" si="3"/>
        <v>0</v>
      </c>
      <c r="O15" s="407">
        <f t="shared" si="4"/>
        <v>0</v>
      </c>
      <c r="P15" s="408">
        <f t="shared" si="5"/>
        <v>0</v>
      </c>
      <c r="Q15" s="407">
        <f t="shared" si="6"/>
        <v>0</v>
      </c>
      <c r="R15" s="407">
        <f t="shared" si="0"/>
        <v>0</v>
      </c>
      <c r="S15" s="407">
        <f>IF(R15=0,0,$D$43*K15*M15/$E$1*10)</f>
        <v>0</v>
      </c>
      <c r="T15" s="328"/>
      <c r="U15" s="100"/>
      <c r="V15" s="1"/>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row>
    <row r="16" spans="1:85" ht="14.1" customHeight="1">
      <c r="A16" s="121"/>
      <c r="B16" s="783"/>
      <c r="C16" s="784"/>
      <c r="D16" s="112"/>
      <c r="E16" s="113"/>
      <c r="F16" s="113"/>
      <c r="G16" s="114"/>
      <c r="H16" s="113"/>
      <c r="I16" s="124"/>
      <c r="J16" s="201"/>
      <c r="K16" s="397">
        <f t="shared" si="7"/>
        <v>0</v>
      </c>
      <c r="L16" s="399">
        <f t="shared" si="2"/>
        <v>0</v>
      </c>
      <c r="M16" s="114"/>
      <c r="N16" s="407">
        <f t="shared" si="3"/>
        <v>0</v>
      </c>
      <c r="O16" s="407">
        <f t="shared" si="4"/>
        <v>0</v>
      </c>
      <c r="P16" s="408">
        <f t="shared" si="5"/>
        <v>0</v>
      </c>
      <c r="Q16" s="407">
        <f t="shared" si="6"/>
        <v>0</v>
      </c>
      <c r="R16" s="407">
        <f t="shared" si="0"/>
        <v>0</v>
      </c>
      <c r="S16" s="407">
        <f>IF(R16=0,0,$D$42*K16*M16/$E$1*10)</f>
        <v>0</v>
      </c>
      <c r="T16" s="328"/>
      <c r="U16" s="100"/>
      <c r="V16" s="1"/>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row>
    <row r="17" spans="1:84" ht="14.1" customHeight="1">
      <c r="A17" s="121"/>
      <c r="B17" s="783"/>
      <c r="C17" s="784"/>
      <c r="D17" s="112"/>
      <c r="E17" s="113"/>
      <c r="F17" s="113"/>
      <c r="G17" s="114"/>
      <c r="H17" s="113"/>
      <c r="I17" s="124"/>
      <c r="J17" s="201"/>
      <c r="K17" s="397">
        <f>J17*E17</f>
        <v>0</v>
      </c>
      <c r="L17" s="399">
        <f>IF(I17="",K17,I17*K17)</f>
        <v>0</v>
      </c>
      <c r="M17" s="114"/>
      <c r="N17" s="407">
        <f>IF(I17="",INT(K17*M17),INT(K17*I17*M17))</f>
        <v>0</v>
      </c>
      <c r="O17" s="407">
        <f>N17*(G17)</f>
        <v>0</v>
      </c>
      <c r="P17" s="408">
        <f>N17-O17</f>
        <v>0</v>
      </c>
      <c r="Q17" s="407">
        <f>IF(H17="",0,ROUND(P17/H17,0))</f>
        <v>0</v>
      </c>
      <c r="R17" s="407">
        <f t="shared" si="0"/>
        <v>0</v>
      </c>
      <c r="S17" s="407">
        <f>IF(R17=0,0,$D$42*K17*M17/$E$1*10)</f>
        <v>0</v>
      </c>
      <c r="T17" s="328"/>
      <c r="U17" s="100"/>
      <c r="V17" s="1"/>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0"/>
      <c r="AX17" s="100"/>
      <c r="AY17" s="100"/>
      <c r="AZ17" s="100"/>
      <c r="BA17" s="100"/>
      <c r="BB17" s="100"/>
      <c r="BC17" s="100"/>
      <c r="BD17" s="100"/>
      <c r="BE17" s="100"/>
      <c r="BF17" s="100"/>
      <c r="BG17" s="100"/>
      <c r="BH17" s="100"/>
      <c r="BI17" s="100"/>
      <c r="BJ17" s="100"/>
      <c r="BK17" s="100"/>
      <c r="BL17" s="100"/>
      <c r="BM17" s="100"/>
      <c r="BN17" s="100"/>
      <c r="BO17" s="100"/>
      <c r="BP17" s="100"/>
      <c r="BQ17" s="100"/>
      <c r="BR17" s="100"/>
      <c r="BS17" s="100"/>
      <c r="BT17" s="100"/>
      <c r="BU17" s="100"/>
      <c r="BV17" s="100"/>
      <c r="BW17" s="100"/>
      <c r="BX17" s="100"/>
      <c r="BY17" s="100"/>
      <c r="BZ17" s="100"/>
      <c r="CA17" s="100"/>
      <c r="CB17" s="100"/>
      <c r="CC17" s="100"/>
      <c r="CD17" s="100"/>
      <c r="CE17" s="100"/>
      <c r="CF17" s="100"/>
    </row>
    <row r="18" spans="1:84" ht="14.1" customHeight="1">
      <c r="A18" s="121"/>
      <c r="B18" s="783"/>
      <c r="C18" s="784"/>
      <c r="D18" s="112"/>
      <c r="E18" s="113"/>
      <c r="F18" s="113"/>
      <c r="G18" s="114"/>
      <c r="H18" s="113"/>
      <c r="I18" s="124"/>
      <c r="J18" s="201"/>
      <c r="K18" s="397">
        <f>J18*E18</f>
        <v>0</v>
      </c>
      <c r="L18" s="399">
        <f>IF(I18="",K18,I18*K18)</f>
        <v>0</v>
      </c>
      <c r="M18" s="114"/>
      <c r="N18" s="407">
        <f>IF(I18="",INT(K18*M18),INT(K18*I18*M18))</f>
        <v>0</v>
      </c>
      <c r="O18" s="407">
        <f>N18*(G18)</f>
        <v>0</v>
      </c>
      <c r="P18" s="408">
        <f>N18-O18</f>
        <v>0</v>
      </c>
      <c r="Q18" s="407">
        <f>IF(H18="",0,ROUND(P18/H18,0))</f>
        <v>0</v>
      </c>
      <c r="R18" s="407">
        <f t="shared" si="0"/>
        <v>0</v>
      </c>
      <c r="S18" s="407">
        <f>IF(R18=0,0,$D$42*K18*M18/$E$1*10)</f>
        <v>0</v>
      </c>
      <c r="T18" s="328"/>
      <c r="U18" s="100"/>
      <c r="V18" s="1"/>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0"/>
      <c r="BA18" s="100"/>
      <c r="BB18" s="100"/>
      <c r="BC18" s="100"/>
      <c r="BD18" s="100"/>
      <c r="BE18" s="100"/>
      <c r="BF18" s="100"/>
      <c r="BG18" s="100"/>
      <c r="BH18" s="100"/>
      <c r="BI18" s="100"/>
      <c r="BJ18" s="100"/>
      <c r="BK18" s="100"/>
      <c r="BL18" s="100"/>
      <c r="BM18" s="100"/>
      <c r="BN18" s="100"/>
      <c r="BO18" s="100"/>
      <c r="BP18" s="100"/>
      <c r="BQ18" s="100"/>
      <c r="BR18" s="100"/>
      <c r="BS18" s="100"/>
      <c r="BT18" s="100"/>
      <c r="BU18" s="100"/>
      <c r="BV18" s="100"/>
      <c r="BW18" s="100"/>
      <c r="BX18" s="100"/>
      <c r="BY18" s="100"/>
      <c r="BZ18" s="100"/>
      <c r="CA18" s="100"/>
      <c r="CB18" s="100"/>
      <c r="CC18" s="100"/>
      <c r="CD18" s="100"/>
      <c r="CE18" s="100"/>
      <c r="CF18" s="100"/>
    </row>
    <row r="19" spans="1:84" ht="14.1" customHeight="1">
      <c r="A19" s="122"/>
      <c r="B19" s="787"/>
      <c r="C19" s="788"/>
      <c r="D19" s="429"/>
      <c r="E19" s="430"/>
      <c r="F19" s="430"/>
      <c r="G19" s="429"/>
      <c r="H19" s="434"/>
      <c r="I19" s="435"/>
      <c r="J19" s="436"/>
      <c r="K19" s="400">
        <f>SUM(K9:K18)</f>
        <v>0</v>
      </c>
      <c r="L19" s="404">
        <f>SUM(L9:L18)</f>
        <v>0</v>
      </c>
      <c r="M19" s="429"/>
      <c r="N19" s="404">
        <f t="shared" ref="N19:S19" si="8">SUM(N9:N18)</f>
        <v>0</v>
      </c>
      <c r="O19" s="404">
        <f t="shared" si="8"/>
        <v>0</v>
      </c>
      <c r="P19" s="404">
        <f t="shared" si="8"/>
        <v>0</v>
      </c>
      <c r="Q19" s="404">
        <f t="shared" si="8"/>
        <v>0</v>
      </c>
      <c r="R19" s="404">
        <f t="shared" si="8"/>
        <v>0</v>
      </c>
      <c r="S19" s="404">
        <f t="shared" si="8"/>
        <v>0</v>
      </c>
      <c r="T19" s="120"/>
      <c r="U19" s="100"/>
      <c r="V19" s="1"/>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0"/>
      <c r="BA19" s="100"/>
      <c r="BB19" s="100"/>
      <c r="BC19" s="100"/>
      <c r="BD19" s="100"/>
      <c r="BE19" s="100"/>
      <c r="BF19" s="100"/>
      <c r="BG19" s="100"/>
      <c r="BH19" s="100"/>
      <c r="BI19" s="100"/>
      <c r="BJ19" s="100"/>
      <c r="BK19" s="100"/>
      <c r="BL19" s="100"/>
      <c r="BM19" s="100"/>
      <c r="BN19" s="100"/>
      <c r="BO19" s="100"/>
      <c r="BP19" s="100"/>
      <c r="BQ19" s="100"/>
      <c r="BR19" s="100"/>
      <c r="BS19" s="100"/>
      <c r="BT19" s="100"/>
      <c r="BU19" s="100"/>
      <c r="BV19" s="100"/>
      <c r="BW19" s="100"/>
      <c r="BX19" s="100"/>
      <c r="BY19" s="100"/>
      <c r="BZ19" s="100"/>
      <c r="CA19" s="100"/>
      <c r="CB19" s="100"/>
      <c r="CC19" s="100"/>
      <c r="CD19" s="100"/>
      <c r="CE19" s="100"/>
      <c r="CF19" s="100"/>
    </row>
    <row r="20" spans="1:84" ht="14.1" customHeight="1">
      <c r="A20" s="791" t="s">
        <v>287</v>
      </c>
      <c r="B20" s="789" t="s">
        <v>498</v>
      </c>
      <c r="C20" s="790"/>
      <c r="D20" s="112"/>
      <c r="E20" s="113">
        <v>1</v>
      </c>
      <c r="F20" s="113" t="s">
        <v>497</v>
      </c>
      <c r="G20" s="123">
        <v>0</v>
      </c>
      <c r="H20" s="113">
        <v>10</v>
      </c>
      <c r="I20" s="124">
        <v>1</v>
      </c>
      <c r="J20" s="202">
        <v>35000</v>
      </c>
      <c r="K20" s="397">
        <f>J20*E20</f>
        <v>35000</v>
      </c>
      <c r="L20" s="399">
        <f>IF(I20="",K20,I20*K20)</f>
        <v>35000</v>
      </c>
      <c r="M20" s="124">
        <v>1</v>
      </c>
      <c r="N20" s="407">
        <f t="shared" ref="N20:N21" si="9">IF(I20="",INT(K20*M20),INT(K20*I20*M20))</f>
        <v>35000</v>
      </c>
      <c r="O20" s="407">
        <f t="shared" ref="O20:O21" si="10">N20*(G20)</f>
        <v>0</v>
      </c>
      <c r="P20" s="408">
        <f t="shared" ref="P20:P21" si="11">N20-O20</f>
        <v>35000</v>
      </c>
      <c r="Q20" s="407">
        <f t="shared" ref="Q20:Q21" si="12">IF(H20="",0,ROUND(P20/H20,0))</f>
        <v>3500</v>
      </c>
      <c r="R20" s="407">
        <f>IF(Q20=0,0,INT(Q20/$E$1*10))</f>
        <v>350</v>
      </c>
      <c r="S20" s="409">
        <f t="shared" ref="S20:S33" si="13">IF(R20=0,0,$D$43*K20*M20/$E$1*10)</f>
        <v>140</v>
      </c>
      <c r="T20" s="328"/>
      <c r="U20" s="100"/>
      <c r="V20" s="1"/>
      <c r="W20" s="100"/>
      <c r="X20" s="100"/>
      <c r="Y20" s="100"/>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00"/>
      <c r="BA20" s="100"/>
      <c r="BB20" s="100"/>
      <c r="BC20" s="100"/>
      <c r="BD20" s="100"/>
      <c r="BE20" s="100"/>
      <c r="BF20" s="100"/>
      <c r="BG20" s="100"/>
      <c r="BH20" s="100"/>
      <c r="BI20" s="100"/>
      <c r="BJ20" s="100"/>
      <c r="BK20" s="100"/>
      <c r="BL20" s="100"/>
      <c r="BM20" s="100"/>
      <c r="BN20" s="100"/>
      <c r="BO20" s="100"/>
      <c r="BP20" s="100"/>
      <c r="BQ20" s="100"/>
      <c r="BR20" s="100"/>
      <c r="BS20" s="100"/>
      <c r="BT20" s="100"/>
      <c r="BU20" s="100"/>
      <c r="BV20" s="100"/>
      <c r="BW20" s="100"/>
      <c r="BX20" s="100"/>
      <c r="BY20" s="100"/>
      <c r="BZ20" s="100"/>
      <c r="CA20" s="100"/>
      <c r="CB20" s="100"/>
      <c r="CC20" s="100"/>
      <c r="CD20" s="100"/>
      <c r="CE20" s="100"/>
      <c r="CF20" s="100"/>
    </row>
    <row r="21" spans="1:84" ht="14.1" customHeight="1">
      <c r="A21" s="792"/>
      <c r="B21" s="783"/>
      <c r="C21" s="784"/>
      <c r="D21" s="112"/>
      <c r="E21" s="113"/>
      <c r="F21" s="113"/>
      <c r="G21" s="123"/>
      <c r="H21" s="113"/>
      <c r="I21" s="124"/>
      <c r="J21" s="202"/>
      <c r="K21" s="397">
        <f>J21*E21</f>
        <v>0</v>
      </c>
      <c r="L21" s="399">
        <f>IF(I21="",K21,I21*K21)</f>
        <v>0</v>
      </c>
      <c r="M21" s="124"/>
      <c r="N21" s="407">
        <f t="shared" si="9"/>
        <v>0</v>
      </c>
      <c r="O21" s="407">
        <f t="shared" si="10"/>
        <v>0</v>
      </c>
      <c r="P21" s="408">
        <f t="shared" si="11"/>
        <v>0</v>
      </c>
      <c r="Q21" s="407">
        <f t="shared" si="12"/>
        <v>0</v>
      </c>
      <c r="R21" s="407">
        <f t="shared" ref="R21" si="14">IF(Q21=0,0,INT(Q21/$E$1*10))</f>
        <v>0</v>
      </c>
      <c r="S21" s="407">
        <f t="shared" si="13"/>
        <v>0</v>
      </c>
      <c r="T21" s="328"/>
      <c r="U21" s="100"/>
      <c r="V21" s="1"/>
      <c r="W21" s="100"/>
      <c r="X21" s="100"/>
      <c r="Y21" s="100"/>
      <c r="Z21" s="100"/>
      <c r="AA21" s="100"/>
      <c r="AB21" s="100"/>
      <c r="AC21" s="100"/>
      <c r="AD21" s="100"/>
      <c r="AE21" s="100"/>
      <c r="AF21" s="100"/>
      <c r="AG21" s="100"/>
      <c r="AH21" s="100"/>
      <c r="AI21" s="100"/>
      <c r="AJ21" s="100"/>
      <c r="AK21" s="100"/>
      <c r="AL21" s="100"/>
      <c r="AM21" s="100"/>
      <c r="AN21" s="100"/>
      <c r="AO21" s="100"/>
      <c r="AP21" s="100"/>
      <c r="AQ21" s="100"/>
      <c r="AR21" s="100"/>
      <c r="AS21" s="100"/>
      <c r="AT21" s="100"/>
      <c r="AU21" s="100"/>
      <c r="AV21" s="100"/>
      <c r="AW21" s="100"/>
      <c r="AX21" s="100"/>
      <c r="AY21" s="100"/>
      <c r="AZ21" s="100"/>
      <c r="BA21" s="100"/>
      <c r="BB21" s="100"/>
      <c r="BC21" s="100"/>
      <c r="BD21" s="100"/>
      <c r="BE21" s="100"/>
      <c r="BF21" s="100"/>
      <c r="BG21" s="100"/>
      <c r="BH21" s="100"/>
      <c r="BI21" s="100"/>
      <c r="BJ21" s="100"/>
      <c r="BK21" s="100"/>
      <c r="BL21" s="100"/>
      <c r="BM21" s="100"/>
      <c r="BN21" s="100"/>
      <c r="BO21" s="100"/>
      <c r="BP21" s="100"/>
      <c r="BQ21" s="100"/>
      <c r="BR21" s="100"/>
      <c r="BS21" s="100"/>
      <c r="BT21" s="100"/>
      <c r="BU21" s="100"/>
      <c r="BV21" s="100"/>
      <c r="BW21" s="100"/>
      <c r="BX21" s="100"/>
      <c r="BY21" s="100"/>
      <c r="BZ21" s="100"/>
      <c r="CA21" s="100"/>
      <c r="CB21" s="100"/>
      <c r="CC21" s="100"/>
      <c r="CD21" s="100"/>
      <c r="CE21" s="100"/>
      <c r="CF21" s="100"/>
    </row>
    <row r="22" spans="1:84" ht="14.1" customHeight="1">
      <c r="A22" s="793"/>
      <c r="B22" s="783"/>
      <c r="C22" s="784"/>
      <c r="D22" s="112"/>
      <c r="E22" s="113"/>
      <c r="F22" s="113"/>
      <c r="G22" s="123"/>
      <c r="H22" s="113"/>
      <c r="I22" s="124"/>
      <c r="J22" s="202"/>
      <c r="K22" s="397">
        <f t="shared" ref="K22:K31" si="15">J22*E22</f>
        <v>0</v>
      </c>
      <c r="L22" s="399">
        <f t="shared" ref="L22:L31" si="16">IF(I22="",K22,I22*K22)</f>
        <v>0</v>
      </c>
      <c r="M22" s="124"/>
      <c r="N22" s="407">
        <f t="shared" ref="N22:N30" si="17">IF(I22="",INT(K22*M22),INT(K22*I22*M22))</f>
        <v>0</v>
      </c>
      <c r="O22" s="407">
        <f t="shared" ref="O22:O30" si="18">N22*(G22)</f>
        <v>0</v>
      </c>
      <c r="P22" s="408">
        <f t="shared" ref="P22:P30" si="19">N22-O22</f>
        <v>0</v>
      </c>
      <c r="Q22" s="407">
        <f t="shared" ref="Q22:Q30" si="20">IF(H22="",0,ROUND(P22/H22,0))</f>
        <v>0</v>
      </c>
      <c r="R22" s="407">
        <f t="shared" ref="R22:R30" si="21">IF(Q22=0,0,INT(Q22/$E$1*10))</f>
        <v>0</v>
      </c>
      <c r="S22" s="407">
        <f t="shared" ref="S22:S30" si="22">IF(R22=0,0,$D$43*K22*M22/$E$1*10)</f>
        <v>0</v>
      </c>
      <c r="T22" s="328"/>
      <c r="U22" s="100"/>
      <c r="V22" s="1"/>
      <c r="W22" s="100"/>
      <c r="X22" s="100"/>
      <c r="Y22" s="100"/>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c r="AW22" s="100"/>
      <c r="AX22" s="100"/>
      <c r="AY22" s="100"/>
      <c r="AZ22" s="100"/>
      <c r="BA22" s="100"/>
      <c r="BB22" s="100"/>
      <c r="BC22" s="100"/>
      <c r="BD22" s="100"/>
      <c r="BE22" s="100"/>
      <c r="BF22" s="100"/>
      <c r="BG22" s="100"/>
      <c r="BH22" s="100"/>
      <c r="BI22" s="100"/>
      <c r="BJ22" s="100"/>
      <c r="BK22" s="100"/>
      <c r="BL22" s="100"/>
      <c r="BM22" s="100"/>
      <c r="BN22" s="100"/>
      <c r="BO22" s="100"/>
      <c r="BP22" s="100"/>
      <c r="BQ22" s="100"/>
      <c r="BR22" s="100"/>
      <c r="BS22" s="100"/>
      <c r="BT22" s="100"/>
      <c r="BU22" s="100"/>
      <c r="BV22" s="100"/>
      <c r="BW22" s="100"/>
      <c r="BX22" s="100"/>
      <c r="BY22" s="100"/>
      <c r="BZ22" s="100"/>
      <c r="CA22" s="100"/>
      <c r="CB22" s="100"/>
      <c r="CC22" s="100"/>
      <c r="CD22" s="100"/>
      <c r="CE22" s="100"/>
      <c r="CF22" s="100"/>
    </row>
    <row r="23" spans="1:84" ht="14.1" customHeight="1">
      <c r="A23" s="793"/>
      <c r="B23" s="783"/>
      <c r="C23" s="784"/>
      <c r="D23" s="112"/>
      <c r="E23" s="113"/>
      <c r="F23" s="113"/>
      <c r="G23" s="123"/>
      <c r="H23" s="113"/>
      <c r="I23" s="124"/>
      <c r="J23" s="202"/>
      <c r="K23" s="397">
        <f t="shared" si="15"/>
        <v>0</v>
      </c>
      <c r="L23" s="399">
        <f t="shared" si="16"/>
        <v>0</v>
      </c>
      <c r="M23" s="124"/>
      <c r="N23" s="407">
        <f t="shared" si="17"/>
        <v>0</v>
      </c>
      <c r="O23" s="407">
        <f t="shared" si="18"/>
        <v>0</v>
      </c>
      <c r="P23" s="408">
        <f t="shared" si="19"/>
        <v>0</v>
      </c>
      <c r="Q23" s="407">
        <f t="shared" si="20"/>
        <v>0</v>
      </c>
      <c r="R23" s="407">
        <f t="shared" si="21"/>
        <v>0</v>
      </c>
      <c r="S23" s="407">
        <f t="shared" si="22"/>
        <v>0</v>
      </c>
      <c r="T23" s="328"/>
      <c r="U23" s="100"/>
      <c r="V23" s="1"/>
      <c r="W23" s="100"/>
      <c r="X23" s="100"/>
      <c r="Y23" s="100"/>
      <c r="Z23" s="100"/>
      <c r="AA23" s="100"/>
      <c r="AB23" s="100"/>
      <c r="AC23" s="100"/>
      <c r="AD23" s="100"/>
      <c r="AE23" s="100"/>
      <c r="AF23" s="100"/>
      <c r="AG23" s="100"/>
      <c r="AH23" s="100"/>
      <c r="AI23" s="100"/>
      <c r="AJ23" s="100"/>
      <c r="AK23" s="100"/>
      <c r="AL23" s="100"/>
      <c r="AM23" s="100"/>
      <c r="AN23" s="100"/>
      <c r="AO23" s="100"/>
      <c r="AP23" s="100"/>
      <c r="AQ23" s="100"/>
      <c r="AR23" s="100"/>
      <c r="AS23" s="100"/>
      <c r="AT23" s="100"/>
      <c r="AU23" s="100"/>
      <c r="AV23" s="100"/>
      <c r="AW23" s="100"/>
      <c r="AX23" s="100"/>
      <c r="AY23" s="100"/>
      <c r="AZ23" s="100"/>
      <c r="BA23" s="100"/>
      <c r="BB23" s="100"/>
      <c r="BC23" s="100"/>
      <c r="BD23" s="100"/>
      <c r="BE23" s="100"/>
      <c r="BF23" s="100"/>
      <c r="BG23" s="100"/>
      <c r="BH23" s="100"/>
      <c r="BI23" s="100"/>
      <c r="BJ23" s="100"/>
      <c r="BK23" s="100"/>
      <c r="BL23" s="100"/>
      <c r="BM23" s="100"/>
      <c r="BN23" s="100"/>
      <c r="BO23" s="100"/>
      <c r="BP23" s="100"/>
      <c r="BQ23" s="100"/>
      <c r="BR23" s="100"/>
      <c r="BS23" s="100"/>
      <c r="BT23" s="100"/>
      <c r="BU23" s="100"/>
      <c r="BV23" s="100"/>
      <c r="BW23" s="100"/>
      <c r="BX23" s="100"/>
      <c r="BY23" s="100"/>
      <c r="BZ23" s="100"/>
      <c r="CA23" s="100"/>
      <c r="CB23" s="100"/>
      <c r="CC23" s="100"/>
      <c r="CD23" s="100"/>
      <c r="CE23" s="100"/>
      <c r="CF23" s="100"/>
    </row>
    <row r="24" spans="1:84" ht="14.1" customHeight="1">
      <c r="A24" s="793"/>
      <c r="B24" s="783"/>
      <c r="C24" s="784"/>
      <c r="D24" s="112"/>
      <c r="E24" s="113"/>
      <c r="F24" s="113"/>
      <c r="G24" s="123"/>
      <c r="H24" s="113"/>
      <c r="I24" s="124"/>
      <c r="J24" s="202"/>
      <c r="K24" s="397">
        <f t="shared" si="15"/>
        <v>0</v>
      </c>
      <c r="L24" s="399">
        <f t="shared" si="16"/>
        <v>0</v>
      </c>
      <c r="M24" s="124"/>
      <c r="N24" s="407">
        <f t="shared" si="17"/>
        <v>0</v>
      </c>
      <c r="O24" s="407">
        <f t="shared" si="18"/>
        <v>0</v>
      </c>
      <c r="P24" s="408">
        <f t="shared" si="19"/>
        <v>0</v>
      </c>
      <c r="Q24" s="407">
        <f t="shared" si="20"/>
        <v>0</v>
      </c>
      <c r="R24" s="407">
        <f t="shared" si="21"/>
        <v>0</v>
      </c>
      <c r="S24" s="407">
        <f t="shared" si="22"/>
        <v>0</v>
      </c>
      <c r="T24" s="328"/>
      <c r="U24" s="100"/>
      <c r="V24" s="1"/>
      <c r="W24" s="100"/>
      <c r="X24" s="100"/>
      <c r="Y24" s="100"/>
      <c r="Z24" s="100"/>
      <c r="AA24" s="100"/>
      <c r="AB24" s="100"/>
      <c r="AC24" s="100"/>
      <c r="AD24" s="100"/>
      <c r="AE24" s="100"/>
      <c r="AF24" s="100"/>
      <c r="AG24" s="100"/>
      <c r="AH24" s="100"/>
      <c r="AI24" s="100"/>
      <c r="AJ24" s="100"/>
      <c r="AK24" s="100"/>
      <c r="AL24" s="100"/>
      <c r="AM24" s="100"/>
      <c r="AN24" s="100"/>
      <c r="AO24" s="100"/>
      <c r="AP24" s="100"/>
      <c r="AQ24" s="100"/>
      <c r="AR24" s="100"/>
      <c r="AS24" s="100"/>
      <c r="AT24" s="100"/>
      <c r="AU24" s="100"/>
      <c r="AV24" s="100"/>
      <c r="AW24" s="100"/>
      <c r="AX24" s="100"/>
      <c r="AY24" s="100"/>
      <c r="AZ24" s="100"/>
      <c r="BA24" s="100"/>
      <c r="BB24" s="100"/>
      <c r="BC24" s="100"/>
      <c r="BD24" s="100"/>
      <c r="BE24" s="100"/>
      <c r="BF24" s="100"/>
      <c r="BG24" s="100"/>
      <c r="BH24" s="100"/>
      <c r="BI24" s="100"/>
      <c r="BJ24" s="100"/>
      <c r="BK24" s="100"/>
      <c r="BL24" s="100"/>
      <c r="BM24" s="100"/>
      <c r="BN24" s="100"/>
      <c r="BO24" s="100"/>
      <c r="BP24" s="100"/>
      <c r="BQ24" s="100"/>
      <c r="BR24" s="100"/>
      <c r="BS24" s="100"/>
      <c r="BT24" s="100"/>
      <c r="BU24" s="100"/>
      <c r="BV24" s="100"/>
      <c r="BW24" s="100"/>
      <c r="BX24" s="100"/>
      <c r="BY24" s="100"/>
      <c r="BZ24" s="100"/>
      <c r="CA24" s="100"/>
      <c r="CB24" s="100"/>
      <c r="CC24" s="100"/>
      <c r="CD24" s="100"/>
      <c r="CE24" s="100"/>
      <c r="CF24" s="100"/>
    </row>
    <row r="25" spans="1:84" ht="14.1" customHeight="1">
      <c r="A25" s="793"/>
      <c r="B25" s="783"/>
      <c r="C25" s="784"/>
      <c r="D25" s="112"/>
      <c r="E25" s="113"/>
      <c r="F25" s="113"/>
      <c r="G25" s="123"/>
      <c r="H25" s="113"/>
      <c r="I25" s="124"/>
      <c r="J25" s="202"/>
      <c r="K25" s="397">
        <f t="shared" si="15"/>
        <v>0</v>
      </c>
      <c r="L25" s="399">
        <f t="shared" si="16"/>
        <v>0</v>
      </c>
      <c r="M25" s="124"/>
      <c r="N25" s="407">
        <f t="shared" si="17"/>
        <v>0</v>
      </c>
      <c r="O25" s="407">
        <f t="shared" si="18"/>
        <v>0</v>
      </c>
      <c r="P25" s="408">
        <f t="shared" si="19"/>
        <v>0</v>
      </c>
      <c r="Q25" s="407">
        <f t="shared" si="20"/>
        <v>0</v>
      </c>
      <c r="R25" s="407">
        <f t="shared" si="21"/>
        <v>0</v>
      </c>
      <c r="S25" s="407">
        <f t="shared" si="22"/>
        <v>0</v>
      </c>
      <c r="T25" s="328"/>
      <c r="U25" s="100"/>
      <c r="V25" s="1"/>
      <c r="W25" s="100"/>
      <c r="X25" s="100"/>
      <c r="Y25" s="100"/>
      <c r="Z25" s="100"/>
      <c r="AA25" s="100"/>
      <c r="AB25" s="100"/>
      <c r="AC25" s="100"/>
      <c r="AD25" s="100"/>
      <c r="AE25" s="100"/>
      <c r="AF25" s="100"/>
      <c r="AG25" s="100"/>
      <c r="AH25" s="100"/>
      <c r="AI25" s="100"/>
      <c r="AJ25" s="100"/>
      <c r="AK25" s="100"/>
      <c r="AL25" s="100"/>
      <c r="AM25" s="100"/>
      <c r="AN25" s="100"/>
      <c r="AO25" s="100"/>
      <c r="AP25" s="100"/>
      <c r="AQ25" s="100"/>
      <c r="AR25" s="100"/>
      <c r="AS25" s="100"/>
      <c r="AT25" s="100"/>
      <c r="AU25" s="100"/>
      <c r="AV25" s="100"/>
      <c r="AW25" s="100"/>
      <c r="AX25" s="100"/>
      <c r="AY25" s="100"/>
      <c r="AZ25" s="100"/>
      <c r="BA25" s="100"/>
      <c r="BB25" s="100"/>
      <c r="BC25" s="100"/>
      <c r="BD25" s="100"/>
      <c r="BE25" s="100"/>
      <c r="BF25" s="100"/>
      <c r="BG25" s="100"/>
      <c r="BH25" s="100"/>
      <c r="BI25" s="100"/>
      <c r="BJ25" s="100"/>
      <c r="BK25" s="100"/>
      <c r="BL25" s="100"/>
      <c r="BM25" s="100"/>
      <c r="BN25" s="100"/>
      <c r="BO25" s="100"/>
      <c r="BP25" s="100"/>
      <c r="BQ25" s="100"/>
      <c r="BR25" s="100"/>
      <c r="BS25" s="100"/>
      <c r="BT25" s="100"/>
      <c r="BU25" s="100"/>
      <c r="BV25" s="100"/>
      <c r="BW25" s="100"/>
      <c r="BX25" s="100"/>
      <c r="BY25" s="100"/>
      <c r="BZ25" s="100"/>
      <c r="CA25" s="100"/>
      <c r="CB25" s="100"/>
      <c r="CC25" s="100"/>
      <c r="CD25" s="100"/>
      <c r="CE25" s="100"/>
      <c r="CF25" s="100"/>
    </row>
    <row r="26" spans="1:84" ht="14.1" customHeight="1">
      <c r="A26" s="793"/>
      <c r="B26" s="783"/>
      <c r="C26" s="784"/>
      <c r="D26" s="112"/>
      <c r="E26" s="113"/>
      <c r="F26" s="113"/>
      <c r="G26" s="123"/>
      <c r="H26" s="113"/>
      <c r="I26" s="124"/>
      <c r="J26" s="202"/>
      <c r="K26" s="397">
        <f t="shared" si="15"/>
        <v>0</v>
      </c>
      <c r="L26" s="399">
        <f t="shared" si="16"/>
        <v>0</v>
      </c>
      <c r="M26" s="124"/>
      <c r="N26" s="407">
        <f t="shared" si="17"/>
        <v>0</v>
      </c>
      <c r="O26" s="407">
        <f t="shared" si="18"/>
        <v>0</v>
      </c>
      <c r="P26" s="408">
        <f t="shared" si="19"/>
        <v>0</v>
      </c>
      <c r="Q26" s="407">
        <f t="shared" si="20"/>
        <v>0</v>
      </c>
      <c r="R26" s="407">
        <f t="shared" si="21"/>
        <v>0</v>
      </c>
      <c r="S26" s="407">
        <f t="shared" si="22"/>
        <v>0</v>
      </c>
      <c r="T26" s="328"/>
      <c r="U26" s="100"/>
      <c r="V26" s="1"/>
      <c r="W26" s="100"/>
      <c r="X26" s="100"/>
      <c r="Y26" s="100"/>
      <c r="Z26" s="100"/>
      <c r="AA26" s="100"/>
      <c r="AB26" s="100"/>
      <c r="AC26" s="100"/>
      <c r="AD26" s="100"/>
      <c r="AE26" s="100"/>
      <c r="AF26" s="100"/>
      <c r="AG26" s="100"/>
      <c r="AH26" s="100"/>
      <c r="AI26" s="100"/>
      <c r="AJ26" s="100"/>
      <c r="AK26" s="100"/>
      <c r="AL26" s="100"/>
      <c r="AM26" s="100"/>
      <c r="AN26" s="100"/>
      <c r="AO26" s="100"/>
      <c r="AP26" s="100"/>
      <c r="AQ26" s="100"/>
      <c r="AR26" s="100"/>
      <c r="AS26" s="100"/>
      <c r="AT26" s="100"/>
      <c r="AU26" s="100"/>
      <c r="AV26" s="100"/>
      <c r="AW26" s="100"/>
      <c r="AX26" s="100"/>
      <c r="AY26" s="100"/>
      <c r="AZ26" s="100"/>
      <c r="BA26" s="100"/>
      <c r="BB26" s="100"/>
      <c r="BC26" s="100"/>
      <c r="BD26" s="100"/>
      <c r="BE26" s="100"/>
      <c r="BF26" s="100"/>
      <c r="BG26" s="100"/>
      <c r="BH26" s="100"/>
      <c r="BI26" s="100"/>
      <c r="BJ26" s="100"/>
      <c r="BK26" s="100"/>
      <c r="BL26" s="100"/>
      <c r="BM26" s="100"/>
      <c r="BN26" s="100"/>
      <c r="BO26" s="100"/>
      <c r="BP26" s="100"/>
      <c r="BQ26" s="100"/>
      <c r="BR26" s="100"/>
      <c r="BS26" s="100"/>
      <c r="BT26" s="100"/>
      <c r="BU26" s="100"/>
      <c r="BV26" s="100"/>
      <c r="BW26" s="100"/>
      <c r="BX26" s="100"/>
      <c r="BY26" s="100"/>
      <c r="BZ26" s="100"/>
      <c r="CA26" s="100"/>
      <c r="CB26" s="100"/>
      <c r="CC26" s="100"/>
      <c r="CD26" s="100"/>
      <c r="CE26" s="100"/>
      <c r="CF26" s="100"/>
    </row>
    <row r="27" spans="1:84" ht="14.1" customHeight="1">
      <c r="A27" s="793"/>
      <c r="B27" s="783"/>
      <c r="C27" s="784"/>
      <c r="D27" s="112"/>
      <c r="E27" s="113"/>
      <c r="F27" s="113"/>
      <c r="G27" s="123"/>
      <c r="H27" s="113"/>
      <c r="I27" s="124"/>
      <c r="J27" s="202"/>
      <c r="K27" s="397">
        <f t="shared" si="15"/>
        <v>0</v>
      </c>
      <c r="L27" s="399">
        <f t="shared" si="16"/>
        <v>0</v>
      </c>
      <c r="M27" s="124"/>
      <c r="N27" s="407">
        <f t="shared" si="17"/>
        <v>0</v>
      </c>
      <c r="O27" s="407">
        <f t="shared" si="18"/>
        <v>0</v>
      </c>
      <c r="P27" s="408">
        <f t="shared" si="19"/>
        <v>0</v>
      </c>
      <c r="Q27" s="407">
        <f t="shared" si="20"/>
        <v>0</v>
      </c>
      <c r="R27" s="407">
        <f t="shared" si="21"/>
        <v>0</v>
      </c>
      <c r="S27" s="407">
        <f t="shared" si="22"/>
        <v>0</v>
      </c>
      <c r="T27" s="328"/>
      <c r="U27" s="100"/>
      <c r="V27" s="1"/>
      <c r="W27" s="100"/>
      <c r="X27" s="100"/>
      <c r="Y27" s="100"/>
      <c r="Z27" s="100"/>
      <c r="AA27" s="100"/>
      <c r="AB27" s="100"/>
      <c r="AC27" s="100"/>
      <c r="AD27" s="100"/>
      <c r="AE27" s="100"/>
      <c r="AF27" s="100"/>
      <c r="AG27" s="100"/>
      <c r="AH27" s="100"/>
      <c r="AI27" s="100"/>
      <c r="AJ27" s="100"/>
      <c r="AK27" s="100"/>
      <c r="AL27" s="100"/>
      <c r="AM27" s="100"/>
      <c r="AN27" s="100"/>
      <c r="AO27" s="100"/>
      <c r="AP27" s="100"/>
      <c r="AQ27" s="100"/>
      <c r="AR27" s="100"/>
      <c r="AS27" s="100"/>
      <c r="AT27" s="100"/>
      <c r="AU27" s="100"/>
      <c r="AV27" s="100"/>
      <c r="AW27" s="100"/>
      <c r="AX27" s="100"/>
      <c r="AY27" s="100"/>
      <c r="AZ27" s="100"/>
      <c r="BA27" s="100"/>
      <c r="BB27" s="100"/>
      <c r="BC27" s="100"/>
      <c r="BD27" s="100"/>
      <c r="BE27" s="100"/>
      <c r="BF27" s="100"/>
      <c r="BG27" s="100"/>
      <c r="BH27" s="100"/>
      <c r="BI27" s="100"/>
      <c r="BJ27" s="100"/>
      <c r="BK27" s="100"/>
      <c r="BL27" s="100"/>
      <c r="BM27" s="100"/>
      <c r="BN27" s="100"/>
      <c r="BO27" s="100"/>
      <c r="BP27" s="100"/>
      <c r="BQ27" s="100"/>
      <c r="BR27" s="100"/>
      <c r="BS27" s="100"/>
      <c r="BT27" s="100"/>
      <c r="BU27" s="100"/>
      <c r="BV27" s="100"/>
      <c r="BW27" s="100"/>
      <c r="BX27" s="100"/>
      <c r="BY27" s="100"/>
      <c r="BZ27" s="100"/>
      <c r="CA27" s="100"/>
      <c r="CB27" s="100"/>
      <c r="CC27" s="100"/>
      <c r="CD27" s="100"/>
      <c r="CE27" s="100"/>
      <c r="CF27" s="100"/>
    </row>
    <row r="28" spans="1:84" ht="14.1" customHeight="1">
      <c r="A28" s="793"/>
      <c r="B28" s="783"/>
      <c r="C28" s="784"/>
      <c r="D28" s="112"/>
      <c r="E28" s="113"/>
      <c r="F28" s="113"/>
      <c r="G28" s="123"/>
      <c r="H28" s="113"/>
      <c r="I28" s="124"/>
      <c r="J28" s="202"/>
      <c r="K28" s="397">
        <f t="shared" si="15"/>
        <v>0</v>
      </c>
      <c r="L28" s="399">
        <f t="shared" si="16"/>
        <v>0</v>
      </c>
      <c r="M28" s="124"/>
      <c r="N28" s="407">
        <f t="shared" si="17"/>
        <v>0</v>
      </c>
      <c r="O28" s="407">
        <f t="shared" si="18"/>
        <v>0</v>
      </c>
      <c r="P28" s="408">
        <f t="shared" si="19"/>
        <v>0</v>
      </c>
      <c r="Q28" s="407">
        <f t="shared" si="20"/>
        <v>0</v>
      </c>
      <c r="R28" s="407">
        <f t="shared" si="21"/>
        <v>0</v>
      </c>
      <c r="S28" s="407">
        <f t="shared" si="22"/>
        <v>0</v>
      </c>
      <c r="T28" s="328"/>
      <c r="U28" s="100"/>
      <c r="V28" s="1"/>
      <c r="W28" s="100"/>
      <c r="X28" s="100"/>
      <c r="Y28" s="100"/>
      <c r="Z28" s="100"/>
      <c r="AA28" s="100"/>
      <c r="AB28" s="100"/>
      <c r="AC28" s="100"/>
      <c r="AD28" s="100"/>
      <c r="AE28" s="100"/>
      <c r="AF28" s="100"/>
      <c r="AG28" s="100"/>
      <c r="AH28" s="100"/>
      <c r="AI28" s="100"/>
      <c r="AJ28" s="100"/>
      <c r="AK28" s="100"/>
      <c r="AL28" s="100"/>
      <c r="AM28" s="100"/>
      <c r="AN28" s="100"/>
      <c r="AO28" s="100"/>
      <c r="AP28" s="100"/>
      <c r="AQ28" s="100"/>
      <c r="AR28" s="100"/>
      <c r="AS28" s="100"/>
      <c r="AT28" s="100"/>
      <c r="AU28" s="100"/>
      <c r="AV28" s="100"/>
      <c r="AW28" s="100"/>
      <c r="AX28" s="100"/>
      <c r="AY28" s="100"/>
      <c r="AZ28" s="100"/>
      <c r="BA28" s="100"/>
      <c r="BB28" s="100"/>
      <c r="BC28" s="100"/>
      <c r="BD28" s="100"/>
      <c r="BE28" s="100"/>
      <c r="BF28" s="100"/>
      <c r="BG28" s="100"/>
      <c r="BH28" s="100"/>
      <c r="BI28" s="100"/>
      <c r="BJ28" s="100"/>
      <c r="BK28" s="100"/>
      <c r="BL28" s="100"/>
      <c r="BM28" s="100"/>
      <c r="BN28" s="100"/>
      <c r="BO28" s="100"/>
      <c r="BP28" s="100"/>
      <c r="BQ28" s="100"/>
      <c r="BR28" s="100"/>
      <c r="BS28" s="100"/>
      <c r="BT28" s="100"/>
      <c r="BU28" s="100"/>
      <c r="BV28" s="100"/>
      <c r="BW28" s="100"/>
      <c r="BX28" s="100"/>
      <c r="BY28" s="100"/>
      <c r="BZ28" s="100"/>
      <c r="CA28" s="100"/>
      <c r="CB28" s="100"/>
      <c r="CC28" s="100"/>
      <c r="CD28" s="100"/>
      <c r="CE28" s="100"/>
      <c r="CF28" s="100"/>
    </row>
    <row r="29" spans="1:84" ht="14.1" customHeight="1">
      <c r="A29" s="792"/>
      <c r="B29" s="783"/>
      <c r="C29" s="784"/>
      <c r="D29" s="112"/>
      <c r="E29" s="113"/>
      <c r="F29" s="113"/>
      <c r="G29" s="123"/>
      <c r="H29" s="113"/>
      <c r="I29" s="124"/>
      <c r="J29" s="118"/>
      <c r="K29" s="397">
        <f t="shared" si="15"/>
        <v>0</v>
      </c>
      <c r="L29" s="399">
        <f t="shared" si="16"/>
        <v>0</v>
      </c>
      <c r="M29" s="124"/>
      <c r="N29" s="407">
        <f t="shared" si="17"/>
        <v>0</v>
      </c>
      <c r="O29" s="407">
        <f t="shared" si="18"/>
        <v>0</v>
      </c>
      <c r="P29" s="408">
        <f t="shared" si="19"/>
        <v>0</v>
      </c>
      <c r="Q29" s="407">
        <f t="shared" si="20"/>
        <v>0</v>
      </c>
      <c r="R29" s="407">
        <f t="shared" si="21"/>
        <v>0</v>
      </c>
      <c r="S29" s="407">
        <f t="shared" si="22"/>
        <v>0</v>
      </c>
      <c r="T29" s="328"/>
      <c r="U29" s="100"/>
      <c r="V29" s="1"/>
      <c r="W29" s="100"/>
      <c r="X29" s="100"/>
      <c r="Y29" s="100"/>
      <c r="Z29" s="100"/>
      <c r="AA29" s="100"/>
      <c r="AB29" s="100"/>
      <c r="AC29" s="100"/>
      <c r="AD29" s="100"/>
      <c r="AE29" s="100"/>
      <c r="AF29" s="100"/>
      <c r="AG29" s="100"/>
      <c r="AH29" s="100"/>
      <c r="AI29" s="100"/>
      <c r="AJ29" s="100"/>
      <c r="AK29" s="100"/>
      <c r="AL29" s="100"/>
      <c r="AM29" s="100"/>
      <c r="AN29" s="100"/>
      <c r="AO29" s="100"/>
      <c r="AP29" s="100"/>
      <c r="AQ29" s="100"/>
      <c r="AR29" s="100"/>
      <c r="AS29" s="100"/>
      <c r="AT29" s="100"/>
      <c r="AU29" s="100"/>
      <c r="AV29" s="100"/>
      <c r="AW29" s="100"/>
      <c r="AX29" s="100"/>
      <c r="AY29" s="100"/>
      <c r="AZ29" s="100"/>
      <c r="BA29" s="100"/>
      <c r="BB29" s="100"/>
      <c r="BC29" s="100"/>
      <c r="BD29" s="100"/>
      <c r="BE29" s="100"/>
      <c r="BF29" s="100"/>
      <c r="BG29" s="100"/>
      <c r="BH29" s="100"/>
      <c r="BI29" s="100"/>
      <c r="BJ29" s="100"/>
      <c r="BK29" s="100"/>
      <c r="BL29" s="100"/>
      <c r="BM29" s="100"/>
      <c r="BN29" s="100"/>
      <c r="BO29" s="100"/>
      <c r="BP29" s="100"/>
      <c r="BQ29" s="100"/>
      <c r="BR29" s="100"/>
      <c r="BS29" s="100"/>
      <c r="BT29" s="100"/>
      <c r="BU29" s="100"/>
      <c r="BV29" s="100"/>
      <c r="BW29" s="100"/>
      <c r="BX29" s="100"/>
      <c r="BY29" s="100"/>
      <c r="BZ29" s="100"/>
      <c r="CA29" s="100"/>
      <c r="CB29" s="100"/>
      <c r="CC29" s="100"/>
      <c r="CD29" s="100"/>
      <c r="CE29" s="100"/>
      <c r="CF29" s="100"/>
    </row>
    <row r="30" spans="1:84" ht="14.1" customHeight="1">
      <c r="A30" s="792"/>
      <c r="B30" s="783"/>
      <c r="C30" s="784"/>
      <c r="D30" s="112"/>
      <c r="E30" s="113"/>
      <c r="F30" s="113"/>
      <c r="G30" s="123"/>
      <c r="H30" s="113"/>
      <c r="I30" s="124"/>
      <c r="J30" s="118"/>
      <c r="K30" s="397">
        <f t="shared" si="15"/>
        <v>0</v>
      </c>
      <c r="L30" s="399">
        <f t="shared" si="16"/>
        <v>0</v>
      </c>
      <c r="M30" s="124"/>
      <c r="N30" s="407">
        <f t="shared" si="17"/>
        <v>0</v>
      </c>
      <c r="O30" s="407">
        <f t="shared" si="18"/>
        <v>0</v>
      </c>
      <c r="P30" s="408">
        <f t="shared" si="19"/>
        <v>0</v>
      </c>
      <c r="Q30" s="407">
        <f t="shared" si="20"/>
        <v>0</v>
      </c>
      <c r="R30" s="407">
        <f t="shared" si="21"/>
        <v>0</v>
      </c>
      <c r="S30" s="407">
        <f t="shared" si="22"/>
        <v>0</v>
      </c>
      <c r="T30" s="328"/>
      <c r="U30" s="100"/>
      <c r="V30" s="1"/>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c r="AS30" s="100"/>
      <c r="AT30" s="100"/>
      <c r="AU30" s="100"/>
      <c r="AV30" s="100"/>
      <c r="AW30" s="100"/>
      <c r="AX30" s="100"/>
      <c r="AY30" s="100"/>
      <c r="AZ30" s="100"/>
      <c r="BA30" s="100"/>
      <c r="BB30" s="100"/>
      <c r="BC30" s="100"/>
      <c r="BD30" s="100"/>
      <c r="BE30" s="100"/>
      <c r="BF30" s="100"/>
      <c r="BG30" s="100"/>
      <c r="BH30" s="100"/>
      <c r="BI30" s="100"/>
      <c r="BJ30" s="100"/>
      <c r="BK30" s="100"/>
      <c r="BL30" s="100"/>
      <c r="BM30" s="100"/>
      <c r="BN30" s="100"/>
      <c r="BO30" s="100"/>
      <c r="BP30" s="100"/>
      <c r="BQ30" s="100"/>
      <c r="BR30" s="100"/>
      <c r="BS30" s="100"/>
      <c r="BT30" s="100"/>
      <c r="BU30" s="100"/>
      <c r="BV30" s="100"/>
      <c r="BW30" s="100"/>
      <c r="BX30" s="100"/>
      <c r="BY30" s="100"/>
      <c r="BZ30" s="100"/>
      <c r="CA30" s="100"/>
      <c r="CB30" s="100"/>
      <c r="CC30" s="100"/>
      <c r="CD30" s="100"/>
      <c r="CE30" s="100"/>
      <c r="CF30" s="100"/>
    </row>
    <row r="31" spans="1:84" ht="14.1" customHeight="1">
      <c r="A31" s="792"/>
      <c r="B31" s="783"/>
      <c r="C31" s="784"/>
      <c r="D31" s="112"/>
      <c r="E31" s="113"/>
      <c r="F31" s="113"/>
      <c r="G31" s="123"/>
      <c r="H31" s="113"/>
      <c r="I31" s="124"/>
      <c r="J31" s="118"/>
      <c r="K31" s="397">
        <f t="shared" si="15"/>
        <v>0</v>
      </c>
      <c r="L31" s="399">
        <f t="shared" si="16"/>
        <v>0</v>
      </c>
      <c r="M31" s="124"/>
      <c r="N31" s="407">
        <f t="shared" ref="N31:N33" si="23">IF(I31="",INT(K31*M31),INT(K31*I31*M31))</f>
        <v>0</v>
      </c>
      <c r="O31" s="407">
        <f t="shared" ref="O31:O33" si="24">N31*(G31)</f>
        <v>0</v>
      </c>
      <c r="P31" s="408">
        <f t="shared" ref="P31:P33" si="25">N31-O31</f>
        <v>0</v>
      </c>
      <c r="Q31" s="407">
        <f t="shared" ref="Q31:Q33" si="26">IF(H31="",0,ROUND(P31/H31,0))</f>
        <v>0</v>
      </c>
      <c r="R31" s="407">
        <f t="shared" ref="R31:R33" si="27">IF(Q31=0,0,INT(Q31/$E$1*10))</f>
        <v>0</v>
      </c>
      <c r="S31" s="407">
        <f t="shared" si="13"/>
        <v>0</v>
      </c>
      <c r="T31" s="328"/>
      <c r="U31" s="100"/>
      <c r="V31" s="1"/>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c r="AS31" s="100"/>
      <c r="AT31" s="100"/>
      <c r="AU31" s="100"/>
      <c r="AV31" s="100"/>
      <c r="AW31" s="100"/>
      <c r="AX31" s="100"/>
      <c r="AY31" s="100"/>
      <c r="AZ31" s="100"/>
      <c r="BA31" s="100"/>
      <c r="BB31" s="100"/>
      <c r="BC31" s="100"/>
      <c r="BD31" s="100"/>
      <c r="BE31" s="100"/>
      <c r="BF31" s="100"/>
      <c r="BG31" s="100"/>
      <c r="BH31" s="100"/>
      <c r="BI31" s="100"/>
      <c r="BJ31" s="100"/>
      <c r="BK31" s="100"/>
      <c r="BL31" s="100"/>
      <c r="BM31" s="100"/>
      <c r="BN31" s="100"/>
      <c r="BO31" s="100"/>
      <c r="BP31" s="100"/>
      <c r="BQ31" s="100"/>
      <c r="BR31" s="100"/>
      <c r="BS31" s="100"/>
      <c r="BT31" s="100"/>
      <c r="BU31" s="100"/>
      <c r="BV31" s="100"/>
      <c r="BW31" s="100"/>
      <c r="BX31" s="100"/>
      <c r="BY31" s="100"/>
      <c r="BZ31" s="100"/>
      <c r="CA31" s="100"/>
      <c r="CB31" s="100"/>
      <c r="CC31" s="100"/>
      <c r="CD31" s="100"/>
      <c r="CE31" s="100"/>
      <c r="CF31" s="100"/>
    </row>
    <row r="32" spans="1:84" ht="14.1" customHeight="1">
      <c r="A32" s="792"/>
      <c r="B32" s="783"/>
      <c r="C32" s="784"/>
      <c r="D32" s="112"/>
      <c r="E32" s="113"/>
      <c r="F32" s="113"/>
      <c r="G32" s="123"/>
      <c r="H32" s="113"/>
      <c r="I32" s="124"/>
      <c r="J32" s="118"/>
      <c r="K32" s="402">
        <f t="shared" ref="K32:K36" si="28">J32*E32</f>
        <v>0</v>
      </c>
      <c r="L32" s="403">
        <f t="shared" ref="L32:L33" si="29">IF(I32="",K32,I32*K32)</f>
        <v>0</v>
      </c>
      <c r="M32" s="124"/>
      <c r="N32" s="407">
        <f t="shared" si="23"/>
        <v>0</v>
      </c>
      <c r="O32" s="407">
        <f t="shared" si="24"/>
        <v>0</v>
      </c>
      <c r="P32" s="408">
        <f t="shared" si="25"/>
        <v>0</v>
      </c>
      <c r="Q32" s="407">
        <f t="shared" si="26"/>
        <v>0</v>
      </c>
      <c r="R32" s="407">
        <f t="shared" si="27"/>
        <v>0</v>
      </c>
      <c r="S32" s="407">
        <f t="shared" si="13"/>
        <v>0</v>
      </c>
      <c r="T32" s="328"/>
      <c r="U32" s="100"/>
      <c r="V32" s="1"/>
      <c r="W32" s="100"/>
      <c r="X32" s="100"/>
      <c r="Y32" s="100"/>
      <c r="Z32" s="100"/>
      <c r="AA32" s="100"/>
      <c r="AB32" s="100"/>
      <c r="AC32" s="100"/>
      <c r="AD32" s="100"/>
      <c r="AE32" s="100"/>
      <c r="AF32" s="100"/>
      <c r="AG32" s="100"/>
      <c r="AH32" s="100"/>
      <c r="AI32" s="100"/>
      <c r="AJ32" s="100"/>
      <c r="AK32" s="100"/>
      <c r="AL32" s="100"/>
      <c r="AM32" s="100"/>
      <c r="AN32" s="100"/>
      <c r="AO32" s="100"/>
      <c r="AP32" s="100"/>
      <c r="AQ32" s="100"/>
      <c r="AR32" s="100"/>
      <c r="AS32" s="100"/>
      <c r="AT32" s="100"/>
      <c r="AU32" s="100"/>
      <c r="AV32" s="100"/>
      <c r="AW32" s="100"/>
      <c r="AX32" s="100"/>
      <c r="AY32" s="100"/>
      <c r="AZ32" s="100"/>
      <c r="BA32" s="100"/>
      <c r="BB32" s="100"/>
      <c r="BC32" s="100"/>
      <c r="BD32" s="100"/>
      <c r="BE32" s="100"/>
      <c r="BF32" s="100"/>
      <c r="BG32" s="100"/>
      <c r="BH32" s="100"/>
      <c r="BI32" s="100"/>
      <c r="BJ32" s="100"/>
      <c r="BK32" s="100"/>
      <c r="BL32" s="100"/>
      <c r="BM32" s="100"/>
      <c r="BN32" s="100"/>
      <c r="BO32" s="100"/>
      <c r="BP32" s="100"/>
      <c r="BQ32" s="100"/>
      <c r="BR32" s="100"/>
      <c r="BS32" s="100"/>
      <c r="BT32" s="100"/>
      <c r="BU32" s="100"/>
      <c r="BV32" s="100"/>
      <c r="BW32" s="100"/>
      <c r="BX32" s="100"/>
      <c r="BY32" s="100"/>
      <c r="BZ32" s="100"/>
      <c r="CA32" s="100"/>
      <c r="CB32" s="100"/>
      <c r="CC32" s="100"/>
      <c r="CD32" s="100"/>
      <c r="CE32" s="100"/>
      <c r="CF32" s="100"/>
    </row>
    <row r="33" spans="1:84" ht="14.1" customHeight="1">
      <c r="A33" s="792"/>
      <c r="B33" s="783"/>
      <c r="C33" s="784"/>
      <c r="D33" s="112"/>
      <c r="E33" s="113"/>
      <c r="F33" s="113"/>
      <c r="G33" s="123"/>
      <c r="H33" s="113"/>
      <c r="I33" s="124"/>
      <c r="J33" s="118"/>
      <c r="K33" s="402">
        <f t="shared" si="28"/>
        <v>0</v>
      </c>
      <c r="L33" s="403">
        <f t="shared" si="29"/>
        <v>0</v>
      </c>
      <c r="M33" s="124"/>
      <c r="N33" s="407">
        <f t="shared" si="23"/>
        <v>0</v>
      </c>
      <c r="O33" s="407">
        <f t="shared" si="24"/>
        <v>0</v>
      </c>
      <c r="P33" s="408">
        <f t="shared" si="25"/>
        <v>0</v>
      </c>
      <c r="Q33" s="407">
        <f t="shared" si="26"/>
        <v>0</v>
      </c>
      <c r="R33" s="407">
        <f t="shared" si="27"/>
        <v>0</v>
      </c>
      <c r="S33" s="407">
        <f t="shared" si="13"/>
        <v>0</v>
      </c>
      <c r="T33" s="328"/>
      <c r="U33" s="100"/>
      <c r="V33" s="1"/>
      <c r="W33" s="100"/>
      <c r="X33" s="100"/>
      <c r="Y33" s="100"/>
      <c r="Z33" s="100"/>
      <c r="AA33" s="100"/>
      <c r="AB33" s="100"/>
      <c r="AC33" s="100"/>
      <c r="AD33" s="100"/>
      <c r="AE33" s="100"/>
      <c r="AF33" s="100"/>
      <c r="AG33" s="100"/>
      <c r="AH33" s="100"/>
      <c r="AI33" s="100"/>
      <c r="AJ33" s="100"/>
      <c r="AK33" s="100"/>
      <c r="AL33" s="100"/>
      <c r="AM33" s="100"/>
      <c r="AN33" s="100"/>
      <c r="AO33" s="100"/>
      <c r="AP33" s="100"/>
      <c r="AQ33" s="100"/>
      <c r="AR33" s="100"/>
      <c r="AS33" s="100"/>
      <c r="AT33" s="100"/>
      <c r="AU33" s="100"/>
      <c r="AV33" s="100"/>
      <c r="AW33" s="100"/>
      <c r="AX33" s="100"/>
      <c r="AY33" s="100"/>
      <c r="AZ33" s="100"/>
      <c r="BA33" s="100"/>
      <c r="BB33" s="100"/>
      <c r="BC33" s="100"/>
      <c r="BD33" s="100"/>
      <c r="BE33" s="100"/>
      <c r="BF33" s="100"/>
      <c r="BG33" s="100"/>
      <c r="BH33" s="100"/>
      <c r="BI33" s="100"/>
      <c r="BJ33" s="100"/>
      <c r="BK33" s="100"/>
      <c r="BL33" s="100"/>
      <c r="BM33" s="100"/>
      <c r="BN33" s="100"/>
      <c r="BO33" s="100"/>
      <c r="BP33" s="100"/>
      <c r="BQ33" s="100"/>
      <c r="BR33" s="100"/>
      <c r="BS33" s="100"/>
      <c r="BT33" s="100"/>
      <c r="BU33" s="100"/>
      <c r="BV33" s="100"/>
      <c r="BW33" s="100"/>
      <c r="BX33" s="100"/>
      <c r="BY33" s="100"/>
      <c r="BZ33" s="100"/>
      <c r="CA33" s="100"/>
      <c r="CB33" s="100"/>
      <c r="CC33" s="100"/>
      <c r="CD33" s="100"/>
      <c r="CE33" s="100"/>
      <c r="CF33" s="100"/>
    </row>
    <row r="34" spans="1:84" ht="14.1" customHeight="1">
      <c r="A34" s="794"/>
      <c r="B34" s="785" t="s">
        <v>36</v>
      </c>
      <c r="C34" s="786"/>
      <c r="D34" s="429"/>
      <c r="E34" s="430"/>
      <c r="F34" s="430"/>
      <c r="G34" s="437"/>
      <c r="H34" s="636">
        <f>IF(P34&gt;0,P34/Q34,"")</f>
        <v>10</v>
      </c>
      <c r="I34" s="435"/>
      <c r="J34" s="433"/>
      <c r="K34" s="405">
        <f>SUM(K20:K33)</f>
        <v>35000</v>
      </c>
      <c r="L34" s="404">
        <f>SUM(L20:L33)</f>
        <v>35000</v>
      </c>
      <c r="M34" s="429"/>
      <c r="N34" s="404">
        <f t="shared" ref="N34:S34" si="30">SUM(N20:N33)</f>
        <v>35000</v>
      </c>
      <c r="O34" s="404">
        <f t="shared" si="30"/>
        <v>0</v>
      </c>
      <c r="P34" s="404">
        <f t="shared" si="30"/>
        <v>35000</v>
      </c>
      <c r="Q34" s="404">
        <f t="shared" si="30"/>
        <v>3500</v>
      </c>
      <c r="R34" s="404">
        <f t="shared" si="30"/>
        <v>350</v>
      </c>
      <c r="S34" s="404">
        <f t="shared" si="30"/>
        <v>140</v>
      </c>
      <c r="T34" s="120"/>
      <c r="U34" s="100"/>
      <c r="V34" s="1"/>
      <c r="W34" s="100"/>
      <c r="X34" s="100"/>
      <c r="Y34" s="100"/>
      <c r="Z34" s="100"/>
      <c r="AA34" s="100"/>
      <c r="AB34" s="100"/>
      <c r="AC34" s="100"/>
      <c r="AD34" s="100"/>
      <c r="AE34" s="100"/>
      <c r="AF34" s="100"/>
      <c r="AG34" s="100"/>
      <c r="AH34" s="100"/>
      <c r="AI34" s="100"/>
      <c r="AJ34" s="100"/>
      <c r="AK34" s="100"/>
      <c r="AL34" s="100"/>
      <c r="AM34" s="100"/>
      <c r="AN34" s="100"/>
      <c r="AO34" s="100"/>
      <c r="AP34" s="100"/>
      <c r="AQ34" s="100"/>
      <c r="AR34" s="100"/>
      <c r="AS34" s="100"/>
      <c r="AT34" s="100"/>
      <c r="AU34" s="100"/>
      <c r="AV34" s="100"/>
      <c r="AW34" s="100"/>
      <c r="AX34" s="100"/>
      <c r="AY34" s="100"/>
      <c r="AZ34" s="100"/>
      <c r="BA34" s="100"/>
      <c r="BB34" s="100"/>
      <c r="BC34" s="100"/>
      <c r="BD34" s="100"/>
      <c r="BE34" s="100"/>
      <c r="BF34" s="100"/>
      <c r="BG34" s="100"/>
      <c r="BH34" s="100"/>
      <c r="BI34" s="100"/>
      <c r="BJ34" s="100"/>
      <c r="BK34" s="100"/>
      <c r="BL34" s="100"/>
      <c r="BM34" s="100"/>
      <c r="BN34" s="100"/>
      <c r="BO34" s="100"/>
      <c r="BP34" s="100"/>
      <c r="BQ34" s="100"/>
      <c r="BR34" s="100"/>
      <c r="BS34" s="100"/>
      <c r="BT34" s="100"/>
      <c r="BU34" s="100"/>
      <c r="BV34" s="100"/>
      <c r="BW34" s="100"/>
      <c r="BX34" s="100"/>
      <c r="BY34" s="100"/>
      <c r="BZ34" s="100"/>
      <c r="CA34" s="100"/>
      <c r="CB34" s="100"/>
      <c r="CC34" s="100"/>
      <c r="CD34" s="100"/>
      <c r="CE34" s="100"/>
      <c r="CF34" s="100"/>
    </row>
    <row r="35" spans="1:84" ht="14.1" customHeight="1">
      <c r="A35" s="795" t="s">
        <v>37</v>
      </c>
      <c r="B35" s="796"/>
      <c r="C35" s="796"/>
      <c r="D35" s="112"/>
      <c r="E35" s="113"/>
      <c r="F35" s="113"/>
      <c r="G35" s="123"/>
      <c r="H35" s="113"/>
      <c r="I35" s="124"/>
      <c r="J35" s="118"/>
      <c r="K35" s="397">
        <f t="shared" si="28"/>
        <v>0</v>
      </c>
      <c r="L35" s="399">
        <f>K35</f>
        <v>0</v>
      </c>
      <c r="M35" s="124"/>
      <c r="N35" s="566">
        <f t="shared" ref="N35:N36" si="31">IF(I35="",INT(K35*M35),INT(K35*I35*M35))</f>
        <v>0</v>
      </c>
      <c r="O35" s="407">
        <f>N35*(G35)</f>
        <v>0</v>
      </c>
      <c r="P35" s="408">
        <f>N35-O35</f>
        <v>0</v>
      </c>
      <c r="Q35" s="407">
        <f>IF(H35="",0,ROUND(P35/H35,0))</f>
        <v>0</v>
      </c>
      <c r="R35" s="407">
        <f>IF(Q35=0,0,INT(Q35/$E$1*10))</f>
        <v>0</v>
      </c>
      <c r="S35" s="407"/>
      <c r="T35" s="328"/>
      <c r="U35" s="100"/>
      <c r="V35" s="1"/>
      <c r="W35" s="100"/>
      <c r="X35" s="100"/>
      <c r="Y35" s="100"/>
      <c r="Z35" s="100"/>
      <c r="AA35" s="100"/>
      <c r="AB35" s="100"/>
      <c r="AC35" s="100"/>
      <c r="AD35" s="100"/>
      <c r="AE35" s="100"/>
      <c r="AF35" s="100"/>
      <c r="AG35" s="100"/>
      <c r="AH35" s="100"/>
      <c r="AI35" s="100"/>
      <c r="AJ35" s="100"/>
      <c r="AK35" s="100"/>
      <c r="AL35" s="100"/>
      <c r="AM35" s="100"/>
      <c r="AN35" s="100"/>
      <c r="AO35" s="100"/>
      <c r="AP35" s="100"/>
      <c r="AQ35" s="100"/>
      <c r="AR35" s="100"/>
      <c r="AS35" s="100"/>
      <c r="AT35" s="100"/>
      <c r="AU35" s="100"/>
      <c r="AV35" s="100"/>
      <c r="AW35" s="100"/>
      <c r="AX35" s="100"/>
      <c r="AY35" s="100"/>
      <c r="AZ35" s="100"/>
      <c r="BA35" s="100"/>
      <c r="BB35" s="100"/>
      <c r="BC35" s="100"/>
      <c r="BD35" s="100"/>
      <c r="BE35" s="100"/>
      <c r="BF35" s="100"/>
      <c r="BG35" s="100"/>
      <c r="BH35" s="100"/>
      <c r="BI35" s="100"/>
      <c r="BJ35" s="100"/>
      <c r="BK35" s="100"/>
      <c r="BL35" s="100"/>
      <c r="BM35" s="100"/>
      <c r="BN35" s="100"/>
      <c r="BO35" s="100"/>
      <c r="BP35" s="100"/>
      <c r="BQ35" s="100"/>
      <c r="BR35" s="100"/>
      <c r="BS35" s="100"/>
      <c r="BT35" s="100"/>
      <c r="BU35" s="100"/>
      <c r="BV35" s="100"/>
      <c r="BW35" s="100"/>
      <c r="BX35" s="100"/>
      <c r="BY35" s="100"/>
      <c r="BZ35" s="100"/>
      <c r="CA35" s="100"/>
      <c r="CB35" s="100"/>
      <c r="CC35" s="100"/>
      <c r="CD35" s="100"/>
      <c r="CE35" s="100"/>
      <c r="CF35" s="100"/>
    </row>
    <row r="36" spans="1:84" ht="14.1" customHeight="1">
      <c r="A36" s="795"/>
      <c r="B36" s="797"/>
      <c r="C36" s="797"/>
      <c r="D36" s="112"/>
      <c r="E36" s="113"/>
      <c r="F36" s="113"/>
      <c r="G36" s="123"/>
      <c r="H36" s="113"/>
      <c r="I36" s="124"/>
      <c r="J36" s="118"/>
      <c r="K36" s="397">
        <f t="shared" si="28"/>
        <v>0</v>
      </c>
      <c r="L36" s="399">
        <f>K36</f>
        <v>0</v>
      </c>
      <c r="M36" s="124"/>
      <c r="N36" s="566">
        <f t="shared" si="31"/>
        <v>0</v>
      </c>
      <c r="O36" s="407">
        <f>N36*(G36)</f>
        <v>0</v>
      </c>
      <c r="P36" s="408">
        <f>N36-O36</f>
        <v>0</v>
      </c>
      <c r="Q36" s="407">
        <f>IF(H36="",0,ROUND(P36/H36,0))</f>
        <v>0</v>
      </c>
      <c r="R36" s="407">
        <f>IF(Q36=0,0,INT(Q36/$E$1*10))</f>
        <v>0</v>
      </c>
      <c r="S36" s="407"/>
      <c r="T36" s="328"/>
      <c r="U36" s="100"/>
      <c r="V36" s="1"/>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c r="AS36" s="100"/>
      <c r="AT36" s="100"/>
      <c r="AU36" s="100"/>
      <c r="AV36" s="100"/>
      <c r="AW36" s="100"/>
      <c r="AX36" s="100"/>
      <c r="AY36" s="100"/>
      <c r="AZ36" s="100"/>
      <c r="BA36" s="100"/>
      <c r="BB36" s="100"/>
      <c r="BC36" s="100"/>
      <c r="BD36" s="100"/>
      <c r="BE36" s="100"/>
      <c r="BF36" s="100"/>
      <c r="BG36" s="100"/>
      <c r="BH36" s="100"/>
      <c r="BI36" s="100"/>
      <c r="BJ36" s="100"/>
      <c r="BK36" s="100"/>
      <c r="BL36" s="100"/>
      <c r="BM36" s="100"/>
      <c r="BN36" s="100"/>
      <c r="BO36" s="100"/>
      <c r="BP36" s="100"/>
      <c r="BQ36" s="100"/>
      <c r="BR36" s="100"/>
      <c r="BS36" s="100"/>
      <c r="BT36" s="100"/>
      <c r="BU36" s="100"/>
      <c r="BV36" s="100"/>
      <c r="BW36" s="100"/>
      <c r="BX36" s="100"/>
      <c r="BY36" s="100"/>
      <c r="BZ36" s="100"/>
      <c r="CA36" s="100"/>
      <c r="CB36" s="100"/>
      <c r="CC36" s="100"/>
      <c r="CD36" s="100"/>
      <c r="CE36" s="100"/>
      <c r="CF36" s="100"/>
    </row>
    <row r="37" spans="1:84" ht="14.1" customHeight="1">
      <c r="A37" s="795"/>
      <c r="B37" s="785" t="s">
        <v>38</v>
      </c>
      <c r="C37" s="786"/>
      <c r="D37" s="429"/>
      <c r="E37" s="430"/>
      <c r="F37" s="430"/>
      <c r="G37" s="429"/>
      <c r="H37" s="438" t="str">
        <f>IF(P37&gt;0,P37/Q37,"")</f>
        <v/>
      </c>
      <c r="I37" s="435"/>
      <c r="J37" s="433"/>
      <c r="K37" s="400"/>
      <c r="L37" s="404">
        <f>L36+L35</f>
        <v>0</v>
      </c>
      <c r="M37" s="429"/>
      <c r="N37" s="404">
        <f>N36+N35</f>
        <v>0</v>
      </c>
      <c r="O37" s="404">
        <f>O36+O35</f>
        <v>0</v>
      </c>
      <c r="P37" s="404">
        <f>P36+P35</f>
        <v>0</v>
      </c>
      <c r="Q37" s="404">
        <f>Q36+Q35</f>
        <v>0</v>
      </c>
      <c r="R37" s="404">
        <f>R36+R35</f>
        <v>0</v>
      </c>
      <c r="S37" s="404"/>
      <c r="T37" s="120"/>
      <c r="U37" s="100"/>
      <c r="V37" s="1"/>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c r="AS37" s="100"/>
      <c r="AT37" s="100"/>
      <c r="AU37" s="100"/>
      <c r="AV37" s="100"/>
      <c r="AW37" s="100"/>
      <c r="AX37" s="100"/>
      <c r="AY37" s="100"/>
      <c r="AZ37" s="100"/>
      <c r="BA37" s="100"/>
      <c r="BB37" s="100"/>
      <c r="BC37" s="100"/>
      <c r="BD37" s="100"/>
      <c r="BE37" s="100"/>
      <c r="BF37" s="100"/>
      <c r="BG37" s="100"/>
      <c r="BH37" s="100"/>
      <c r="BI37" s="100"/>
      <c r="BJ37" s="100"/>
      <c r="BK37" s="100"/>
      <c r="BL37" s="100"/>
      <c r="BM37" s="100"/>
      <c r="BN37" s="100"/>
      <c r="BO37" s="100"/>
      <c r="BP37" s="100"/>
      <c r="BQ37" s="100"/>
      <c r="BR37" s="100"/>
      <c r="BS37" s="100"/>
      <c r="BT37" s="100"/>
      <c r="BU37" s="100"/>
      <c r="BV37" s="100"/>
      <c r="BW37" s="100"/>
      <c r="BX37" s="100"/>
      <c r="BY37" s="100"/>
      <c r="BZ37" s="100"/>
      <c r="CA37" s="100"/>
      <c r="CB37" s="100"/>
      <c r="CC37" s="100"/>
      <c r="CD37" s="100"/>
      <c r="CE37" s="100"/>
      <c r="CF37" s="100"/>
    </row>
    <row r="38" spans="1:84" ht="14.1" customHeight="1">
      <c r="A38" s="125"/>
      <c r="B38" s="439"/>
      <c r="C38" s="429" t="s">
        <v>39</v>
      </c>
      <c r="D38" s="429"/>
      <c r="E38" s="429"/>
      <c r="F38" s="429"/>
      <c r="G38" s="429"/>
      <c r="H38" s="429"/>
      <c r="I38" s="429"/>
      <c r="J38" s="433"/>
      <c r="K38" s="400">
        <f>K37+K34+K19+K8</f>
        <v>35000</v>
      </c>
      <c r="L38" s="406">
        <f>L37+L34+L19+L8</f>
        <v>35000</v>
      </c>
      <c r="M38" s="440"/>
      <c r="N38" s="410">
        <f t="shared" ref="N38:S38" si="32">N37+N34+N19+N8</f>
        <v>35000</v>
      </c>
      <c r="O38" s="410">
        <f t="shared" si="32"/>
        <v>0</v>
      </c>
      <c r="P38" s="410">
        <f t="shared" si="32"/>
        <v>35000</v>
      </c>
      <c r="Q38" s="410">
        <f t="shared" si="32"/>
        <v>3500</v>
      </c>
      <c r="R38" s="410">
        <f t="shared" si="32"/>
        <v>350</v>
      </c>
      <c r="S38" s="410">
        <f t="shared" si="32"/>
        <v>140</v>
      </c>
      <c r="T38" s="126"/>
      <c r="U38" s="100"/>
      <c r="V38" s="1"/>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c r="AS38" s="100"/>
      <c r="AT38" s="100"/>
      <c r="AU38" s="100"/>
      <c r="AV38" s="100"/>
      <c r="AW38" s="100"/>
      <c r="AX38" s="100"/>
      <c r="AY38" s="100"/>
      <c r="AZ38" s="100"/>
      <c r="BA38" s="100"/>
      <c r="BB38" s="100"/>
      <c r="BC38" s="100"/>
      <c r="BD38" s="100"/>
      <c r="BE38" s="100"/>
      <c r="BF38" s="100"/>
      <c r="BG38" s="100"/>
      <c r="BH38" s="100"/>
      <c r="BI38" s="100"/>
      <c r="BJ38" s="100"/>
      <c r="BK38" s="100"/>
      <c r="BL38" s="100"/>
      <c r="BM38" s="100"/>
      <c r="BN38" s="100"/>
      <c r="BO38" s="100"/>
      <c r="BP38" s="100"/>
      <c r="BQ38" s="100"/>
      <c r="BR38" s="100"/>
      <c r="BS38" s="100"/>
      <c r="BT38" s="100"/>
      <c r="BU38" s="100"/>
      <c r="BV38" s="100"/>
      <c r="BW38" s="100"/>
      <c r="BX38" s="100"/>
      <c r="BY38" s="100"/>
      <c r="BZ38" s="100"/>
      <c r="CA38" s="100"/>
      <c r="CB38" s="100"/>
      <c r="CC38" s="100"/>
      <c r="CD38" s="100"/>
      <c r="CE38" s="100"/>
      <c r="CF38" s="100"/>
    </row>
    <row r="39" spans="1:84" ht="12" customHeight="1">
      <c r="C39" s="93"/>
      <c r="D39" s="93"/>
      <c r="E39" s="93"/>
      <c r="F39" s="93"/>
      <c r="J39" s="93"/>
      <c r="K39" s="93"/>
      <c r="L39" s="127">
        <f>L38-L37</f>
        <v>35000</v>
      </c>
      <c r="M39" s="93"/>
      <c r="N39" s="128"/>
      <c r="O39" s="93"/>
      <c r="P39" s="127">
        <f>P34+P19+P8</f>
        <v>35000</v>
      </c>
      <c r="Q39" s="127">
        <f>Q34+Q19+Q8</f>
        <v>3500</v>
      </c>
      <c r="R39" s="128"/>
      <c r="S39" s="128"/>
      <c r="T39" s="93"/>
      <c r="U39" s="100"/>
      <c r="V39" s="100"/>
      <c r="W39" s="100"/>
      <c r="X39" s="100"/>
      <c r="Y39" s="100"/>
      <c r="Z39" s="100"/>
      <c r="AA39" s="100"/>
      <c r="AB39" s="100"/>
      <c r="AC39" s="100"/>
      <c r="AD39" s="100"/>
      <c r="AE39" s="100"/>
      <c r="AF39" s="100"/>
      <c r="AG39" s="100"/>
      <c r="AH39" s="100"/>
      <c r="AI39" s="100"/>
      <c r="AJ39" s="100"/>
      <c r="AK39" s="100"/>
      <c r="AL39" s="100"/>
      <c r="AM39" s="100"/>
      <c r="AN39" s="100"/>
      <c r="AO39" s="100"/>
      <c r="AP39" s="100"/>
      <c r="AQ39" s="100"/>
      <c r="AR39" s="100"/>
      <c r="AS39" s="100"/>
      <c r="AT39" s="100"/>
      <c r="AU39" s="100"/>
      <c r="AV39" s="100"/>
      <c r="AW39" s="100"/>
      <c r="AX39" s="100"/>
      <c r="AY39" s="100"/>
      <c r="AZ39" s="100"/>
      <c r="BA39" s="100"/>
      <c r="BB39" s="100"/>
      <c r="BC39" s="100"/>
      <c r="BD39" s="100"/>
      <c r="BE39" s="100"/>
      <c r="BF39" s="100"/>
      <c r="BG39" s="100"/>
      <c r="BH39" s="100"/>
      <c r="BI39" s="100"/>
      <c r="BJ39" s="100"/>
      <c r="BK39" s="100"/>
      <c r="BL39" s="100"/>
      <c r="BM39" s="100"/>
      <c r="BN39" s="100"/>
      <c r="BO39" s="100"/>
      <c r="BP39" s="100"/>
      <c r="BQ39" s="100"/>
      <c r="BR39" s="100"/>
      <c r="BS39" s="100"/>
      <c r="BT39" s="100"/>
      <c r="BU39" s="100"/>
      <c r="BV39" s="100"/>
      <c r="BW39" s="100"/>
      <c r="BX39" s="100"/>
      <c r="BY39" s="100"/>
      <c r="BZ39" s="100"/>
      <c r="CA39" s="100"/>
      <c r="CB39" s="100"/>
      <c r="CC39" s="100"/>
      <c r="CD39" s="100"/>
      <c r="CE39" s="100"/>
      <c r="CF39" s="100"/>
    </row>
    <row r="40" spans="1:84" ht="6" customHeight="1">
      <c r="C40" s="93"/>
      <c r="D40" s="93"/>
      <c r="E40" s="93"/>
      <c r="F40" s="93"/>
      <c r="J40" s="93"/>
      <c r="K40" s="93"/>
      <c r="L40" s="93"/>
      <c r="M40" s="93"/>
      <c r="N40" s="93"/>
      <c r="O40" s="93"/>
      <c r="P40" s="93"/>
      <c r="Q40" s="93"/>
      <c r="R40" s="93"/>
      <c r="S40" s="93"/>
      <c r="T40" s="93"/>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c r="AS40" s="100"/>
      <c r="AT40" s="100"/>
      <c r="AU40" s="100"/>
      <c r="AV40" s="100"/>
      <c r="AW40" s="100"/>
      <c r="AX40" s="100"/>
      <c r="AY40" s="100"/>
      <c r="AZ40" s="100"/>
      <c r="BA40" s="100"/>
      <c r="BB40" s="100"/>
      <c r="BC40" s="100"/>
      <c r="BD40" s="100"/>
      <c r="BE40" s="100"/>
      <c r="BF40" s="100"/>
      <c r="BG40" s="100"/>
      <c r="BH40" s="100"/>
      <c r="BI40" s="100"/>
      <c r="BJ40" s="100"/>
      <c r="BK40" s="100"/>
      <c r="BL40" s="100"/>
      <c r="BM40" s="100"/>
      <c r="BN40" s="100"/>
      <c r="BO40" s="100"/>
      <c r="BP40" s="100"/>
      <c r="BQ40" s="100"/>
      <c r="BR40" s="100"/>
      <c r="BS40" s="100"/>
      <c r="BT40" s="100"/>
      <c r="BU40" s="100"/>
      <c r="BV40" s="100"/>
      <c r="BW40" s="100"/>
      <c r="BX40" s="100"/>
      <c r="BY40" s="100"/>
      <c r="BZ40" s="100"/>
      <c r="CA40" s="100"/>
      <c r="CB40" s="100"/>
      <c r="CC40" s="100"/>
      <c r="CD40" s="100"/>
      <c r="CE40" s="100"/>
      <c r="CF40" s="100"/>
    </row>
    <row r="41" spans="1:84" ht="13.5" customHeight="1">
      <c r="B41" s="415" t="s">
        <v>40</v>
      </c>
      <c r="C41" s="129"/>
      <c r="D41" s="130" t="s">
        <v>41</v>
      </c>
      <c r="E41" s="93"/>
      <c r="F41" s="131"/>
      <c r="G41" s="132"/>
      <c r="H41" s="47"/>
      <c r="I41" s="133" t="s">
        <v>42</v>
      </c>
      <c r="J41" s="134"/>
      <c r="K41" s="134"/>
      <c r="L41" s="135" t="s">
        <v>43</v>
      </c>
      <c r="M41" s="804" t="s">
        <v>44</v>
      </c>
      <c r="N41" s="804"/>
      <c r="O41" s="207" t="s">
        <v>45</v>
      </c>
      <c r="P41" s="93"/>
      <c r="Q41" s="136" t="s">
        <v>46</v>
      </c>
      <c r="R41" s="137"/>
      <c r="S41" s="93"/>
      <c r="T41" s="93"/>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c r="AS41" s="100"/>
      <c r="AT41" s="100"/>
      <c r="AU41" s="100"/>
      <c r="AV41" s="100"/>
      <c r="AW41" s="100"/>
      <c r="AX41" s="100"/>
      <c r="AY41" s="100"/>
      <c r="AZ41" s="100"/>
      <c r="BA41" s="100"/>
      <c r="BB41" s="100"/>
      <c r="BC41" s="100"/>
      <c r="BD41" s="100"/>
      <c r="BE41" s="100"/>
      <c r="BF41" s="100"/>
      <c r="BG41" s="100"/>
      <c r="BH41" s="100"/>
      <c r="BI41" s="100"/>
      <c r="BJ41" s="100"/>
      <c r="BK41" s="100"/>
      <c r="BL41" s="100"/>
      <c r="BM41" s="100"/>
      <c r="BN41" s="100"/>
      <c r="BO41" s="100"/>
      <c r="BP41" s="100"/>
      <c r="BQ41" s="100"/>
      <c r="BR41" s="100"/>
      <c r="BS41" s="100"/>
      <c r="BT41" s="100"/>
      <c r="BU41" s="100"/>
      <c r="BV41" s="100"/>
      <c r="BW41" s="100"/>
      <c r="BX41" s="100"/>
      <c r="BY41" s="100"/>
      <c r="BZ41" s="100"/>
      <c r="CA41" s="100"/>
      <c r="CB41" s="100"/>
      <c r="CC41" s="100"/>
      <c r="CD41" s="100"/>
      <c r="CE41" s="100"/>
      <c r="CF41" s="100"/>
    </row>
    <row r="42" spans="1:84" ht="13.5" customHeight="1">
      <c r="A42" s="47"/>
      <c r="B42" s="138" t="s">
        <v>47</v>
      </c>
      <c r="C42" s="139" t="s">
        <v>48</v>
      </c>
      <c r="D42" s="140">
        <v>0.01</v>
      </c>
      <c r="E42" s="47"/>
      <c r="F42" s="141"/>
      <c r="G42" s="132"/>
      <c r="H42" s="47"/>
      <c r="I42" s="142"/>
      <c r="J42" s="141" t="s">
        <v>49</v>
      </c>
      <c r="K42" s="143"/>
      <c r="L42" s="144">
        <f>(N38-O38)/2+O38</f>
        <v>17500</v>
      </c>
      <c r="M42" s="208"/>
      <c r="N42" s="209">
        <f>((N34+N8-O34-O8)/2+O34+O8)</f>
        <v>17500</v>
      </c>
      <c r="O42" s="209">
        <f>(N19-O19)/2+O19</f>
        <v>0</v>
      </c>
      <c r="P42" s="47"/>
      <c r="Q42" s="145" t="s">
        <v>50</v>
      </c>
      <c r="R42" s="146">
        <f>IF(P8=0,0,P8/Q8)</f>
        <v>0</v>
      </c>
      <c r="S42" s="47"/>
      <c r="T42" s="47"/>
      <c r="U42" s="100"/>
      <c r="V42" s="100"/>
      <c r="W42" s="100"/>
      <c r="X42" s="100"/>
      <c r="Y42" s="100"/>
      <c r="Z42" s="100"/>
      <c r="AA42" s="100"/>
      <c r="AB42" s="100"/>
      <c r="AC42" s="100"/>
      <c r="AD42" s="100"/>
      <c r="AE42" s="100"/>
      <c r="AF42" s="100"/>
      <c r="AG42" s="100"/>
      <c r="AH42" s="100"/>
      <c r="AI42" s="100"/>
      <c r="AJ42" s="100"/>
      <c r="AK42" s="100"/>
      <c r="AL42" s="100"/>
      <c r="AM42" s="100"/>
      <c r="AN42" s="100"/>
      <c r="AO42" s="100"/>
      <c r="AP42" s="100"/>
      <c r="AQ42" s="100"/>
      <c r="AR42" s="100"/>
      <c r="AS42" s="100"/>
      <c r="AT42" s="100"/>
      <c r="AU42" s="100"/>
      <c r="AV42" s="100"/>
      <c r="AW42" s="100"/>
      <c r="AX42" s="100"/>
      <c r="AY42" s="100"/>
      <c r="AZ42" s="100"/>
      <c r="BA42" s="100"/>
    </row>
    <row r="43" spans="1:84" ht="13.5" customHeight="1">
      <c r="A43" s="47"/>
      <c r="B43" s="147" t="s">
        <v>51</v>
      </c>
      <c r="C43" s="148" t="s">
        <v>52</v>
      </c>
      <c r="D43" s="149">
        <v>0.04</v>
      </c>
      <c r="E43" s="47"/>
      <c r="F43" s="141"/>
      <c r="G43" s="132"/>
      <c r="H43" s="47"/>
      <c r="I43" s="142"/>
      <c r="J43" s="781" t="s">
        <v>53</v>
      </c>
      <c r="K43" s="782"/>
      <c r="L43" s="150">
        <v>0.5</v>
      </c>
      <c r="M43" s="210"/>
      <c r="N43" s="211">
        <f>L43</f>
        <v>0.5</v>
      </c>
      <c r="O43" s="211">
        <f>N43</f>
        <v>0.5</v>
      </c>
      <c r="P43" s="47"/>
      <c r="Q43" s="151" t="s">
        <v>45</v>
      </c>
      <c r="R43" s="152">
        <f>IF(P19=0,0,P19/Q19)</f>
        <v>0</v>
      </c>
      <c r="S43" s="47"/>
      <c r="T43" s="47"/>
      <c r="U43" s="100"/>
      <c r="V43" s="100"/>
      <c r="W43" s="100"/>
      <c r="X43" s="100"/>
      <c r="Y43" s="100"/>
      <c r="Z43" s="100"/>
      <c r="AA43" s="100"/>
      <c r="AB43" s="100"/>
      <c r="AC43" s="100"/>
      <c r="AD43" s="100"/>
      <c r="AE43" s="100"/>
      <c r="AF43" s="100"/>
      <c r="AG43" s="100"/>
      <c r="AH43" s="100"/>
      <c r="AI43" s="100"/>
      <c r="AJ43" s="100"/>
      <c r="AK43" s="100"/>
      <c r="AL43" s="100"/>
      <c r="AM43" s="100"/>
      <c r="AN43" s="100"/>
      <c r="AO43" s="100"/>
      <c r="AP43" s="100"/>
      <c r="AQ43" s="100"/>
      <c r="AR43" s="100"/>
      <c r="AS43" s="100"/>
      <c r="AT43" s="100"/>
      <c r="AU43" s="100"/>
      <c r="AV43" s="100"/>
      <c r="AW43" s="100"/>
      <c r="AX43" s="100"/>
      <c r="AY43" s="100"/>
    </row>
    <row r="44" spans="1:84" ht="13.5" customHeight="1">
      <c r="A44" s="47"/>
      <c r="B44" s="47"/>
      <c r="C44" s="47"/>
      <c r="D44" s="47"/>
      <c r="E44" s="47"/>
      <c r="F44" s="141"/>
      <c r="G44" s="132"/>
      <c r="H44" s="47"/>
      <c r="I44" s="142"/>
      <c r="J44" s="141" t="s">
        <v>54</v>
      </c>
      <c r="K44" s="141"/>
      <c r="L44" s="144">
        <f>L43*L42</f>
        <v>8750</v>
      </c>
      <c r="M44" s="210"/>
      <c r="N44" s="212">
        <f>N43*N42</f>
        <v>8750</v>
      </c>
      <c r="O44" s="212">
        <f>O43*O42</f>
        <v>0</v>
      </c>
      <c r="P44" s="47"/>
      <c r="Q44" s="151" t="s">
        <v>55</v>
      </c>
      <c r="R44" s="152">
        <f>IF(P34=0,0,P34/Q34)</f>
        <v>10</v>
      </c>
      <c r="S44" s="47"/>
      <c r="T44" s="47"/>
      <c r="U44" s="100"/>
      <c r="V44" s="100"/>
      <c r="W44" s="100"/>
      <c r="X44" s="100"/>
      <c r="Y44" s="100"/>
      <c r="Z44" s="100"/>
      <c r="AA44" s="100"/>
      <c r="AB44" s="100"/>
      <c r="AC44" s="100"/>
      <c r="AD44" s="100"/>
      <c r="AE44" s="100"/>
      <c r="AF44" s="100"/>
      <c r="AG44" s="100"/>
      <c r="AH44" s="100"/>
      <c r="AI44" s="100"/>
      <c r="AJ44" s="100"/>
      <c r="AK44" s="100"/>
      <c r="AL44" s="100"/>
      <c r="AM44" s="100"/>
      <c r="AN44" s="100"/>
      <c r="AO44" s="100"/>
      <c r="AP44" s="100"/>
      <c r="AQ44" s="100"/>
      <c r="AR44" s="100"/>
      <c r="AS44" s="100"/>
      <c r="AT44" s="100"/>
      <c r="AU44" s="100"/>
      <c r="AV44" s="100"/>
      <c r="AW44" s="100"/>
      <c r="AX44" s="100"/>
      <c r="AY44" s="100"/>
    </row>
    <row r="45" spans="1:84" ht="13.5" customHeight="1">
      <c r="A45" s="47"/>
      <c r="B45" s="47"/>
      <c r="C45" s="47"/>
      <c r="D45" s="47"/>
      <c r="E45" s="47"/>
      <c r="F45" s="141"/>
      <c r="G45" s="132"/>
      <c r="H45" s="47"/>
      <c r="I45" s="142"/>
      <c r="J45" s="141" t="s">
        <v>56</v>
      </c>
      <c r="K45" s="141"/>
      <c r="L45" s="144">
        <f>IF($E$1=0,0,L44/$E$1*10)</f>
        <v>875</v>
      </c>
      <c r="M45" s="210"/>
      <c r="N45" s="213">
        <f>IF($E$1=0,0,N44/$E$1*10)</f>
        <v>875</v>
      </c>
      <c r="O45" s="213">
        <f>IF($E$1=0,0,O44/$E$1*10)</f>
        <v>0</v>
      </c>
      <c r="P45" s="47"/>
      <c r="Q45" s="153" t="s">
        <v>43</v>
      </c>
      <c r="R45" s="154">
        <f>IF(P37=0,0,(P38-P37)/(Q38-Q37))</f>
        <v>0</v>
      </c>
      <c r="S45" s="47"/>
      <c r="T45" s="47"/>
      <c r="U45" s="100"/>
      <c r="V45" s="100"/>
      <c r="W45" s="100"/>
      <c r="X45" s="100"/>
      <c r="Y45" s="100"/>
      <c r="Z45" s="100"/>
      <c r="AA45" s="100"/>
      <c r="AB45" s="100"/>
      <c r="AC45" s="100"/>
      <c r="AD45" s="100"/>
      <c r="AE45" s="100"/>
      <c r="AF45" s="100"/>
      <c r="AG45" s="100"/>
      <c r="AH45" s="100"/>
      <c r="AI45" s="100"/>
      <c r="AJ45" s="100"/>
      <c r="AK45" s="100"/>
      <c r="AL45" s="100"/>
      <c r="AM45" s="100"/>
      <c r="AN45" s="100"/>
      <c r="AO45" s="100"/>
      <c r="AP45" s="100"/>
      <c r="AQ45" s="100"/>
      <c r="AR45" s="100"/>
      <c r="AS45" s="100"/>
      <c r="AT45" s="100"/>
      <c r="AU45" s="100"/>
      <c r="AV45" s="100"/>
      <c r="AW45" s="100"/>
      <c r="AX45" s="100"/>
      <c r="AY45" s="100"/>
    </row>
    <row r="46" spans="1:84" ht="13.5" customHeight="1">
      <c r="A46" s="47"/>
      <c r="B46" s="47"/>
      <c r="C46" s="47"/>
      <c r="D46" s="47"/>
      <c r="E46" s="47"/>
      <c r="F46" s="141"/>
      <c r="G46" s="132"/>
      <c r="H46" s="47"/>
      <c r="I46" s="142"/>
      <c r="J46" s="141" t="s">
        <v>57</v>
      </c>
      <c r="K46" s="141"/>
      <c r="L46" s="155">
        <v>0.02</v>
      </c>
      <c r="M46" s="210"/>
      <c r="N46" s="211">
        <f>L46</f>
        <v>0.02</v>
      </c>
      <c r="O46" s="211">
        <f>N46</f>
        <v>0.02</v>
      </c>
      <c r="P46" s="47"/>
      <c r="Q46" s="47"/>
      <c r="R46" s="47"/>
      <c r="S46" s="47"/>
      <c r="T46" s="47"/>
      <c r="U46" s="100"/>
      <c r="V46" s="100"/>
      <c r="W46" s="100"/>
      <c r="X46" s="100"/>
      <c r="Y46" s="100"/>
      <c r="Z46" s="100"/>
      <c r="AA46" s="100"/>
      <c r="AB46" s="100"/>
      <c r="AC46" s="100"/>
      <c r="AD46" s="100"/>
      <c r="AE46" s="100"/>
      <c r="AF46" s="100"/>
      <c r="AG46" s="100"/>
      <c r="AH46" s="100"/>
      <c r="AI46" s="100"/>
      <c r="AJ46" s="100"/>
      <c r="AK46" s="100"/>
      <c r="AL46" s="100"/>
      <c r="AM46" s="100"/>
      <c r="AN46" s="100"/>
      <c r="AO46" s="100"/>
      <c r="AP46" s="100"/>
      <c r="AQ46" s="100"/>
      <c r="AR46" s="100"/>
      <c r="AS46" s="100"/>
      <c r="AT46" s="100"/>
      <c r="AU46" s="100"/>
      <c r="AV46" s="100"/>
      <c r="AW46" s="100"/>
      <c r="AX46" s="100"/>
      <c r="AY46" s="100"/>
    </row>
    <row r="47" spans="1:84" ht="13.5" customHeight="1">
      <c r="A47" s="47"/>
      <c r="B47" s="47"/>
      <c r="C47" s="47"/>
      <c r="D47" s="47"/>
      <c r="E47" s="47"/>
      <c r="F47" s="141"/>
      <c r="G47" s="132"/>
      <c r="H47" s="47"/>
      <c r="I47" s="156"/>
      <c r="J47" s="157" t="s">
        <v>58</v>
      </c>
      <c r="K47" s="157"/>
      <c r="L47" s="158">
        <f>INT(L46*L45)</f>
        <v>17</v>
      </c>
      <c r="M47" s="214"/>
      <c r="N47" s="215">
        <f>INT(N46*N45)</f>
        <v>17</v>
      </c>
      <c r="O47" s="215">
        <f>INT(O46*O45)</f>
        <v>0</v>
      </c>
      <c r="P47" s="47"/>
      <c r="Q47" s="47"/>
      <c r="R47" s="47"/>
      <c r="S47" s="47"/>
      <c r="T47" s="47"/>
      <c r="U47" s="100"/>
      <c r="V47" s="100"/>
      <c r="W47" s="100"/>
      <c r="X47" s="100"/>
      <c r="Y47" s="100"/>
      <c r="Z47" s="100"/>
      <c r="AA47" s="100"/>
      <c r="AB47" s="100"/>
      <c r="AC47" s="100"/>
      <c r="AD47" s="100"/>
      <c r="AE47" s="100"/>
      <c r="AF47" s="100"/>
      <c r="AG47" s="100"/>
      <c r="AH47" s="100"/>
      <c r="AI47" s="100"/>
      <c r="AJ47" s="100"/>
      <c r="AK47" s="100"/>
      <c r="AL47" s="100"/>
      <c r="AM47" s="100"/>
      <c r="AN47" s="100"/>
      <c r="AO47" s="100"/>
      <c r="AP47" s="100"/>
      <c r="AQ47" s="100"/>
      <c r="AR47" s="100"/>
      <c r="AS47" s="100"/>
      <c r="AT47" s="100"/>
      <c r="AU47" s="100"/>
      <c r="AV47" s="100"/>
      <c r="AW47" s="100"/>
      <c r="AX47" s="100"/>
      <c r="AY47" s="100"/>
    </row>
    <row r="48" spans="1:84" ht="13.5" customHeight="1">
      <c r="A48" s="100"/>
      <c r="B48" s="100"/>
      <c r="C48" s="100"/>
      <c r="D48" s="100"/>
      <c r="E48" s="100"/>
      <c r="F48" s="100"/>
      <c r="J48" s="100"/>
      <c r="K48" s="100"/>
      <c r="L48" s="100"/>
      <c r="M48" s="22"/>
      <c r="N48" s="22"/>
      <c r="O48" s="22"/>
      <c r="P48" s="22"/>
      <c r="Q48" s="100"/>
      <c r="R48" s="100"/>
      <c r="S48" s="100"/>
      <c r="T48" s="100"/>
      <c r="U48" s="100"/>
      <c r="V48" s="100"/>
      <c r="W48" s="100"/>
      <c r="X48" s="100"/>
      <c r="Y48" s="100"/>
      <c r="Z48" s="100"/>
      <c r="AA48" s="100"/>
      <c r="AB48" s="100"/>
      <c r="AC48" s="100"/>
      <c r="AD48" s="100"/>
      <c r="AE48" s="100"/>
      <c r="AF48" s="100"/>
      <c r="AG48" s="100"/>
      <c r="AH48" s="100"/>
      <c r="AI48" s="100"/>
      <c r="AJ48" s="100"/>
      <c r="AK48" s="100"/>
      <c r="AL48" s="100"/>
      <c r="AM48" s="100"/>
      <c r="AN48" s="100"/>
      <c r="AO48" s="100"/>
      <c r="AP48" s="100"/>
      <c r="AQ48" s="100"/>
      <c r="AR48" s="100"/>
      <c r="AS48" s="100"/>
      <c r="AT48" s="100"/>
      <c r="AU48" s="100"/>
      <c r="AV48" s="100"/>
      <c r="AW48" s="100"/>
      <c r="AX48" s="100"/>
      <c r="AY48" s="100"/>
    </row>
    <row r="49" spans="1:41" ht="13.5" customHeight="1">
      <c r="A49" s="100"/>
      <c r="B49" s="100"/>
      <c r="C49" s="100"/>
      <c r="D49" s="100"/>
      <c r="E49" s="100"/>
      <c r="F49" s="100"/>
      <c r="J49" s="100"/>
      <c r="K49" s="100"/>
      <c r="L49" s="100"/>
      <c r="M49" s="22"/>
      <c r="N49" s="22"/>
      <c r="O49" s="22"/>
      <c r="P49" s="22"/>
      <c r="Q49" s="100"/>
      <c r="R49" s="100"/>
      <c r="S49" s="100"/>
      <c r="T49" s="100"/>
      <c r="U49" s="100"/>
      <c r="V49" s="100"/>
      <c r="W49" s="100"/>
      <c r="X49" s="100"/>
      <c r="Y49" s="100"/>
      <c r="Z49" s="100"/>
      <c r="AA49" s="100"/>
      <c r="AB49" s="100"/>
      <c r="AC49" s="100"/>
    </row>
    <row r="50" spans="1:41" ht="13.5" customHeight="1">
      <c r="A50" s="100"/>
      <c r="B50" s="100"/>
      <c r="C50" s="100"/>
      <c r="D50" s="100"/>
      <c r="E50" s="100"/>
      <c r="F50" s="100"/>
      <c r="J50" s="100"/>
      <c r="K50" s="100"/>
      <c r="L50" s="100"/>
      <c r="M50" s="22"/>
      <c r="N50" s="22"/>
      <c r="O50" s="22"/>
      <c r="P50" s="22"/>
      <c r="Q50" s="100"/>
      <c r="R50" s="100"/>
      <c r="S50" s="100"/>
      <c r="T50" s="100"/>
      <c r="U50" s="100"/>
      <c r="V50" s="100"/>
      <c r="W50" s="100"/>
      <c r="X50" s="100"/>
      <c r="Y50" s="100"/>
      <c r="Z50" s="100"/>
      <c r="AA50" s="100"/>
      <c r="AB50" s="100"/>
      <c r="AC50" s="100"/>
    </row>
    <row r="51" spans="1:41" ht="13.5" customHeight="1">
      <c r="A51" s="100"/>
      <c r="B51" s="100"/>
      <c r="C51" s="100"/>
      <c r="D51" s="100"/>
      <c r="E51" s="100"/>
      <c r="F51" s="100"/>
      <c r="J51" s="100"/>
      <c r="K51" s="100"/>
      <c r="L51" s="100"/>
      <c r="M51" s="22"/>
      <c r="N51" s="22"/>
      <c r="O51" s="22"/>
      <c r="P51" s="22"/>
      <c r="Q51" s="100"/>
      <c r="R51" s="100"/>
      <c r="S51" s="100"/>
      <c r="T51" s="100"/>
      <c r="U51" s="100"/>
      <c r="V51" s="100"/>
      <c r="W51" s="100"/>
      <c r="X51" s="100"/>
      <c r="Y51" s="100"/>
      <c r="Z51" s="100"/>
      <c r="AA51" s="100"/>
      <c r="AB51" s="100"/>
      <c r="AC51" s="100"/>
    </row>
    <row r="52" spans="1:41" ht="13.5" customHeight="1">
      <c r="A52" s="100"/>
      <c r="B52" s="100"/>
      <c r="C52" s="100"/>
      <c r="D52" s="100"/>
      <c r="E52" s="100"/>
      <c r="F52" s="100"/>
      <c r="J52" s="100"/>
      <c r="K52" s="100"/>
      <c r="L52" s="100"/>
      <c r="M52" s="22"/>
      <c r="N52" s="22"/>
      <c r="O52" s="22"/>
      <c r="P52" s="22"/>
      <c r="Q52" s="100"/>
      <c r="R52" s="100"/>
      <c r="S52" s="100"/>
      <c r="T52" s="100"/>
      <c r="U52" s="100"/>
      <c r="V52" s="100"/>
      <c r="W52" s="100"/>
      <c r="X52" s="100"/>
      <c r="Y52" s="100"/>
      <c r="Z52" s="100"/>
      <c r="AA52" s="100"/>
      <c r="AB52" s="100"/>
      <c r="AC52" s="100"/>
    </row>
    <row r="53" spans="1:41" ht="13.5" customHeight="1">
      <c r="A53" s="100"/>
      <c r="B53" s="100"/>
      <c r="C53" s="100"/>
      <c r="D53" s="100"/>
      <c r="E53" s="100"/>
      <c r="F53" s="100"/>
      <c r="J53" s="100"/>
      <c r="K53" s="100"/>
      <c r="L53" s="100"/>
      <c r="M53" s="22"/>
      <c r="N53" s="22"/>
      <c r="O53" s="22"/>
      <c r="P53" s="22"/>
      <c r="Q53" s="100"/>
      <c r="R53" s="100"/>
      <c r="S53" s="100"/>
      <c r="T53" s="100"/>
      <c r="U53" s="100"/>
      <c r="V53" s="100"/>
      <c r="W53" s="100"/>
      <c r="X53" s="100"/>
      <c r="Y53" s="100"/>
      <c r="Z53" s="100"/>
      <c r="AA53" s="100"/>
      <c r="AB53" s="100"/>
      <c r="AC53" s="100"/>
    </row>
    <row r="54" spans="1:41" ht="13.5" customHeight="1">
      <c r="A54" s="100"/>
      <c r="B54" s="100"/>
      <c r="C54" s="100"/>
      <c r="D54" s="100"/>
      <c r="E54" s="100"/>
      <c r="F54" s="100"/>
      <c r="J54" s="100"/>
      <c r="K54" s="100"/>
      <c r="L54" s="100"/>
      <c r="M54" s="22"/>
      <c r="N54" s="22"/>
      <c r="O54" s="22"/>
      <c r="P54" s="22"/>
      <c r="Q54" s="100"/>
      <c r="R54" s="100"/>
      <c r="S54" s="100"/>
      <c r="T54" s="100"/>
      <c r="U54" s="100"/>
      <c r="V54" s="100"/>
      <c r="W54" s="100"/>
      <c r="X54" s="100"/>
      <c r="Y54" s="100"/>
      <c r="Z54" s="100"/>
      <c r="AA54" s="100"/>
      <c r="AB54" s="100"/>
      <c r="AC54" s="100"/>
      <c r="AD54" s="100"/>
      <c r="AE54" s="100"/>
      <c r="AF54" s="100"/>
      <c r="AG54" s="100"/>
      <c r="AH54" s="100"/>
      <c r="AI54" s="100"/>
      <c r="AJ54" s="100"/>
      <c r="AK54" s="100"/>
      <c r="AL54" s="100"/>
      <c r="AM54" s="100"/>
      <c r="AN54" s="100"/>
      <c r="AO54" s="100"/>
    </row>
    <row r="55" spans="1:41" ht="13.5" customHeight="1">
      <c r="A55" s="100"/>
      <c r="B55" s="100"/>
      <c r="C55" s="100"/>
      <c r="D55" s="100"/>
      <c r="E55" s="100"/>
      <c r="F55" s="100"/>
      <c r="J55" s="100"/>
      <c r="K55" s="100"/>
      <c r="L55" s="100"/>
      <c r="M55" s="22"/>
      <c r="N55" s="22"/>
      <c r="O55" s="22"/>
      <c r="P55" s="22"/>
      <c r="Q55" s="100"/>
      <c r="R55" s="100"/>
      <c r="S55" s="100"/>
      <c r="T55" s="100"/>
      <c r="U55" s="100"/>
      <c r="V55" s="100"/>
      <c r="W55" s="100"/>
      <c r="X55" s="100"/>
      <c r="Y55" s="100"/>
      <c r="Z55" s="100"/>
      <c r="AA55" s="100"/>
      <c r="AB55" s="100"/>
      <c r="AC55" s="100"/>
      <c r="AD55" s="100"/>
      <c r="AE55" s="100"/>
      <c r="AF55" s="100"/>
      <c r="AG55" s="100"/>
      <c r="AH55" s="100"/>
      <c r="AI55" s="100"/>
      <c r="AJ55" s="100"/>
      <c r="AK55" s="100"/>
      <c r="AL55" s="100"/>
      <c r="AM55" s="100"/>
      <c r="AN55" s="100"/>
      <c r="AO55" s="100"/>
    </row>
    <row r="56" spans="1:41" ht="13.5" customHeight="1">
      <c r="A56" s="100"/>
      <c r="B56" s="100"/>
      <c r="C56" s="100"/>
      <c r="D56" s="100"/>
      <c r="E56" s="100"/>
      <c r="F56" s="100"/>
      <c r="J56" s="100"/>
      <c r="K56" s="100"/>
      <c r="L56" s="100"/>
      <c r="M56" s="22"/>
      <c r="N56" s="22"/>
      <c r="O56" s="22"/>
      <c r="P56" s="22"/>
      <c r="Q56" s="100"/>
      <c r="R56" s="100"/>
      <c r="S56" s="100"/>
      <c r="T56" s="100"/>
      <c r="U56" s="100"/>
      <c r="V56" s="100"/>
      <c r="W56" s="100"/>
      <c r="X56" s="100"/>
      <c r="Y56" s="100"/>
      <c r="Z56" s="100"/>
      <c r="AA56" s="100"/>
      <c r="AB56" s="100"/>
      <c r="AC56" s="100"/>
      <c r="AD56" s="100"/>
      <c r="AE56" s="100"/>
      <c r="AF56" s="100"/>
      <c r="AG56" s="100"/>
      <c r="AH56" s="100"/>
      <c r="AI56" s="100"/>
      <c r="AJ56" s="100"/>
      <c r="AK56" s="100"/>
      <c r="AL56" s="100"/>
      <c r="AM56" s="100"/>
      <c r="AN56" s="100"/>
      <c r="AO56" s="100"/>
    </row>
    <row r="57" spans="1:41" ht="13.5" customHeight="1">
      <c r="A57" s="100"/>
      <c r="B57" s="100"/>
      <c r="C57" s="100"/>
      <c r="D57" s="100"/>
      <c r="E57" s="100"/>
      <c r="F57" s="100"/>
      <c r="J57" s="100"/>
      <c r="K57" s="100"/>
      <c r="L57" s="100"/>
      <c r="M57" s="22"/>
      <c r="N57" s="22"/>
      <c r="O57" s="22"/>
      <c r="P57" s="22"/>
      <c r="Q57" s="100"/>
      <c r="R57" s="100"/>
      <c r="S57" s="100"/>
      <c r="T57" s="100"/>
      <c r="U57" s="100"/>
      <c r="V57" s="100"/>
      <c r="W57" s="100"/>
      <c r="X57" s="100"/>
      <c r="Y57" s="100"/>
      <c r="Z57" s="100"/>
      <c r="AA57" s="100"/>
      <c r="AB57" s="100"/>
      <c r="AC57" s="100"/>
      <c r="AD57" s="100"/>
      <c r="AE57" s="100"/>
      <c r="AF57" s="100"/>
      <c r="AG57" s="100"/>
      <c r="AH57" s="100"/>
      <c r="AI57" s="100"/>
      <c r="AJ57" s="100"/>
      <c r="AK57" s="100"/>
      <c r="AL57" s="100"/>
      <c r="AM57" s="100"/>
      <c r="AN57" s="100"/>
      <c r="AO57" s="100"/>
    </row>
    <row r="58" spans="1:41" ht="13.5" customHeight="1">
      <c r="A58" s="100"/>
      <c r="B58" s="100"/>
      <c r="C58" s="100"/>
      <c r="D58" s="100"/>
      <c r="E58" s="100"/>
      <c r="F58" s="100"/>
      <c r="J58" s="100"/>
      <c r="K58" s="100"/>
      <c r="L58" s="100"/>
      <c r="M58" s="22"/>
      <c r="N58" s="22"/>
      <c r="O58" s="22"/>
      <c r="P58" s="22"/>
      <c r="Q58" s="100"/>
      <c r="R58" s="100"/>
      <c r="S58" s="100"/>
      <c r="T58" s="100"/>
      <c r="U58" s="100"/>
      <c r="V58" s="100"/>
      <c r="W58" s="100"/>
      <c r="X58" s="100"/>
      <c r="Y58" s="100"/>
      <c r="Z58" s="100"/>
      <c r="AA58" s="100"/>
      <c r="AB58" s="100"/>
      <c r="AC58" s="100"/>
      <c r="AD58" s="100"/>
      <c r="AE58" s="100"/>
      <c r="AF58" s="100"/>
      <c r="AG58" s="100"/>
      <c r="AH58" s="100"/>
      <c r="AI58" s="100"/>
      <c r="AJ58" s="100"/>
      <c r="AK58" s="100"/>
      <c r="AL58" s="100"/>
      <c r="AM58" s="100"/>
      <c r="AN58" s="100"/>
      <c r="AO58" s="100"/>
    </row>
    <row r="59" spans="1:41" ht="14.1" customHeight="1">
      <c r="A59" s="100"/>
      <c r="B59" s="100"/>
      <c r="C59" s="100"/>
      <c r="D59" s="100"/>
      <c r="E59" s="100"/>
      <c r="F59" s="100"/>
      <c r="J59" s="100"/>
      <c r="K59" s="100"/>
      <c r="L59" s="100"/>
      <c r="M59" s="22"/>
      <c r="N59" s="22"/>
      <c r="O59" s="22"/>
      <c r="P59" s="22"/>
      <c r="Q59" s="100"/>
      <c r="R59" s="100"/>
      <c r="S59" s="100"/>
      <c r="T59" s="100"/>
      <c r="U59" s="100"/>
      <c r="V59" s="100"/>
      <c r="W59" s="100"/>
      <c r="X59" s="100"/>
      <c r="Y59" s="100"/>
      <c r="Z59" s="100"/>
      <c r="AA59" s="100"/>
      <c r="AB59" s="100"/>
      <c r="AC59" s="100"/>
      <c r="AD59" s="100"/>
      <c r="AE59" s="100"/>
      <c r="AF59" s="100"/>
      <c r="AG59" s="100"/>
      <c r="AH59" s="100"/>
      <c r="AI59" s="100"/>
      <c r="AJ59" s="100"/>
      <c r="AK59" s="100"/>
      <c r="AL59" s="100"/>
      <c r="AM59" s="100"/>
      <c r="AN59" s="100"/>
      <c r="AO59" s="100"/>
    </row>
    <row r="60" spans="1:41" ht="14.1" customHeight="1">
      <c r="A60" s="100"/>
      <c r="B60" s="100"/>
      <c r="C60" s="100"/>
      <c r="D60" s="100"/>
      <c r="E60" s="100"/>
      <c r="F60" s="100"/>
      <c r="J60" s="100"/>
      <c r="K60" s="100"/>
      <c r="L60" s="100"/>
      <c r="M60" s="22"/>
      <c r="N60" s="22"/>
      <c r="O60" s="22"/>
      <c r="P60" s="22"/>
      <c r="Q60" s="100"/>
      <c r="R60" s="100"/>
      <c r="S60" s="100"/>
      <c r="T60" s="100"/>
      <c r="U60" s="100"/>
      <c r="V60" s="100"/>
      <c r="W60" s="100"/>
      <c r="X60" s="100"/>
      <c r="Y60" s="100"/>
      <c r="Z60" s="100"/>
      <c r="AA60" s="100"/>
      <c r="AB60" s="100"/>
      <c r="AC60" s="100"/>
      <c r="AD60" s="100"/>
      <c r="AE60" s="100"/>
      <c r="AF60" s="100"/>
      <c r="AG60" s="100"/>
      <c r="AH60" s="100"/>
      <c r="AI60" s="100"/>
      <c r="AJ60" s="100"/>
      <c r="AK60" s="100"/>
      <c r="AL60" s="100"/>
      <c r="AM60" s="100"/>
      <c r="AN60" s="100"/>
      <c r="AO60" s="100"/>
    </row>
    <row r="61" spans="1:41" ht="14.1" customHeight="1">
      <c r="A61" s="100"/>
      <c r="B61" s="100"/>
      <c r="C61" s="100"/>
      <c r="D61" s="100"/>
      <c r="E61" s="100"/>
      <c r="F61" s="100"/>
      <c r="J61" s="100"/>
      <c r="K61" s="100"/>
      <c r="L61" s="100"/>
      <c r="M61" s="22"/>
      <c r="N61" s="22"/>
      <c r="O61" s="22"/>
      <c r="P61" s="22"/>
      <c r="Q61" s="100"/>
      <c r="R61" s="100"/>
      <c r="S61" s="100"/>
      <c r="T61" s="100"/>
      <c r="U61" s="100"/>
      <c r="V61" s="100"/>
      <c r="W61" s="100"/>
      <c r="X61" s="100"/>
      <c r="Y61" s="100"/>
      <c r="Z61" s="100"/>
      <c r="AA61" s="100"/>
      <c r="AB61" s="100"/>
      <c r="AC61" s="100"/>
      <c r="AD61" s="100"/>
      <c r="AE61" s="100"/>
      <c r="AF61" s="100"/>
      <c r="AG61" s="100"/>
      <c r="AH61" s="100"/>
      <c r="AI61" s="100"/>
      <c r="AJ61" s="100"/>
      <c r="AK61" s="100"/>
      <c r="AL61" s="100"/>
      <c r="AM61" s="100"/>
      <c r="AN61" s="100"/>
      <c r="AO61" s="100"/>
    </row>
    <row r="62" spans="1:41" ht="14.1" customHeight="1">
      <c r="A62" s="100"/>
      <c r="B62" s="100"/>
      <c r="C62" s="100"/>
      <c r="D62" s="100"/>
      <c r="E62" s="100"/>
      <c r="F62" s="100"/>
      <c r="J62" s="100"/>
      <c r="K62" s="100"/>
      <c r="L62" s="100"/>
      <c r="M62" s="22"/>
      <c r="N62" s="22"/>
      <c r="O62" s="22"/>
      <c r="P62" s="22"/>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row>
    <row r="63" spans="1:41" ht="14.1" customHeight="1">
      <c r="A63" s="100"/>
      <c r="B63" s="100"/>
      <c r="C63" s="100"/>
      <c r="D63" s="100"/>
      <c r="E63" s="100"/>
      <c r="F63" s="100"/>
      <c r="J63" s="100"/>
      <c r="K63" s="100"/>
      <c r="L63" s="100"/>
      <c r="M63" s="22"/>
      <c r="N63" s="22"/>
      <c r="O63" s="22"/>
      <c r="P63" s="22"/>
      <c r="Q63" s="100"/>
      <c r="R63" s="100"/>
      <c r="S63" s="100"/>
      <c r="T63" s="100"/>
      <c r="U63" s="100"/>
      <c r="V63" s="100"/>
      <c r="W63" s="100"/>
      <c r="X63" s="100"/>
      <c r="Y63" s="100"/>
      <c r="Z63" s="100"/>
      <c r="AA63" s="100"/>
      <c r="AB63" s="100"/>
      <c r="AC63" s="100"/>
      <c r="AD63" s="100"/>
      <c r="AE63" s="100"/>
      <c r="AF63" s="100"/>
      <c r="AG63" s="100"/>
      <c r="AH63" s="100"/>
      <c r="AI63" s="100"/>
      <c r="AJ63" s="100"/>
      <c r="AK63" s="100"/>
      <c r="AL63" s="100"/>
      <c r="AM63" s="100"/>
      <c r="AN63" s="100"/>
      <c r="AO63" s="100"/>
    </row>
    <row r="64" spans="1:41" ht="14.1" customHeight="1">
      <c r="A64" s="100"/>
      <c r="B64" s="100"/>
      <c r="C64" s="100"/>
      <c r="D64" s="100"/>
      <c r="E64" s="100"/>
      <c r="F64" s="100"/>
      <c r="J64" s="100"/>
      <c r="K64" s="100"/>
      <c r="L64" s="100"/>
      <c r="M64" s="22"/>
      <c r="N64" s="22"/>
      <c r="O64" s="22"/>
      <c r="P64" s="22"/>
      <c r="Q64" s="100"/>
      <c r="R64" s="100"/>
      <c r="S64" s="100"/>
      <c r="T64" s="100"/>
      <c r="U64" s="100"/>
      <c r="V64" s="100"/>
      <c r="W64" s="100"/>
      <c r="X64" s="100"/>
      <c r="Y64" s="100"/>
      <c r="Z64" s="100"/>
      <c r="AA64" s="100"/>
      <c r="AB64" s="100"/>
      <c r="AC64" s="100"/>
      <c r="AD64" s="100"/>
      <c r="AE64" s="100"/>
      <c r="AF64" s="100"/>
      <c r="AG64" s="100"/>
      <c r="AH64" s="100"/>
      <c r="AI64" s="100"/>
      <c r="AJ64" s="100"/>
      <c r="AK64" s="100"/>
      <c r="AL64" s="100"/>
      <c r="AM64" s="100"/>
      <c r="AN64" s="100"/>
      <c r="AO64" s="100"/>
    </row>
    <row r="65" spans="1:41" ht="14.1" customHeight="1">
      <c r="A65" s="100"/>
      <c r="B65" s="100"/>
      <c r="C65" s="100"/>
      <c r="D65" s="100"/>
      <c r="E65" s="100"/>
      <c r="F65" s="100"/>
      <c r="J65" s="100"/>
      <c r="K65" s="100"/>
      <c r="L65" s="100"/>
      <c r="M65" s="22"/>
      <c r="N65" s="22"/>
      <c r="O65" s="22"/>
      <c r="P65" s="22"/>
      <c r="Q65" s="100"/>
      <c r="R65" s="100"/>
      <c r="S65" s="100"/>
      <c r="T65" s="100"/>
      <c r="U65" s="100"/>
      <c r="V65" s="100"/>
      <c r="W65" s="100"/>
      <c r="X65" s="100"/>
      <c r="Y65" s="100"/>
      <c r="Z65" s="100"/>
      <c r="AA65" s="100"/>
      <c r="AB65" s="100"/>
      <c r="AC65" s="100"/>
      <c r="AD65" s="100"/>
      <c r="AE65" s="100"/>
      <c r="AF65" s="100"/>
      <c r="AG65" s="100"/>
      <c r="AH65" s="100"/>
      <c r="AI65" s="100"/>
      <c r="AJ65" s="100"/>
      <c r="AK65" s="100"/>
      <c r="AL65" s="100"/>
      <c r="AM65" s="100"/>
      <c r="AN65" s="100"/>
      <c r="AO65" s="100"/>
    </row>
    <row r="66" spans="1:41" ht="14.1" customHeight="1">
      <c r="A66" s="100"/>
      <c r="B66" s="100"/>
      <c r="C66" s="100"/>
      <c r="D66" s="100"/>
      <c r="E66" s="100"/>
      <c r="F66" s="100"/>
      <c r="J66" s="100"/>
      <c r="K66" s="100"/>
      <c r="L66" s="100"/>
      <c r="M66" s="22"/>
      <c r="N66" s="22"/>
      <c r="O66" s="22"/>
      <c r="P66" s="22"/>
      <c r="Q66" s="100"/>
      <c r="R66" s="100"/>
      <c r="S66" s="100"/>
      <c r="T66" s="100"/>
      <c r="U66" s="100"/>
      <c r="V66" s="100"/>
      <c r="W66" s="100"/>
      <c r="X66" s="100"/>
      <c r="Y66" s="100"/>
      <c r="Z66" s="100"/>
      <c r="AA66" s="100"/>
      <c r="AB66" s="100"/>
      <c r="AC66" s="100"/>
      <c r="AD66" s="100"/>
      <c r="AE66" s="100"/>
      <c r="AF66" s="100"/>
      <c r="AG66" s="100"/>
      <c r="AH66" s="100"/>
      <c r="AI66" s="100"/>
      <c r="AJ66" s="100"/>
      <c r="AK66" s="100"/>
      <c r="AL66" s="100"/>
      <c r="AM66" s="100"/>
      <c r="AN66" s="100"/>
      <c r="AO66" s="100"/>
    </row>
    <row r="67" spans="1:41" ht="14.1" customHeight="1">
      <c r="A67" s="100"/>
      <c r="B67" s="100"/>
      <c r="C67" s="100"/>
      <c r="D67" s="100"/>
      <c r="E67" s="100"/>
      <c r="F67" s="100"/>
      <c r="J67" s="100"/>
      <c r="K67" s="100"/>
      <c r="L67" s="100"/>
      <c r="M67" s="22"/>
      <c r="N67" s="22"/>
      <c r="O67" s="22"/>
      <c r="P67" s="22"/>
      <c r="Q67" s="100"/>
      <c r="R67" s="100"/>
      <c r="S67" s="100"/>
      <c r="T67" s="100"/>
      <c r="U67" s="100"/>
      <c r="V67" s="100"/>
      <c r="W67" s="100"/>
      <c r="X67" s="100"/>
      <c r="Y67" s="100"/>
      <c r="Z67" s="100"/>
      <c r="AA67" s="100"/>
      <c r="AB67" s="100"/>
      <c r="AC67" s="100"/>
      <c r="AD67" s="100"/>
      <c r="AE67" s="100"/>
      <c r="AF67" s="100"/>
      <c r="AG67" s="100"/>
      <c r="AH67" s="100"/>
      <c r="AI67" s="100"/>
      <c r="AJ67" s="100"/>
      <c r="AK67" s="100"/>
      <c r="AL67" s="100"/>
      <c r="AM67" s="100"/>
      <c r="AN67" s="100"/>
      <c r="AO67" s="100"/>
    </row>
    <row r="68" spans="1:41" ht="14.1" customHeight="1">
      <c r="A68" s="100"/>
      <c r="B68" s="100"/>
      <c r="C68" s="100"/>
      <c r="D68" s="100"/>
      <c r="E68" s="100"/>
      <c r="F68" s="100"/>
      <c r="J68" s="100"/>
      <c r="K68" s="100"/>
      <c r="L68" s="100"/>
      <c r="M68" s="22"/>
      <c r="N68" s="22"/>
      <c r="O68" s="22"/>
      <c r="P68" s="22"/>
      <c r="Q68" s="100"/>
      <c r="R68" s="100"/>
      <c r="S68" s="100"/>
      <c r="T68" s="100"/>
      <c r="U68" s="100"/>
      <c r="V68" s="100"/>
      <c r="W68" s="100"/>
      <c r="X68" s="100"/>
      <c r="Y68" s="100"/>
      <c r="Z68" s="100"/>
      <c r="AA68" s="100"/>
      <c r="AB68" s="100"/>
      <c r="AC68" s="100"/>
      <c r="AD68" s="100"/>
      <c r="AE68" s="100"/>
      <c r="AF68" s="100"/>
      <c r="AG68" s="100"/>
      <c r="AH68" s="100"/>
      <c r="AI68" s="100"/>
      <c r="AJ68" s="100"/>
      <c r="AK68" s="100"/>
      <c r="AL68" s="100"/>
      <c r="AM68" s="100"/>
      <c r="AN68" s="100"/>
      <c r="AO68" s="100"/>
    </row>
    <row r="69" spans="1:41" ht="14.1" customHeight="1">
      <c r="A69" s="100"/>
      <c r="B69" s="100"/>
      <c r="C69" s="100"/>
      <c r="D69" s="100"/>
      <c r="E69" s="100"/>
      <c r="F69" s="100"/>
      <c r="J69" s="100"/>
      <c r="K69" s="100"/>
      <c r="L69" s="100"/>
      <c r="M69" s="22"/>
      <c r="N69" s="22"/>
      <c r="O69" s="22"/>
      <c r="P69" s="22"/>
      <c r="Q69" s="100"/>
      <c r="R69" s="100"/>
      <c r="S69" s="100"/>
      <c r="T69" s="100"/>
      <c r="U69" s="100"/>
      <c r="V69" s="100"/>
      <c r="W69" s="100"/>
      <c r="X69" s="100"/>
      <c r="Y69" s="100"/>
      <c r="Z69" s="100"/>
      <c r="AA69" s="100"/>
      <c r="AB69" s="100"/>
      <c r="AC69" s="100"/>
      <c r="AD69" s="100"/>
      <c r="AE69" s="100"/>
      <c r="AF69" s="100"/>
      <c r="AG69" s="100"/>
      <c r="AH69" s="100"/>
      <c r="AI69" s="100"/>
      <c r="AJ69" s="100"/>
      <c r="AK69" s="100"/>
      <c r="AL69" s="100"/>
      <c r="AM69" s="100"/>
      <c r="AN69" s="100"/>
      <c r="AO69" s="100"/>
    </row>
    <row r="70" spans="1:41" ht="14.1" customHeight="1">
      <c r="A70" s="100"/>
      <c r="B70" s="100"/>
      <c r="C70" s="100"/>
      <c r="D70" s="100"/>
      <c r="E70" s="100"/>
      <c r="F70" s="100"/>
      <c r="J70" s="100"/>
      <c r="K70" s="100"/>
      <c r="L70" s="100"/>
      <c r="M70" s="22"/>
      <c r="N70" s="22"/>
      <c r="O70" s="22"/>
      <c r="P70" s="22"/>
      <c r="Q70" s="100"/>
      <c r="R70" s="100"/>
      <c r="S70" s="100"/>
      <c r="T70" s="100"/>
      <c r="U70" s="100"/>
      <c r="V70" s="100"/>
      <c r="W70" s="100"/>
      <c r="X70" s="100"/>
      <c r="Y70" s="100"/>
      <c r="Z70" s="100"/>
      <c r="AA70" s="100"/>
      <c r="AB70" s="100"/>
      <c r="AC70" s="100"/>
      <c r="AD70" s="100"/>
      <c r="AE70" s="100"/>
      <c r="AF70" s="100"/>
      <c r="AG70" s="100"/>
      <c r="AH70" s="100"/>
      <c r="AI70" s="100"/>
      <c r="AJ70" s="100"/>
      <c r="AK70" s="100"/>
      <c r="AL70" s="100"/>
      <c r="AM70" s="100"/>
      <c r="AN70" s="100"/>
      <c r="AO70" s="100"/>
    </row>
    <row r="71" spans="1:41" ht="14.1" customHeight="1">
      <c r="A71" s="100"/>
      <c r="B71" s="100"/>
      <c r="C71" s="100"/>
      <c r="D71" s="100"/>
      <c r="E71" s="100"/>
      <c r="F71" s="100"/>
      <c r="J71" s="100"/>
      <c r="K71" s="100"/>
      <c r="L71" s="100"/>
      <c r="M71" s="22"/>
      <c r="N71" s="22"/>
      <c r="O71" s="22"/>
      <c r="P71" s="22"/>
      <c r="Q71" s="100"/>
      <c r="R71" s="100"/>
      <c r="S71" s="100"/>
      <c r="T71" s="100"/>
      <c r="U71" s="100"/>
      <c r="V71" s="100"/>
      <c r="W71" s="100"/>
      <c r="X71" s="100"/>
      <c r="Y71" s="100"/>
      <c r="Z71" s="100"/>
      <c r="AA71" s="100"/>
      <c r="AB71" s="100"/>
      <c r="AC71" s="100"/>
      <c r="AD71" s="100"/>
      <c r="AE71" s="100"/>
      <c r="AF71" s="100"/>
      <c r="AG71" s="100"/>
      <c r="AH71" s="100"/>
      <c r="AI71" s="100"/>
      <c r="AJ71" s="100"/>
      <c r="AK71" s="100"/>
      <c r="AL71" s="100"/>
      <c r="AM71" s="100"/>
      <c r="AN71" s="100"/>
      <c r="AO71" s="100"/>
    </row>
    <row r="72" spans="1:41" ht="14.1" customHeight="1">
      <c r="A72" s="100"/>
      <c r="B72" s="100"/>
      <c r="C72" s="100"/>
      <c r="D72" s="100"/>
      <c r="E72" s="100"/>
      <c r="F72" s="100"/>
      <c r="J72" s="100"/>
      <c r="K72" s="100"/>
      <c r="L72" s="100"/>
      <c r="M72" s="22"/>
      <c r="N72" s="22"/>
      <c r="O72" s="22"/>
      <c r="P72" s="22"/>
      <c r="Q72" s="100"/>
      <c r="R72" s="100"/>
      <c r="S72" s="100"/>
      <c r="T72" s="100"/>
      <c r="U72" s="100"/>
      <c r="V72" s="100"/>
      <c r="W72" s="100"/>
      <c r="X72" s="100"/>
      <c r="Y72" s="100"/>
      <c r="Z72" s="100"/>
      <c r="AA72" s="100"/>
      <c r="AB72" s="100"/>
      <c r="AC72" s="100"/>
      <c r="AD72" s="100"/>
      <c r="AE72" s="100"/>
      <c r="AF72" s="100"/>
      <c r="AG72" s="100"/>
      <c r="AH72" s="100"/>
      <c r="AI72" s="100"/>
      <c r="AJ72" s="100"/>
      <c r="AK72" s="100"/>
      <c r="AL72" s="100"/>
      <c r="AM72" s="100"/>
      <c r="AN72" s="100"/>
      <c r="AO72" s="100"/>
    </row>
    <row r="73" spans="1:41" ht="14.1" customHeight="1">
      <c r="A73" s="100"/>
      <c r="B73" s="100"/>
      <c r="C73" s="100"/>
      <c r="D73" s="100"/>
      <c r="E73" s="100"/>
      <c r="F73" s="100"/>
      <c r="J73" s="100"/>
      <c r="K73" s="100"/>
      <c r="L73" s="100"/>
      <c r="M73" s="22"/>
      <c r="N73" s="22"/>
      <c r="O73" s="22"/>
      <c r="P73" s="22"/>
      <c r="Q73" s="100"/>
      <c r="R73" s="100"/>
      <c r="S73" s="100"/>
      <c r="T73" s="100"/>
      <c r="U73" s="100"/>
      <c r="V73" s="100"/>
      <c r="W73" s="100"/>
      <c r="X73" s="100"/>
      <c r="Y73" s="100"/>
      <c r="Z73" s="100"/>
      <c r="AA73" s="100"/>
      <c r="AB73" s="100"/>
      <c r="AC73" s="100"/>
      <c r="AD73" s="100"/>
      <c r="AE73" s="100"/>
      <c r="AF73" s="100"/>
      <c r="AG73" s="100"/>
      <c r="AH73" s="100"/>
      <c r="AI73" s="100"/>
      <c r="AJ73" s="100"/>
      <c r="AK73" s="100"/>
      <c r="AL73" s="100"/>
      <c r="AM73" s="100"/>
      <c r="AN73" s="100"/>
      <c r="AO73" s="100"/>
    </row>
    <row r="74" spans="1:41" ht="14.1" customHeight="1">
      <c r="A74" s="100"/>
      <c r="B74" s="100"/>
      <c r="C74" s="100"/>
      <c r="D74" s="100"/>
      <c r="E74" s="100"/>
      <c r="F74" s="100"/>
      <c r="J74" s="100"/>
      <c r="K74" s="100"/>
      <c r="L74" s="100"/>
      <c r="M74" s="22"/>
      <c r="N74" s="22"/>
      <c r="O74" s="22"/>
      <c r="P74" s="22"/>
      <c r="Q74" s="100"/>
      <c r="R74" s="100"/>
      <c r="S74" s="100"/>
      <c r="T74" s="100"/>
      <c r="U74" s="100"/>
      <c r="V74" s="100"/>
      <c r="W74" s="100"/>
      <c r="X74" s="100"/>
      <c r="Y74" s="100"/>
      <c r="Z74" s="100"/>
      <c r="AA74" s="100"/>
      <c r="AB74" s="100"/>
      <c r="AC74" s="100"/>
      <c r="AD74" s="100"/>
      <c r="AE74" s="100"/>
      <c r="AF74" s="100"/>
      <c r="AG74" s="100"/>
      <c r="AH74" s="100"/>
      <c r="AI74" s="100"/>
      <c r="AJ74" s="100"/>
      <c r="AK74" s="100"/>
      <c r="AL74" s="100"/>
      <c r="AM74" s="100"/>
      <c r="AN74" s="100"/>
      <c r="AO74" s="100"/>
    </row>
    <row r="75" spans="1:41" ht="14.1" customHeight="1">
      <c r="A75" s="100"/>
      <c r="B75" s="100"/>
      <c r="C75" s="100"/>
      <c r="D75" s="100"/>
      <c r="E75" s="100"/>
      <c r="F75" s="100"/>
      <c r="J75" s="100"/>
      <c r="K75" s="100"/>
      <c r="L75" s="100"/>
      <c r="M75" s="22"/>
      <c r="N75" s="22"/>
      <c r="O75" s="22"/>
      <c r="P75" s="22"/>
      <c r="Q75" s="100"/>
      <c r="R75" s="100"/>
      <c r="S75" s="100"/>
      <c r="T75" s="100"/>
      <c r="U75" s="100"/>
      <c r="V75" s="100"/>
      <c r="W75" s="100"/>
      <c r="X75" s="100"/>
      <c r="Y75" s="100"/>
      <c r="Z75" s="100"/>
      <c r="AA75" s="100"/>
      <c r="AB75" s="100"/>
      <c r="AC75" s="100"/>
      <c r="AD75" s="100"/>
      <c r="AE75" s="100"/>
      <c r="AF75" s="100"/>
      <c r="AG75" s="100"/>
      <c r="AH75" s="100"/>
      <c r="AI75" s="100"/>
      <c r="AJ75" s="100"/>
      <c r="AK75" s="100"/>
      <c r="AL75" s="100"/>
      <c r="AM75" s="100"/>
      <c r="AN75" s="100"/>
      <c r="AO75" s="100"/>
    </row>
    <row r="76" spans="1:41" ht="14.1" customHeight="1">
      <c r="A76" s="100"/>
      <c r="B76" s="100"/>
      <c r="C76" s="100"/>
      <c r="D76" s="100"/>
      <c r="E76" s="100"/>
      <c r="F76" s="100"/>
      <c r="J76" s="100"/>
      <c r="K76" s="100"/>
      <c r="L76" s="100"/>
      <c r="M76" s="22"/>
      <c r="N76" s="22"/>
      <c r="O76" s="22"/>
      <c r="P76" s="22"/>
      <c r="Q76" s="100"/>
      <c r="R76" s="100"/>
      <c r="S76" s="100"/>
      <c r="T76" s="100"/>
      <c r="U76" s="100"/>
      <c r="V76" s="100"/>
      <c r="W76" s="100"/>
      <c r="X76" s="100"/>
      <c r="Y76" s="100"/>
      <c r="Z76" s="100"/>
      <c r="AA76" s="100"/>
      <c r="AB76" s="100"/>
      <c r="AC76" s="100"/>
      <c r="AD76" s="100"/>
      <c r="AE76" s="100"/>
      <c r="AF76" s="100"/>
      <c r="AG76" s="100"/>
      <c r="AH76" s="100"/>
      <c r="AI76" s="100"/>
      <c r="AJ76" s="100"/>
      <c r="AK76" s="100"/>
      <c r="AL76" s="100"/>
      <c r="AM76" s="100"/>
      <c r="AN76" s="100"/>
      <c r="AO76" s="100"/>
    </row>
    <row r="77" spans="1:41" ht="14.1" customHeight="1">
      <c r="A77" s="100"/>
      <c r="B77" s="100"/>
      <c r="C77" s="100"/>
      <c r="D77" s="100"/>
      <c r="E77" s="100"/>
      <c r="F77" s="100"/>
      <c r="J77" s="100"/>
      <c r="K77" s="100"/>
      <c r="L77" s="100"/>
      <c r="M77" s="22"/>
      <c r="N77" s="22"/>
      <c r="O77" s="22"/>
      <c r="P77" s="22"/>
      <c r="Q77" s="100"/>
      <c r="R77" s="100"/>
      <c r="S77" s="100"/>
      <c r="T77" s="100"/>
      <c r="U77" s="100"/>
      <c r="V77" s="100"/>
      <c r="W77" s="100"/>
      <c r="X77" s="100"/>
      <c r="Y77" s="100"/>
      <c r="Z77" s="100"/>
      <c r="AA77" s="100"/>
      <c r="AB77" s="100"/>
      <c r="AC77" s="100"/>
      <c r="AD77" s="100"/>
      <c r="AE77" s="100"/>
      <c r="AF77" s="100"/>
      <c r="AG77" s="100"/>
      <c r="AH77" s="100"/>
      <c r="AI77" s="100"/>
      <c r="AJ77" s="100"/>
      <c r="AK77" s="100"/>
      <c r="AL77" s="100"/>
      <c r="AM77" s="100"/>
      <c r="AN77" s="100"/>
      <c r="AO77" s="100"/>
    </row>
    <row r="78" spans="1:41" ht="14.1" customHeight="1">
      <c r="A78" s="100"/>
      <c r="B78" s="100"/>
      <c r="C78" s="100"/>
      <c r="D78" s="100"/>
      <c r="E78" s="100"/>
      <c r="F78" s="100"/>
      <c r="J78" s="100"/>
      <c r="K78" s="100"/>
      <c r="L78" s="100"/>
      <c r="M78" s="22"/>
      <c r="N78" s="22"/>
      <c r="O78" s="22"/>
      <c r="P78" s="22"/>
      <c r="Q78" s="100"/>
      <c r="R78" s="100"/>
      <c r="S78" s="100"/>
      <c r="T78" s="100"/>
      <c r="U78" s="100"/>
      <c r="V78" s="100"/>
      <c r="W78" s="100"/>
      <c r="X78" s="100"/>
      <c r="Y78" s="100"/>
      <c r="Z78" s="100"/>
      <c r="AA78" s="100"/>
      <c r="AB78" s="100"/>
      <c r="AC78" s="100"/>
      <c r="AD78" s="100"/>
      <c r="AE78" s="100"/>
      <c r="AF78" s="100"/>
      <c r="AG78" s="100"/>
      <c r="AH78" s="100"/>
      <c r="AI78" s="100"/>
      <c r="AJ78" s="100"/>
      <c r="AK78" s="100"/>
      <c r="AL78" s="100"/>
      <c r="AM78" s="100"/>
      <c r="AN78" s="100"/>
      <c r="AO78" s="100"/>
    </row>
    <row r="79" spans="1:41" ht="14.1" customHeight="1">
      <c r="P79" s="98"/>
    </row>
    <row r="80" spans="1:41" ht="14.1" customHeight="1">
      <c r="P80" s="98"/>
    </row>
    <row r="81" ht="14.1" customHeight="1"/>
    <row r="82" ht="14.1" customHeight="1"/>
    <row r="83" ht="14.1" customHeight="1"/>
    <row r="84" ht="12.75" hidden="1" customHeight="1"/>
    <row r="85" ht="12.75" hidden="1" customHeight="1"/>
    <row r="86" ht="12.75" hidden="1" customHeight="1"/>
    <row r="87" ht="12.75" hidden="1" customHeight="1"/>
    <row r="88" ht="12.75" hidden="1" customHeight="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row r="118"/>
    <row r="119"/>
    <row r="120"/>
    <row r="121"/>
    <row r="122"/>
    <row r="123"/>
    <row r="124"/>
    <row r="125"/>
    <row r="126"/>
    <row r="127"/>
    <row r="128"/>
    <row r="129"/>
  </sheetData>
  <sheetProtection sheet="1" objects="1" scenarios="1" selectLockedCells="1"/>
  <mergeCells count="46">
    <mergeCell ref="I2:I4"/>
    <mergeCell ref="M2:S2"/>
    <mergeCell ref="M3:M4"/>
    <mergeCell ref="M41:N41"/>
    <mergeCell ref="E1:F1"/>
    <mergeCell ref="E2:E4"/>
    <mergeCell ref="F2:F4"/>
    <mergeCell ref="G2:G4"/>
    <mergeCell ref="A20:A34"/>
    <mergeCell ref="A35:A37"/>
    <mergeCell ref="B35:C35"/>
    <mergeCell ref="B36:C36"/>
    <mergeCell ref="H2:H4"/>
    <mergeCell ref="A2:C2"/>
    <mergeCell ref="B5:C5"/>
    <mergeCell ref="B6:C6"/>
    <mergeCell ref="B7:C7"/>
    <mergeCell ref="B9:C9"/>
    <mergeCell ref="B10:C10"/>
    <mergeCell ref="B11:C11"/>
    <mergeCell ref="B12:C12"/>
    <mergeCell ref="B13:C13"/>
    <mergeCell ref="B14:C14"/>
    <mergeCell ref="B15:C15"/>
    <mergeCell ref="B22:C22"/>
    <mergeCell ref="B37:C37"/>
    <mergeCell ref="B34:C34"/>
    <mergeCell ref="B19:C19"/>
    <mergeCell ref="B8:C8"/>
    <mergeCell ref="B29:C29"/>
    <mergeCell ref="B30:C30"/>
    <mergeCell ref="B31:C31"/>
    <mergeCell ref="B32:C32"/>
    <mergeCell ref="B33:C33"/>
    <mergeCell ref="B16:C16"/>
    <mergeCell ref="B17:C17"/>
    <mergeCell ref="B18:C18"/>
    <mergeCell ref="B20:C20"/>
    <mergeCell ref="B21:C21"/>
    <mergeCell ref="B28:C28"/>
    <mergeCell ref="J43:K43"/>
    <mergeCell ref="B26:C26"/>
    <mergeCell ref="B25:C25"/>
    <mergeCell ref="B24:C24"/>
    <mergeCell ref="B23:C23"/>
    <mergeCell ref="B27:C27"/>
  </mergeCells>
  <phoneticPr fontId="14"/>
  <printOptions horizontalCentered="1"/>
  <pageMargins left="0.82677165354330717" right="0.82677165354330717" top="1.3385826771653544" bottom="0.74803149606299213" header="0.9055118110236221" footer="0.31496062992125984"/>
  <pageSetup paperSize="9" scale="62" firstPageNumber="0" orientation="landscape" cellComments="asDisplayed" horizontalDpi="4294967293" verticalDpi="300" r:id="rId1"/>
  <headerFooter alignWithMargins="0">
    <oddHeader>&amp;L肉用牛（肥育）春から秋の耕作放棄地経産牛放牧（全域）</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FF00"/>
    <pageSetUpPr fitToPage="1"/>
  </sheetPr>
  <dimension ref="A1:R353"/>
  <sheetViews>
    <sheetView showGridLines="0" workbookViewId="0">
      <pane ySplit="4" topLeftCell="A5" activePane="bottomLeft" state="frozen"/>
      <selection activeCell="I22" sqref="I22"/>
      <selection pane="bottomLeft" activeCell="D22" sqref="D22"/>
    </sheetView>
  </sheetViews>
  <sheetFormatPr defaultRowHeight="13.5"/>
  <cols>
    <col min="1" max="1" width="15.125" style="10" customWidth="1"/>
    <col min="2" max="2" width="9" style="10"/>
    <col min="3" max="3" width="14.625" style="10" customWidth="1"/>
    <col min="4" max="4" width="16.625" style="10" customWidth="1"/>
    <col min="5" max="5" width="4.875" style="10" bestFit="1" customWidth="1"/>
    <col min="6" max="10" width="9" style="329"/>
    <col min="11" max="11" width="18.375" style="10" customWidth="1"/>
    <col min="12" max="12" width="9.125" style="10" customWidth="1"/>
    <col min="13" max="13" width="9.125" style="330" customWidth="1"/>
    <col min="14" max="14" width="9.125" style="329" customWidth="1"/>
    <col min="15" max="15" width="18.625" style="331" customWidth="1"/>
    <col min="16" max="16" width="9" style="10"/>
    <col min="17" max="18" width="9" style="637"/>
    <col min="19" max="16384" width="9" style="10"/>
  </cols>
  <sheetData>
    <row r="1" spans="1:18" ht="14.25" thickBot="1">
      <c r="A1" s="24" t="str">
        <f>IF(①技術体系!A2=0,"",①技術体系!A2)</f>
        <v>放牧牛肉</v>
      </c>
      <c r="D1" s="24" t="str">
        <f>IF(①技術体系!C2=0,"",①技術体系!C2)</f>
        <v>黒毛和種</v>
      </c>
    </row>
    <row r="2" spans="1:18" s="442" customFormat="1" ht="24" customHeight="1" thickBot="1">
      <c r="A2" s="807" t="s">
        <v>4</v>
      </c>
      <c r="B2" s="808" t="s">
        <v>59</v>
      </c>
      <c r="C2" s="809" t="s">
        <v>60</v>
      </c>
      <c r="D2" s="809" t="s">
        <v>61</v>
      </c>
      <c r="E2" s="810" t="s">
        <v>395</v>
      </c>
      <c r="F2" s="825" t="s">
        <v>292</v>
      </c>
      <c r="G2" s="826"/>
      <c r="H2" s="826"/>
      <c r="I2" s="826"/>
      <c r="J2" s="826"/>
      <c r="K2" s="827" t="s">
        <v>62</v>
      </c>
      <c r="L2" s="827"/>
      <c r="M2" s="827"/>
      <c r="N2" s="827"/>
      <c r="O2" s="812" t="s">
        <v>63</v>
      </c>
      <c r="Q2" s="638"/>
      <c r="R2" s="638"/>
    </row>
    <row r="3" spans="1:18" s="442" customFormat="1" ht="19.5" customHeight="1" thickBot="1">
      <c r="A3" s="807"/>
      <c r="B3" s="808"/>
      <c r="C3" s="809"/>
      <c r="D3" s="809"/>
      <c r="E3" s="811"/>
      <c r="F3" s="813" t="s">
        <v>293</v>
      </c>
      <c r="G3" s="814"/>
      <c r="H3" s="813" t="s">
        <v>294</v>
      </c>
      <c r="I3" s="815"/>
      <c r="J3" s="816" t="s">
        <v>66</v>
      </c>
      <c r="K3" s="818" t="s">
        <v>67</v>
      </c>
      <c r="L3" s="820" t="s">
        <v>648</v>
      </c>
      <c r="M3" s="822" t="s">
        <v>396</v>
      </c>
      <c r="N3" s="823" t="s">
        <v>397</v>
      </c>
      <c r="O3" s="812"/>
      <c r="Q3" s="638"/>
      <c r="R3" s="638"/>
    </row>
    <row r="4" spans="1:18" s="442" customFormat="1" ht="27.75" thickBot="1">
      <c r="A4" s="807"/>
      <c r="B4" s="808"/>
      <c r="C4" s="809"/>
      <c r="D4" s="809"/>
      <c r="E4" s="811"/>
      <c r="F4" s="332" t="s">
        <v>64</v>
      </c>
      <c r="G4" s="333" t="s">
        <v>290</v>
      </c>
      <c r="H4" s="334" t="s">
        <v>65</v>
      </c>
      <c r="I4" s="333" t="s">
        <v>291</v>
      </c>
      <c r="J4" s="817"/>
      <c r="K4" s="819"/>
      <c r="L4" s="821"/>
      <c r="M4" s="821"/>
      <c r="N4" s="824"/>
      <c r="O4" s="812"/>
      <c r="Q4" s="638" t="s">
        <v>646</v>
      </c>
      <c r="R4" s="638" t="s">
        <v>647</v>
      </c>
    </row>
    <row r="5" spans="1:18">
      <c r="A5" s="619" t="s">
        <v>443</v>
      </c>
      <c r="B5" s="620" t="s">
        <v>217</v>
      </c>
      <c r="C5" s="621"/>
      <c r="D5" s="622"/>
      <c r="E5" s="3">
        <v>1</v>
      </c>
      <c r="F5" s="273">
        <v>0</v>
      </c>
      <c r="G5" s="273"/>
      <c r="H5" s="5">
        <v>0.2</v>
      </c>
      <c r="I5" s="5">
        <v>1</v>
      </c>
      <c r="J5" s="411">
        <f>(+F5*G5+H5*I5)*E5</f>
        <v>0.2</v>
      </c>
      <c r="K5" s="6"/>
      <c r="L5" s="5">
        <v>0</v>
      </c>
      <c r="M5" s="4">
        <v>0</v>
      </c>
      <c r="N5" s="271" t="str">
        <f>IF(K5=0,"",L5*M5*E5)</f>
        <v/>
      </c>
      <c r="O5" s="567" t="s">
        <v>542</v>
      </c>
      <c r="Q5" s="637">
        <f>F5*G5*E5</f>
        <v>0</v>
      </c>
      <c r="R5" s="637">
        <f>H5*E5*I5</f>
        <v>0.2</v>
      </c>
    </row>
    <row r="6" spans="1:18">
      <c r="A6" s="619" t="s">
        <v>452</v>
      </c>
      <c r="B6" s="620" t="s">
        <v>223</v>
      </c>
      <c r="C6" s="623" t="s">
        <v>499</v>
      </c>
      <c r="D6" s="624"/>
      <c r="E6" s="3">
        <v>1</v>
      </c>
      <c r="F6" s="274">
        <v>0.40000640010240168</v>
      </c>
      <c r="G6" s="274">
        <v>1</v>
      </c>
      <c r="H6" s="8">
        <v>0</v>
      </c>
      <c r="I6" s="5"/>
      <c r="J6" s="411">
        <f t="shared" ref="J6:J69" si="0">(+F6*G6+H6*I6)*E6</f>
        <v>0.40000640010240168</v>
      </c>
      <c r="K6" s="2" t="s">
        <v>175</v>
      </c>
      <c r="L6" s="8">
        <v>0.40000640010240168</v>
      </c>
      <c r="M6" s="7">
        <v>1</v>
      </c>
      <c r="N6" s="9">
        <f t="shared" ref="N6:N69" si="1">IF(K6=0,"",L6*M6*E6)</f>
        <v>0.40000640010240168</v>
      </c>
      <c r="O6" s="20" t="s">
        <v>543</v>
      </c>
      <c r="Q6" s="637">
        <f t="shared" ref="Q6:Q69" si="2">F6*G6*E6</f>
        <v>0.40000640010240168</v>
      </c>
      <c r="R6" s="637">
        <f t="shared" ref="R6:R69" si="3">H6*E6*I6</f>
        <v>0</v>
      </c>
    </row>
    <row r="7" spans="1:18">
      <c r="A7" s="619" t="s">
        <v>456</v>
      </c>
      <c r="B7" s="620" t="s">
        <v>223</v>
      </c>
      <c r="C7" s="624"/>
      <c r="D7" s="624"/>
      <c r="E7" s="3">
        <v>1</v>
      </c>
      <c r="F7" s="274">
        <v>0</v>
      </c>
      <c r="G7" s="274"/>
      <c r="H7" s="8">
        <v>1</v>
      </c>
      <c r="I7" s="5">
        <v>1</v>
      </c>
      <c r="J7" s="411">
        <f t="shared" si="0"/>
        <v>1</v>
      </c>
      <c r="K7" s="2"/>
      <c r="L7" s="8">
        <v>0</v>
      </c>
      <c r="M7" s="7"/>
      <c r="N7" s="9" t="str">
        <f t="shared" si="1"/>
        <v/>
      </c>
      <c r="O7" s="20" t="s">
        <v>544</v>
      </c>
      <c r="Q7" s="637">
        <f t="shared" si="2"/>
        <v>0</v>
      </c>
      <c r="R7" s="637">
        <f t="shared" si="3"/>
        <v>1</v>
      </c>
    </row>
    <row r="8" spans="1:18">
      <c r="A8" s="619" t="s">
        <v>459</v>
      </c>
      <c r="B8" s="620" t="s">
        <v>225</v>
      </c>
      <c r="C8" s="624"/>
      <c r="D8" s="624"/>
      <c r="E8" s="3">
        <v>1</v>
      </c>
      <c r="F8" s="274">
        <v>0</v>
      </c>
      <c r="G8" s="274"/>
      <c r="H8" s="8">
        <v>0.1</v>
      </c>
      <c r="I8" s="5">
        <v>1</v>
      </c>
      <c r="J8" s="411">
        <f t="shared" si="0"/>
        <v>0.1</v>
      </c>
      <c r="K8" s="2"/>
      <c r="L8" s="8">
        <v>0</v>
      </c>
      <c r="M8" s="7"/>
      <c r="N8" s="9" t="str">
        <f t="shared" si="1"/>
        <v/>
      </c>
      <c r="O8" s="20" t="s">
        <v>545</v>
      </c>
      <c r="Q8" s="637">
        <f t="shared" si="2"/>
        <v>0</v>
      </c>
      <c r="R8" s="637">
        <f t="shared" si="3"/>
        <v>0.1</v>
      </c>
    </row>
    <row r="9" spans="1:18">
      <c r="A9" s="619" t="s">
        <v>464</v>
      </c>
      <c r="B9" s="620" t="s">
        <v>225</v>
      </c>
      <c r="C9" s="624"/>
      <c r="D9" s="624"/>
      <c r="E9" s="3">
        <v>10</v>
      </c>
      <c r="F9" s="274">
        <v>0</v>
      </c>
      <c r="G9" s="274"/>
      <c r="H9" s="8">
        <v>0.05</v>
      </c>
      <c r="I9" s="5">
        <v>1</v>
      </c>
      <c r="J9" s="411">
        <f t="shared" si="0"/>
        <v>0.5</v>
      </c>
      <c r="K9" s="2"/>
      <c r="L9" s="8">
        <v>0</v>
      </c>
      <c r="M9" s="7"/>
      <c r="N9" s="9" t="str">
        <f t="shared" si="1"/>
        <v/>
      </c>
      <c r="O9" s="20" t="s">
        <v>546</v>
      </c>
      <c r="Q9" s="637">
        <f t="shared" si="2"/>
        <v>0</v>
      </c>
      <c r="R9" s="637">
        <f t="shared" si="3"/>
        <v>0.5</v>
      </c>
    </row>
    <row r="10" spans="1:18">
      <c r="A10" s="619" t="s">
        <v>464</v>
      </c>
      <c r="B10" s="620" t="s">
        <v>227</v>
      </c>
      <c r="C10" s="624"/>
      <c r="D10" s="624"/>
      <c r="E10" s="3">
        <v>10</v>
      </c>
      <c r="F10" s="274">
        <v>0</v>
      </c>
      <c r="G10" s="274"/>
      <c r="H10" s="8">
        <v>0.05</v>
      </c>
      <c r="I10" s="5">
        <v>1</v>
      </c>
      <c r="J10" s="411">
        <f t="shared" si="0"/>
        <v>0.5</v>
      </c>
      <c r="K10" s="2"/>
      <c r="L10" s="8">
        <v>0</v>
      </c>
      <c r="M10" s="7"/>
      <c r="N10" s="9" t="str">
        <f t="shared" si="1"/>
        <v/>
      </c>
      <c r="O10" s="20" t="s">
        <v>546</v>
      </c>
      <c r="Q10" s="637">
        <f t="shared" si="2"/>
        <v>0</v>
      </c>
      <c r="R10" s="637">
        <f t="shared" si="3"/>
        <v>0.5</v>
      </c>
    </row>
    <row r="11" spans="1:18">
      <c r="A11" s="619" t="s">
        <v>464</v>
      </c>
      <c r="B11" s="620" t="s">
        <v>229</v>
      </c>
      <c r="C11" s="623"/>
      <c r="D11" s="624"/>
      <c r="E11" s="3">
        <v>10</v>
      </c>
      <c r="F11" s="274">
        <v>0</v>
      </c>
      <c r="G11" s="274"/>
      <c r="H11" s="8">
        <v>0.05</v>
      </c>
      <c r="I11" s="5">
        <v>1</v>
      </c>
      <c r="J11" s="411">
        <f t="shared" si="0"/>
        <v>0.5</v>
      </c>
      <c r="K11" s="2"/>
      <c r="L11" s="8">
        <v>0</v>
      </c>
      <c r="M11" s="7"/>
      <c r="N11" s="9" t="str">
        <f t="shared" si="1"/>
        <v/>
      </c>
      <c r="O11" s="20" t="s">
        <v>546</v>
      </c>
      <c r="Q11" s="637">
        <f t="shared" si="2"/>
        <v>0</v>
      </c>
      <c r="R11" s="637">
        <f t="shared" si="3"/>
        <v>0.5</v>
      </c>
    </row>
    <row r="12" spans="1:18">
      <c r="A12" s="619" t="s">
        <v>469</v>
      </c>
      <c r="B12" s="620" t="s">
        <v>231</v>
      </c>
      <c r="C12" s="623"/>
      <c r="D12" s="624"/>
      <c r="E12" s="3">
        <v>1</v>
      </c>
      <c r="F12" s="274">
        <v>0</v>
      </c>
      <c r="G12" s="274"/>
      <c r="H12" s="8">
        <v>0.1</v>
      </c>
      <c r="I12" s="5">
        <v>1</v>
      </c>
      <c r="J12" s="411">
        <f t="shared" si="0"/>
        <v>0.1</v>
      </c>
      <c r="K12" s="2"/>
      <c r="L12" s="8">
        <v>0</v>
      </c>
      <c r="M12" s="7"/>
      <c r="N12" s="9" t="str">
        <f t="shared" si="1"/>
        <v/>
      </c>
      <c r="O12" s="20" t="s">
        <v>547</v>
      </c>
      <c r="Q12" s="637">
        <f t="shared" si="2"/>
        <v>0</v>
      </c>
      <c r="R12" s="637">
        <f t="shared" si="3"/>
        <v>0.1</v>
      </c>
    </row>
    <row r="13" spans="1:18">
      <c r="A13" s="619" t="s">
        <v>475</v>
      </c>
      <c r="B13" s="620" t="s">
        <v>231</v>
      </c>
      <c r="C13" s="624" t="s">
        <v>499</v>
      </c>
      <c r="D13" s="624"/>
      <c r="E13" s="3">
        <v>1</v>
      </c>
      <c r="F13" s="274">
        <v>0.10000160002560042</v>
      </c>
      <c r="G13" s="274">
        <v>1</v>
      </c>
      <c r="H13" s="8">
        <v>0</v>
      </c>
      <c r="I13" s="5"/>
      <c r="J13" s="411">
        <f t="shared" si="0"/>
        <v>0.10000160002560042</v>
      </c>
      <c r="K13" s="2" t="s">
        <v>175</v>
      </c>
      <c r="L13" s="8">
        <v>0.10000160002560042</v>
      </c>
      <c r="M13" s="7">
        <v>1</v>
      </c>
      <c r="N13" s="9">
        <f t="shared" si="1"/>
        <v>0.10000160002560042</v>
      </c>
      <c r="O13" s="20" t="s">
        <v>548</v>
      </c>
      <c r="Q13" s="637">
        <f t="shared" si="2"/>
        <v>0.10000160002560042</v>
      </c>
      <c r="R13" s="637">
        <f t="shared" si="3"/>
        <v>0</v>
      </c>
    </row>
    <row r="14" spans="1:18">
      <c r="A14" s="619" t="s">
        <v>473</v>
      </c>
      <c r="B14" s="620" t="s">
        <v>231</v>
      </c>
      <c r="C14" s="625"/>
      <c r="D14" s="624"/>
      <c r="E14" s="3">
        <v>10</v>
      </c>
      <c r="F14" s="274">
        <v>0</v>
      </c>
      <c r="G14" s="274"/>
      <c r="H14" s="8">
        <v>0.05</v>
      </c>
      <c r="I14" s="5">
        <v>1</v>
      </c>
      <c r="J14" s="411">
        <f t="shared" si="0"/>
        <v>0.5</v>
      </c>
      <c r="K14" s="2"/>
      <c r="L14" s="8">
        <v>0</v>
      </c>
      <c r="M14" s="7"/>
      <c r="N14" s="9" t="str">
        <f t="shared" si="1"/>
        <v/>
      </c>
      <c r="O14" s="20" t="s">
        <v>546</v>
      </c>
      <c r="Q14" s="637">
        <f t="shared" si="2"/>
        <v>0</v>
      </c>
      <c r="R14" s="637">
        <f t="shared" si="3"/>
        <v>0.5</v>
      </c>
    </row>
    <row r="15" spans="1:18">
      <c r="A15" s="619" t="s">
        <v>473</v>
      </c>
      <c r="B15" s="620" t="s">
        <v>232</v>
      </c>
      <c r="C15" s="625"/>
      <c r="D15" s="624"/>
      <c r="E15" s="3">
        <v>10</v>
      </c>
      <c r="F15" s="274">
        <v>0</v>
      </c>
      <c r="G15" s="274"/>
      <c r="H15" s="8">
        <v>0.05</v>
      </c>
      <c r="I15" s="5">
        <v>1</v>
      </c>
      <c r="J15" s="411">
        <f t="shared" si="0"/>
        <v>0.5</v>
      </c>
      <c r="K15" s="2"/>
      <c r="L15" s="8">
        <v>0</v>
      </c>
      <c r="M15" s="7"/>
      <c r="N15" s="9" t="str">
        <f t="shared" si="1"/>
        <v/>
      </c>
      <c r="O15" s="20" t="s">
        <v>546</v>
      </c>
      <c r="Q15" s="637">
        <f t="shared" si="2"/>
        <v>0</v>
      </c>
      <c r="R15" s="637">
        <f t="shared" si="3"/>
        <v>0.5</v>
      </c>
    </row>
    <row r="16" spans="1:18">
      <c r="A16" s="619" t="s">
        <v>473</v>
      </c>
      <c r="B16" s="620" t="s">
        <v>234</v>
      </c>
      <c r="C16" s="625"/>
      <c r="D16" s="624"/>
      <c r="E16" s="3">
        <v>10</v>
      </c>
      <c r="F16" s="274">
        <v>0</v>
      </c>
      <c r="G16" s="274"/>
      <c r="H16" s="8">
        <v>0.05</v>
      </c>
      <c r="I16" s="5">
        <v>1</v>
      </c>
      <c r="J16" s="411">
        <f t="shared" si="0"/>
        <v>0.5</v>
      </c>
      <c r="K16" s="2"/>
      <c r="L16" s="8">
        <v>0</v>
      </c>
      <c r="M16" s="7"/>
      <c r="N16" s="9" t="str">
        <f t="shared" si="1"/>
        <v/>
      </c>
      <c r="O16" s="20" t="s">
        <v>546</v>
      </c>
      <c r="Q16" s="637">
        <f t="shared" si="2"/>
        <v>0</v>
      </c>
      <c r="R16" s="637">
        <f t="shared" si="3"/>
        <v>0.5</v>
      </c>
    </row>
    <row r="17" spans="1:18">
      <c r="A17" s="619" t="s">
        <v>477</v>
      </c>
      <c r="B17" s="620" t="s">
        <v>235</v>
      </c>
      <c r="C17" s="625"/>
      <c r="D17" s="624"/>
      <c r="E17" s="3">
        <v>1</v>
      </c>
      <c r="F17" s="274">
        <v>0</v>
      </c>
      <c r="G17" s="274"/>
      <c r="H17" s="8">
        <v>0.1</v>
      </c>
      <c r="I17" s="5">
        <v>1</v>
      </c>
      <c r="J17" s="411">
        <f t="shared" si="0"/>
        <v>0.1</v>
      </c>
      <c r="K17" s="2"/>
      <c r="L17" s="8">
        <v>0</v>
      </c>
      <c r="M17" s="7"/>
      <c r="N17" s="9" t="str">
        <f t="shared" si="1"/>
        <v/>
      </c>
      <c r="O17" s="20" t="s">
        <v>549</v>
      </c>
      <c r="Q17" s="637">
        <f t="shared" si="2"/>
        <v>0</v>
      </c>
      <c r="R17" s="637">
        <f t="shared" si="3"/>
        <v>0.1</v>
      </c>
    </row>
    <row r="18" spans="1:18">
      <c r="A18" s="619" t="s">
        <v>481</v>
      </c>
      <c r="B18" s="620" t="s">
        <v>235</v>
      </c>
      <c r="C18" s="624" t="s">
        <v>499</v>
      </c>
      <c r="D18" s="624"/>
      <c r="E18" s="3">
        <v>1</v>
      </c>
      <c r="F18" s="274">
        <v>0.10000160002560042</v>
      </c>
      <c r="G18" s="274">
        <v>1</v>
      </c>
      <c r="H18" s="8">
        <v>0</v>
      </c>
      <c r="I18" s="5"/>
      <c r="J18" s="411">
        <f t="shared" si="0"/>
        <v>0.10000160002560042</v>
      </c>
      <c r="K18" s="2" t="s">
        <v>175</v>
      </c>
      <c r="L18" s="8">
        <v>0.10000160002560042</v>
      </c>
      <c r="M18" s="7">
        <v>1</v>
      </c>
      <c r="N18" s="9">
        <f t="shared" si="1"/>
        <v>0.10000160002560042</v>
      </c>
      <c r="O18" s="20" t="s">
        <v>548</v>
      </c>
      <c r="Q18" s="637">
        <f t="shared" si="2"/>
        <v>0.10000160002560042</v>
      </c>
      <c r="R18" s="637">
        <f t="shared" si="3"/>
        <v>0</v>
      </c>
    </row>
    <row r="19" spans="1:18">
      <c r="A19" s="619" t="s">
        <v>479</v>
      </c>
      <c r="B19" s="620" t="s">
        <v>235</v>
      </c>
      <c r="C19" s="625"/>
      <c r="D19" s="624"/>
      <c r="E19" s="3">
        <v>10</v>
      </c>
      <c r="F19" s="274">
        <v>0</v>
      </c>
      <c r="G19" s="274"/>
      <c r="H19" s="8">
        <v>0.05</v>
      </c>
      <c r="I19" s="5">
        <v>1</v>
      </c>
      <c r="J19" s="411">
        <f t="shared" si="0"/>
        <v>0.5</v>
      </c>
      <c r="K19" s="2"/>
      <c r="L19" s="8">
        <v>0</v>
      </c>
      <c r="M19" s="7"/>
      <c r="N19" s="9" t="str">
        <f t="shared" si="1"/>
        <v/>
      </c>
      <c r="O19" s="20" t="s">
        <v>546</v>
      </c>
      <c r="Q19" s="637">
        <f t="shared" si="2"/>
        <v>0</v>
      </c>
      <c r="R19" s="637">
        <f t="shared" si="3"/>
        <v>0.5</v>
      </c>
    </row>
    <row r="20" spans="1:18">
      <c r="A20" s="619" t="s">
        <v>479</v>
      </c>
      <c r="B20" s="620" t="s">
        <v>68</v>
      </c>
      <c r="C20" s="624"/>
      <c r="D20" s="624"/>
      <c r="E20" s="3">
        <v>10</v>
      </c>
      <c r="F20" s="274">
        <v>0</v>
      </c>
      <c r="G20" s="274"/>
      <c r="H20" s="8">
        <v>0.05</v>
      </c>
      <c r="I20" s="5">
        <v>1</v>
      </c>
      <c r="J20" s="411">
        <f t="shared" si="0"/>
        <v>0.5</v>
      </c>
      <c r="K20" s="2"/>
      <c r="L20" s="8">
        <v>0</v>
      </c>
      <c r="M20" s="7"/>
      <c r="N20" s="9" t="str">
        <f t="shared" si="1"/>
        <v/>
      </c>
      <c r="O20" s="20" t="s">
        <v>546</v>
      </c>
      <c r="Q20" s="637">
        <f t="shared" si="2"/>
        <v>0</v>
      </c>
      <c r="R20" s="637">
        <f t="shared" si="3"/>
        <v>0.5</v>
      </c>
    </row>
    <row r="21" spans="1:18">
      <c r="A21" s="619" t="s">
        <v>479</v>
      </c>
      <c r="B21" s="620" t="s">
        <v>236</v>
      </c>
      <c r="C21" s="624"/>
      <c r="D21" s="624"/>
      <c r="E21" s="3">
        <v>10</v>
      </c>
      <c r="F21" s="274">
        <v>0</v>
      </c>
      <c r="G21" s="274"/>
      <c r="H21" s="8">
        <v>0.05</v>
      </c>
      <c r="I21" s="5">
        <v>1</v>
      </c>
      <c r="J21" s="411">
        <f t="shared" si="0"/>
        <v>0.5</v>
      </c>
      <c r="K21" s="2"/>
      <c r="L21" s="8">
        <v>0</v>
      </c>
      <c r="M21" s="7"/>
      <c r="N21" s="9" t="str">
        <f t="shared" si="1"/>
        <v/>
      </c>
      <c r="O21" s="20" t="s">
        <v>546</v>
      </c>
      <c r="Q21" s="637">
        <f t="shared" si="2"/>
        <v>0</v>
      </c>
      <c r="R21" s="637">
        <f t="shared" si="3"/>
        <v>0.5</v>
      </c>
    </row>
    <row r="22" spans="1:18">
      <c r="A22" s="619" t="s">
        <v>482</v>
      </c>
      <c r="B22" s="620" t="s">
        <v>70</v>
      </c>
      <c r="C22" s="624"/>
      <c r="D22" s="624"/>
      <c r="E22" s="3">
        <v>1</v>
      </c>
      <c r="F22" s="274">
        <v>0</v>
      </c>
      <c r="G22" s="274"/>
      <c r="H22" s="8">
        <v>0.1</v>
      </c>
      <c r="I22" s="5">
        <v>1</v>
      </c>
      <c r="J22" s="411">
        <f t="shared" si="0"/>
        <v>0.1</v>
      </c>
      <c r="K22" s="2"/>
      <c r="L22" s="8">
        <v>0</v>
      </c>
      <c r="M22" s="7"/>
      <c r="N22" s="9" t="str">
        <f t="shared" si="1"/>
        <v/>
      </c>
      <c r="O22" s="20" t="s">
        <v>550</v>
      </c>
      <c r="Q22" s="637">
        <f t="shared" si="2"/>
        <v>0</v>
      </c>
      <c r="R22" s="637">
        <f t="shared" si="3"/>
        <v>0.1</v>
      </c>
    </row>
    <row r="23" spans="1:18">
      <c r="A23" s="619" t="s">
        <v>486</v>
      </c>
      <c r="B23" s="620" t="s">
        <v>70</v>
      </c>
      <c r="C23" s="624" t="s">
        <v>499</v>
      </c>
      <c r="D23" s="624"/>
      <c r="E23" s="3">
        <v>1</v>
      </c>
      <c r="F23" s="274">
        <v>0.10000160002560042</v>
      </c>
      <c r="G23" s="274">
        <v>1</v>
      </c>
      <c r="H23" s="8">
        <v>0</v>
      </c>
      <c r="I23" s="5"/>
      <c r="J23" s="411">
        <f t="shared" si="0"/>
        <v>0.10000160002560042</v>
      </c>
      <c r="K23" s="2" t="s">
        <v>175</v>
      </c>
      <c r="L23" s="8">
        <v>0.10000160002560042</v>
      </c>
      <c r="M23" s="7">
        <v>1</v>
      </c>
      <c r="N23" s="9">
        <f t="shared" si="1"/>
        <v>0.10000160002560042</v>
      </c>
      <c r="O23" s="20" t="s">
        <v>548</v>
      </c>
      <c r="Q23" s="637">
        <f t="shared" si="2"/>
        <v>0.10000160002560042</v>
      </c>
      <c r="R23" s="637">
        <f t="shared" si="3"/>
        <v>0</v>
      </c>
    </row>
    <row r="24" spans="1:18">
      <c r="A24" s="619" t="s">
        <v>484</v>
      </c>
      <c r="B24" s="620" t="s">
        <v>70</v>
      </c>
      <c r="C24" s="624"/>
      <c r="D24" s="624"/>
      <c r="E24" s="3">
        <v>10</v>
      </c>
      <c r="F24" s="274">
        <v>0</v>
      </c>
      <c r="G24" s="274"/>
      <c r="H24" s="8">
        <v>0.05</v>
      </c>
      <c r="I24" s="5">
        <v>1</v>
      </c>
      <c r="J24" s="411">
        <f t="shared" si="0"/>
        <v>0.5</v>
      </c>
      <c r="K24" s="2"/>
      <c r="L24" s="8">
        <v>0</v>
      </c>
      <c r="M24" s="7"/>
      <c r="N24" s="9" t="str">
        <f t="shared" si="1"/>
        <v/>
      </c>
      <c r="O24" s="20" t="s">
        <v>546</v>
      </c>
      <c r="Q24" s="637">
        <f t="shared" si="2"/>
        <v>0</v>
      </c>
      <c r="R24" s="637">
        <f t="shared" si="3"/>
        <v>0.5</v>
      </c>
    </row>
    <row r="25" spans="1:18">
      <c r="A25" s="619" t="s">
        <v>484</v>
      </c>
      <c r="B25" s="620" t="s">
        <v>239</v>
      </c>
      <c r="C25" s="624"/>
      <c r="D25" s="624"/>
      <c r="E25" s="3">
        <v>10</v>
      </c>
      <c r="F25" s="274">
        <v>0</v>
      </c>
      <c r="G25" s="274"/>
      <c r="H25" s="8">
        <v>0.05</v>
      </c>
      <c r="I25" s="5">
        <v>1</v>
      </c>
      <c r="J25" s="411">
        <f t="shared" si="0"/>
        <v>0.5</v>
      </c>
      <c r="K25" s="2"/>
      <c r="L25" s="8">
        <v>0</v>
      </c>
      <c r="M25" s="7"/>
      <c r="N25" s="9" t="str">
        <f t="shared" si="1"/>
        <v/>
      </c>
      <c r="O25" s="20" t="s">
        <v>546</v>
      </c>
      <c r="Q25" s="637">
        <f t="shared" si="2"/>
        <v>0</v>
      </c>
      <c r="R25" s="637">
        <f t="shared" si="3"/>
        <v>0.5</v>
      </c>
    </row>
    <row r="26" spans="1:18">
      <c r="A26" s="619" t="s">
        <v>484</v>
      </c>
      <c r="B26" s="620" t="s">
        <v>241</v>
      </c>
      <c r="C26" s="624"/>
      <c r="D26" s="624"/>
      <c r="E26" s="3">
        <v>10</v>
      </c>
      <c r="F26" s="274">
        <v>0</v>
      </c>
      <c r="G26" s="274"/>
      <c r="H26" s="8">
        <v>0.05</v>
      </c>
      <c r="I26" s="5">
        <v>1</v>
      </c>
      <c r="J26" s="411">
        <f t="shared" si="0"/>
        <v>0.5</v>
      </c>
      <c r="K26" s="2"/>
      <c r="L26" s="8">
        <v>0</v>
      </c>
      <c r="M26" s="7"/>
      <c r="N26" s="9" t="str">
        <f t="shared" si="1"/>
        <v/>
      </c>
      <c r="O26" s="20" t="s">
        <v>546</v>
      </c>
      <c r="Q26" s="637">
        <f t="shared" si="2"/>
        <v>0</v>
      </c>
      <c r="R26" s="637">
        <f t="shared" si="3"/>
        <v>0.5</v>
      </c>
    </row>
    <row r="27" spans="1:18">
      <c r="A27" s="619" t="s">
        <v>487</v>
      </c>
      <c r="B27" s="620" t="s">
        <v>73</v>
      </c>
      <c r="C27" s="624"/>
      <c r="D27" s="624"/>
      <c r="E27" s="3">
        <v>1</v>
      </c>
      <c r="F27" s="274">
        <v>0</v>
      </c>
      <c r="G27" s="274"/>
      <c r="H27" s="8">
        <v>0.1</v>
      </c>
      <c r="I27" s="5">
        <v>1</v>
      </c>
      <c r="J27" s="411">
        <f t="shared" si="0"/>
        <v>0.1</v>
      </c>
      <c r="K27" s="2"/>
      <c r="L27" s="8">
        <v>0</v>
      </c>
      <c r="M27" s="7"/>
      <c r="N27" s="9" t="str">
        <f t="shared" si="1"/>
        <v/>
      </c>
      <c r="O27" s="20" t="s">
        <v>547</v>
      </c>
      <c r="Q27" s="637">
        <f t="shared" si="2"/>
        <v>0</v>
      </c>
      <c r="R27" s="637">
        <f t="shared" si="3"/>
        <v>0.1</v>
      </c>
    </row>
    <row r="28" spans="1:18">
      <c r="A28" s="619" t="s">
        <v>489</v>
      </c>
      <c r="B28" s="620" t="s">
        <v>73</v>
      </c>
      <c r="C28" s="624"/>
      <c r="D28" s="624"/>
      <c r="E28" s="3">
        <v>10</v>
      </c>
      <c r="F28" s="274">
        <v>0</v>
      </c>
      <c r="G28" s="274"/>
      <c r="H28" s="8">
        <v>0.05</v>
      </c>
      <c r="I28" s="5">
        <v>1</v>
      </c>
      <c r="J28" s="411">
        <f t="shared" si="0"/>
        <v>0.5</v>
      </c>
      <c r="K28" s="2"/>
      <c r="L28" s="8">
        <v>0</v>
      </c>
      <c r="M28" s="7"/>
      <c r="N28" s="9" t="str">
        <f t="shared" si="1"/>
        <v/>
      </c>
      <c r="O28" s="20" t="s">
        <v>546</v>
      </c>
      <c r="Q28" s="637">
        <f t="shared" si="2"/>
        <v>0</v>
      </c>
      <c r="R28" s="637">
        <f t="shared" si="3"/>
        <v>0.5</v>
      </c>
    </row>
    <row r="29" spans="1:18">
      <c r="A29" s="619" t="s">
        <v>489</v>
      </c>
      <c r="B29" s="620" t="s">
        <v>243</v>
      </c>
      <c r="C29" s="624"/>
      <c r="D29" s="624"/>
      <c r="E29" s="3">
        <v>10</v>
      </c>
      <c r="F29" s="274">
        <v>0</v>
      </c>
      <c r="G29" s="274"/>
      <c r="H29" s="8">
        <v>0.05</v>
      </c>
      <c r="I29" s="5">
        <v>1</v>
      </c>
      <c r="J29" s="411">
        <f t="shared" si="0"/>
        <v>0.5</v>
      </c>
      <c r="K29" s="2"/>
      <c r="L29" s="8">
        <v>0</v>
      </c>
      <c r="M29" s="7"/>
      <c r="N29" s="9" t="str">
        <f t="shared" si="1"/>
        <v/>
      </c>
      <c r="O29" s="20" t="s">
        <v>546</v>
      </c>
      <c r="Q29" s="637">
        <f t="shared" si="2"/>
        <v>0</v>
      </c>
      <c r="R29" s="637">
        <f t="shared" si="3"/>
        <v>0.5</v>
      </c>
    </row>
    <row r="30" spans="1:18">
      <c r="A30" s="619" t="s">
        <v>489</v>
      </c>
      <c r="B30" s="620" t="s">
        <v>72</v>
      </c>
      <c r="C30" s="624"/>
      <c r="D30" s="624"/>
      <c r="E30" s="3">
        <v>10</v>
      </c>
      <c r="F30" s="274">
        <v>0</v>
      </c>
      <c r="G30" s="274"/>
      <c r="H30" s="8">
        <v>0.05</v>
      </c>
      <c r="I30" s="5">
        <v>1</v>
      </c>
      <c r="J30" s="411">
        <f t="shared" si="0"/>
        <v>0.5</v>
      </c>
      <c r="K30" s="2"/>
      <c r="L30" s="8">
        <v>0</v>
      </c>
      <c r="M30" s="7"/>
      <c r="N30" s="9" t="str">
        <f t="shared" si="1"/>
        <v/>
      </c>
      <c r="O30" s="20" t="s">
        <v>546</v>
      </c>
      <c r="Q30" s="637">
        <f t="shared" si="2"/>
        <v>0</v>
      </c>
      <c r="R30" s="637">
        <f t="shared" si="3"/>
        <v>0.5</v>
      </c>
    </row>
    <row r="31" spans="1:18">
      <c r="A31" s="619" t="s">
        <v>491</v>
      </c>
      <c r="B31" s="620" t="s">
        <v>245</v>
      </c>
      <c r="C31" s="624"/>
      <c r="D31" s="624"/>
      <c r="E31" s="3">
        <v>1</v>
      </c>
      <c r="F31" s="274">
        <v>0</v>
      </c>
      <c r="G31" s="274"/>
      <c r="H31" s="8">
        <v>0.1</v>
      </c>
      <c r="I31" s="5">
        <v>1</v>
      </c>
      <c r="J31" s="411">
        <f t="shared" si="0"/>
        <v>0.1</v>
      </c>
      <c r="K31" s="2"/>
      <c r="L31" s="8">
        <v>0</v>
      </c>
      <c r="M31" s="7"/>
      <c r="N31" s="9" t="str">
        <f t="shared" si="1"/>
        <v/>
      </c>
      <c r="O31" s="20" t="s">
        <v>551</v>
      </c>
      <c r="Q31" s="637">
        <f t="shared" si="2"/>
        <v>0</v>
      </c>
      <c r="R31" s="637">
        <f t="shared" si="3"/>
        <v>0.1</v>
      </c>
    </row>
    <row r="32" spans="1:18">
      <c r="A32" s="619" t="s">
        <v>492</v>
      </c>
      <c r="B32" s="620" t="s">
        <v>245</v>
      </c>
      <c r="C32" s="624"/>
      <c r="D32" s="624"/>
      <c r="E32" s="3">
        <v>10</v>
      </c>
      <c r="F32" s="274">
        <v>0</v>
      </c>
      <c r="G32" s="274"/>
      <c r="H32" s="8">
        <v>0.05</v>
      </c>
      <c r="I32" s="5">
        <v>1</v>
      </c>
      <c r="J32" s="411">
        <f t="shared" si="0"/>
        <v>0.5</v>
      </c>
      <c r="K32" s="2"/>
      <c r="L32" s="8">
        <v>0</v>
      </c>
      <c r="M32" s="7"/>
      <c r="N32" s="9" t="str">
        <f t="shared" si="1"/>
        <v/>
      </c>
      <c r="O32" s="20" t="s">
        <v>546</v>
      </c>
      <c r="Q32" s="637">
        <f t="shared" si="2"/>
        <v>0</v>
      </c>
      <c r="R32" s="637">
        <f t="shared" si="3"/>
        <v>0.5</v>
      </c>
    </row>
    <row r="33" spans="1:18">
      <c r="A33" s="619" t="s">
        <v>492</v>
      </c>
      <c r="B33" s="620" t="s">
        <v>75</v>
      </c>
      <c r="C33" s="624"/>
      <c r="D33" s="624"/>
      <c r="E33" s="3">
        <v>10</v>
      </c>
      <c r="F33" s="274">
        <v>0</v>
      </c>
      <c r="G33" s="274"/>
      <c r="H33" s="8">
        <v>0.05</v>
      </c>
      <c r="I33" s="5">
        <v>1</v>
      </c>
      <c r="J33" s="411">
        <f t="shared" si="0"/>
        <v>0.5</v>
      </c>
      <c r="K33" s="2"/>
      <c r="L33" s="8">
        <v>0</v>
      </c>
      <c r="M33" s="7"/>
      <c r="N33" s="9" t="str">
        <f t="shared" si="1"/>
        <v/>
      </c>
      <c r="O33" s="20" t="s">
        <v>546</v>
      </c>
      <c r="Q33" s="637">
        <f t="shared" si="2"/>
        <v>0</v>
      </c>
      <c r="R33" s="637">
        <f t="shared" si="3"/>
        <v>0.5</v>
      </c>
    </row>
    <row r="34" spans="1:18">
      <c r="A34" s="619" t="s">
        <v>492</v>
      </c>
      <c r="B34" s="620" t="s">
        <v>246</v>
      </c>
      <c r="C34" s="624"/>
      <c r="D34" s="624"/>
      <c r="E34" s="3">
        <v>10</v>
      </c>
      <c r="F34" s="274">
        <v>0</v>
      </c>
      <c r="G34" s="274"/>
      <c r="H34" s="8">
        <v>0.05</v>
      </c>
      <c r="I34" s="5">
        <v>1</v>
      </c>
      <c r="J34" s="411">
        <f t="shared" si="0"/>
        <v>0.5</v>
      </c>
      <c r="K34" s="2"/>
      <c r="L34" s="8">
        <v>0</v>
      </c>
      <c r="M34" s="7"/>
      <c r="N34" s="9" t="str">
        <f t="shared" si="1"/>
        <v/>
      </c>
      <c r="O34" s="20" t="s">
        <v>546</v>
      </c>
      <c r="Q34" s="637">
        <f t="shared" si="2"/>
        <v>0</v>
      </c>
      <c r="R34" s="637">
        <f t="shared" si="3"/>
        <v>0.5</v>
      </c>
    </row>
    <row r="35" spans="1:18">
      <c r="A35" s="619" t="s">
        <v>494</v>
      </c>
      <c r="B35" s="620" t="s">
        <v>247</v>
      </c>
      <c r="C35" s="624"/>
      <c r="D35" s="624"/>
      <c r="E35" s="3">
        <v>1</v>
      </c>
      <c r="F35" s="274">
        <v>0</v>
      </c>
      <c r="G35" s="274"/>
      <c r="H35" s="8">
        <v>0.2</v>
      </c>
      <c r="I35" s="5">
        <v>1</v>
      </c>
      <c r="J35" s="411">
        <f t="shared" si="0"/>
        <v>0.2</v>
      </c>
      <c r="K35" s="2"/>
      <c r="L35" s="8">
        <v>0</v>
      </c>
      <c r="M35" s="7"/>
      <c r="N35" s="9" t="str">
        <f t="shared" si="1"/>
        <v/>
      </c>
      <c r="O35" s="20" t="s">
        <v>552</v>
      </c>
      <c r="Q35" s="637">
        <f t="shared" si="2"/>
        <v>0</v>
      </c>
      <c r="R35" s="637">
        <f t="shared" si="3"/>
        <v>0.2</v>
      </c>
    </row>
    <row r="36" spans="1:18">
      <c r="A36" s="619"/>
      <c r="B36" s="620"/>
      <c r="C36" s="624"/>
      <c r="D36" s="624"/>
      <c r="E36" s="3"/>
      <c r="F36" s="274"/>
      <c r="G36" s="274"/>
      <c r="H36" s="8"/>
      <c r="I36" s="5"/>
      <c r="J36" s="411">
        <f t="shared" si="0"/>
        <v>0</v>
      </c>
      <c r="K36" s="2"/>
      <c r="L36" s="8"/>
      <c r="M36" s="7"/>
      <c r="N36" s="9" t="str">
        <f t="shared" si="1"/>
        <v/>
      </c>
      <c r="O36" s="20"/>
      <c r="Q36" s="637">
        <f t="shared" si="2"/>
        <v>0</v>
      </c>
      <c r="R36" s="637">
        <f t="shared" si="3"/>
        <v>0</v>
      </c>
    </row>
    <row r="37" spans="1:18">
      <c r="A37" s="619"/>
      <c r="B37" s="620"/>
      <c r="C37" s="624"/>
      <c r="D37" s="624"/>
      <c r="E37" s="3"/>
      <c r="F37" s="274"/>
      <c r="G37" s="274"/>
      <c r="H37" s="8"/>
      <c r="I37" s="5"/>
      <c r="J37" s="411">
        <f t="shared" si="0"/>
        <v>0</v>
      </c>
      <c r="K37" s="2"/>
      <c r="L37" s="8"/>
      <c r="M37" s="7"/>
      <c r="N37" s="9" t="str">
        <f t="shared" si="1"/>
        <v/>
      </c>
      <c r="O37" s="20"/>
      <c r="Q37" s="637">
        <f t="shared" si="2"/>
        <v>0</v>
      </c>
      <c r="R37" s="637">
        <f t="shared" si="3"/>
        <v>0</v>
      </c>
    </row>
    <row r="38" spans="1:18">
      <c r="A38" s="619"/>
      <c r="B38" s="620"/>
      <c r="C38" s="624"/>
      <c r="D38" s="624"/>
      <c r="E38" s="3"/>
      <c r="F38" s="274"/>
      <c r="G38" s="274"/>
      <c r="H38" s="8"/>
      <c r="I38" s="5"/>
      <c r="J38" s="411">
        <f t="shared" si="0"/>
        <v>0</v>
      </c>
      <c r="K38" s="2"/>
      <c r="L38" s="8"/>
      <c r="M38" s="7"/>
      <c r="N38" s="9" t="str">
        <f t="shared" si="1"/>
        <v/>
      </c>
      <c r="O38" s="20"/>
      <c r="Q38" s="637">
        <f t="shared" si="2"/>
        <v>0</v>
      </c>
      <c r="R38" s="637">
        <f t="shared" si="3"/>
        <v>0</v>
      </c>
    </row>
    <row r="39" spans="1:18">
      <c r="A39" s="619"/>
      <c r="B39" s="620"/>
      <c r="C39" s="624"/>
      <c r="D39" s="624"/>
      <c r="E39" s="3"/>
      <c r="F39" s="274"/>
      <c r="G39" s="274"/>
      <c r="H39" s="8"/>
      <c r="I39" s="5"/>
      <c r="J39" s="411">
        <f t="shared" si="0"/>
        <v>0</v>
      </c>
      <c r="K39" s="2"/>
      <c r="L39" s="8"/>
      <c r="M39" s="7"/>
      <c r="N39" s="9" t="str">
        <f t="shared" si="1"/>
        <v/>
      </c>
      <c r="O39" s="20"/>
      <c r="Q39" s="637">
        <f t="shared" si="2"/>
        <v>0</v>
      </c>
      <c r="R39" s="637">
        <f t="shared" si="3"/>
        <v>0</v>
      </c>
    </row>
    <row r="40" spans="1:18">
      <c r="A40" s="619"/>
      <c r="B40" s="620"/>
      <c r="C40" s="624"/>
      <c r="D40" s="624"/>
      <c r="E40" s="3"/>
      <c r="F40" s="274"/>
      <c r="G40" s="274"/>
      <c r="H40" s="8"/>
      <c r="I40" s="5"/>
      <c r="J40" s="411">
        <f t="shared" si="0"/>
        <v>0</v>
      </c>
      <c r="K40" s="2"/>
      <c r="L40" s="8"/>
      <c r="M40" s="7"/>
      <c r="N40" s="9" t="str">
        <f t="shared" si="1"/>
        <v/>
      </c>
      <c r="O40" s="20"/>
      <c r="Q40" s="637">
        <f t="shared" si="2"/>
        <v>0</v>
      </c>
      <c r="R40" s="637">
        <f t="shared" si="3"/>
        <v>0</v>
      </c>
    </row>
    <row r="41" spans="1:18">
      <c r="A41" s="619"/>
      <c r="B41" s="620"/>
      <c r="C41" s="624"/>
      <c r="D41" s="624"/>
      <c r="E41" s="3"/>
      <c r="F41" s="274"/>
      <c r="G41" s="274"/>
      <c r="H41" s="8"/>
      <c r="I41" s="5"/>
      <c r="J41" s="411">
        <f t="shared" si="0"/>
        <v>0</v>
      </c>
      <c r="K41" s="2"/>
      <c r="L41" s="8"/>
      <c r="M41" s="7"/>
      <c r="N41" s="9" t="str">
        <f t="shared" si="1"/>
        <v/>
      </c>
      <c r="O41" s="20"/>
      <c r="Q41" s="637">
        <f t="shared" si="2"/>
        <v>0</v>
      </c>
      <c r="R41" s="637">
        <f t="shared" si="3"/>
        <v>0</v>
      </c>
    </row>
    <row r="42" spans="1:18">
      <c r="A42" s="619"/>
      <c r="B42" s="620"/>
      <c r="C42" s="624"/>
      <c r="D42" s="624"/>
      <c r="E42" s="3"/>
      <c r="F42" s="274"/>
      <c r="G42" s="274"/>
      <c r="H42" s="8"/>
      <c r="I42" s="5"/>
      <c r="J42" s="411">
        <f t="shared" si="0"/>
        <v>0</v>
      </c>
      <c r="K42" s="2"/>
      <c r="L42" s="8"/>
      <c r="M42" s="7"/>
      <c r="N42" s="9" t="str">
        <f t="shared" si="1"/>
        <v/>
      </c>
      <c r="O42" s="20"/>
      <c r="Q42" s="637">
        <f t="shared" si="2"/>
        <v>0</v>
      </c>
      <c r="R42" s="637">
        <f t="shared" si="3"/>
        <v>0</v>
      </c>
    </row>
    <row r="43" spans="1:18">
      <c r="A43" s="619"/>
      <c r="B43" s="620"/>
      <c r="C43" s="624"/>
      <c r="D43" s="624"/>
      <c r="E43" s="3"/>
      <c r="F43" s="274"/>
      <c r="G43" s="274"/>
      <c r="H43" s="8"/>
      <c r="I43" s="5"/>
      <c r="J43" s="411">
        <f t="shared" si="0"/>
        <v>0</v>
      </c>
      <c r="K43" s="2"/>
      <c r="L43" s="8"/>
      <c r="M43" s="7"/>
      <c r="N43" s="9" t="str">
        <f t="shared" si="1"/>
        <v/>
      </c>
      <c r="O43" s="20"/>
      <c r="Q43" s="637">
        <f t="shared" si="2"/>
        <v>0</v>
      </c>
      <c r="R43" s="637">
        <f t="shared" si="3"/>
        <v>0</v>
      </c>
    </row>
    <row r="44" spans="1:18">
      <c r="A44" s="619"/>
      <c r="B44" s="620"/>
      <c r="C44" s="624"/>
      <c r="D44" s="624"/>
      <c r="E44" s="3"/>
      <c r="F44" s="274"/>
      <c r="G44" s="274"/>
      <c r="H44" s="8"/>
      <c r="I44" s="5"/>
      <c r="J44" s="411">
        <f t="shared" si="0"/>
        <v>0</v>
      </c>
      <c r="K44" s="2"/>
      <c r="L44" s="8"/>
      <c r="M44" s="7"/>
      <c r="N44" s="9" t="str">
        <f t="shared" si="1"/>
        <v/>
      </c>
      <c r="O44" s="20"/>
      <c r="Q44" s="637">
        <f t="shared" si="2"/>
        <v>0</v>
      </c>
      <c r="R44" s="637">
        <f t="shared" si="3"/>
        <v>0</v>
      </c>
    </row>
    <row r="45" spans="1:18">
      <c r="A45" s="619"/>
      <c r="B45" s="620"/>
      <c r="C45" s="624"/>
      <c r="D45" s="624"/>
      <c r="E45" s="3"/>
      <c r="F45" s="274"/>
      <c r="G45" s="274"/>
      <c r="H45" s="8"/>
      <c r="I45" s="5"/>
      <c r="J45" s="411">
        <f t="shared" si="0"/>
        <v>0</v>
      </c>
      <c r="K45" s="2"/>
      <c r="L45" s="8"/>
      <c r="M45" s="7"/>
      <c r="N45" s="9" t="str">
        <f t="shared" si="1"/>
        <v/>
      </c>
      <c r="O45" s="20"/>
      <c r="Q45" s="637">
        <f t="shared" si="2"/>
        <v>0</v>
      </c>
      <c r="R45" s="637">
        <f t="shared" si="3"/>
        <v>0</v>
      </c>
    </row>
    <row r="46" spans="1:18">
      <c r="A46" s="619"/>
      <c r="B46" s="620"/>
      <c r="C46" s="624"/>
      <c r="D46" s="624"/>
      <c r="E46" s="3"/>
      <c r="F46" s="274"/>
      <c r="G46" s="274"/>
      <c r="H46" s="8"/>
      <c r="I46" s="5"/>
      <c r="J46" s="411">
        <f t="shared" si="0"/>
        <v>0</v>
      </c>
      <c r="K46" s="2"/>
      <c r="L46" s="8"/>
      <c r="M46" s="7"/>
      <c r="N46" s="9" t="str">
        <f t="shared" si="1"/>
        <v/>
      </c>
      <c r="O46" s="20"/>
      <c r="Q46" s="637">
        <f t="shared" si="2"/>
        <v>0</v>
      </c>
      <c r="R46" s="637">
        <f t="shared" si="3"/>
        <v>0</v>
      </c>
    </row>
    <row r="47" spans="1:18">
      <c r="A47" s="619"/>
      <c r="B47" s="620"/>
      <c r="C47" s="624"/>
      <c r="D47" s="624"/>
      <c r="E47" s="3"/>
      <c r="F47" s="274"/>
      <c r="G47" s="274"/>
      <c r="H47" s="8"/>
      <c r="I47" s="5"/>
      <c r="J47" s="411">
        <f t="shared" si="0"/>
        <v>0</v>
      </c>
      <c r="K47" s="2"/>
      <c r="L47" s="8"/>
      <c r="M47" s="7"/>
      <c r="N47" s="9" t="str">
        <f t="shared" si="1"/>
        <v/>
      </c>
      <c r="O47" s="20"/>
      <c r="Q47" s="637">
        <f t="shared" si="2"/>
        <v>0</v>
      </c>
      <c r="R47" s="637">
        <f t="shared" si="3"/>
        <v>0</v>
      </c>
    </row>
    <row r="48" spans="1:18">
      <c r="A48" s="619"/>
      <c r="B48" s="620"/>
      <c r="C48" s="624"/>
      <c r="D48" s="624"/>
      <c r="E48" s="3"/>
      <c r="F48" s="274"/>
      <c r="G48" s="274"/>
      <c r="H48" s="8"/>
      <c r="I48" s="5"/>
      <c r="J48" s="411">
        <f t="shared" si="0"/>
        <v>0</v>
      </c>
      <c r="K48" s="2"/>
      <c r="L48" s="8"/>
      <c r="M48" s="7"/>
      <c r="N48" s="9" t="str">
        <f t="shared" si="1"/>
        <v/>
      </c>
      <c r="O48" s="20"/>
      <c r="Q48" s="637">
        <f t="shared" si="2"/>
        <v>0</v>
      </c>
      <c r="R48" s="637">
        <f t="shared" si="3"/>
        <v>0</v>
      </c>
    </row>
    <row r="49" spans="1:18">
      <c r="A49" s="619"/>
      <c r="B49" s="620"/>
      <c r="C49" s="624"/>
      <c r="D49" s="624"/>
      <c r="E49" s="3"/>
      <c r="F49" s="274"/>
      <c r="G49" s="274"/>
      <c r="H49" s="8"/>
      <c r="I49" s="5"/>
      <c r="J49" s="411">
        <f t="shared" si="0"/>
        <v>0</v>
      </c>
      <c r="K49" s="2"/>
      <c r="L49" s="8"/>
      <c r="M49" s="7"/>
      <c r="N49" s="9" t="str">
        <f t="shared" si="1"/>
        <v/>
      </c>
      <c r="O49" s="20"/>
      <c r="Q49" s="637">
        <f t="shared" si="2"/>
        <v>0</v>
      </c>
      <c r="R49" s="637">
        <f t="shared" si="3"/>
        <v>0</v>
      </c>
    </row>
    <row r="50" spans="1:18">
      <c r="A50" s="619"/>
      <c r="B50" s="620"/>
      <c r="C50" s="624"/>
      <c r="D50" s="624"/>
      <c r="E50" s="3"/>
      <c r="F50" s="274"/>
      <c r="G50" s="274"/>
      <c r="H50" s="8"/>
      <c r="I50" s="5"/>
      <c r="J50" s="411">
        <f t="shared" si="0"/>
        <v>0</v>
      </c>
      <c r="K50" s="2"/>
      <c r="L50" s="8"/>
      <c r="M50" s="7"/>
      <c r="N50" s="9" t="str">
        <f t="shared" si="1"/>
        <v/>
      </c>
      <c r="O50" s="20"/>
      <c r="Q50" s="637">
        <f t="shared" si="2"/>
        <v>0</v>
      </c>
      <c r="R50" s="637">
        <f t="shared" si="3"/>
        <v>0</v>
      </c>
    </row>
    <row r="51" spans="1:18">
      <c r="A51" s="619"/>
      <c r="B51" s="620"/>
      <c r="C51" s="624"/>
      <c r="D51" s="624"/>
      <c r="E51" s="3"/>
      <c r="F51" s="274"/>
      <c r="G51" s="274"/>
      <c r="H51" s="8"/>
      <c r="I51" s="5"/>
      <c r="J51" s="411">
        <f t="shared" si="0"/>
        <v>0</v>
      </c>
      <c r="K51" s="2"/>
      <c r="L51" s="8"/>
      <c r="M51" s="7"/>
      <c r="N51" s="9" t="str">
        <f t="shared" si="1"/>
        <v/>
      </c>
      <c r="O51" s="20"/>
      <c r="Q51" s="637">
        <f t="shared" si="2"/>
        <v>0</v>
      </c>
      <c r="R51" s="637">
        <f t="shared" si="3"/>
        <v>0</v>
      </c>
    </row>
    <row r="52" spans="1:18">
      <c r="A52" s="619"/>
      <c r="B52" s="620"/>
      <c r="C52" s="624"/>
      <c r="D52" s="624"/>
      <c r="E52" s="3"/>
      <c r="F52" s="274"/>
      <c r="G52" s="274"/>
      <c r="H52" s="8"/>
      <c r="I52" s="5"/>
      <c r="J52" s="411">
        <f t="shared" si="0"/>
        <v>0</v>
      </c>
      <c r="K52" s="2"/>
      <c r="L52" s="8"/>
      <c r="M52" s="7"/>
      <c r="N52" s="9" t="str">
        <f t="shared" si="1"/>
        <v/>
      </c>
      <c r="O52" s="20"/>
      <c r="Q52" s="637">
        <f t="shared" si="2"/>
        <v>0</v>
      </c>
      <c r="R52" s="637">
        <f t="shared" si="3"/>
        <v>0</v>
      </c>
    </row>
    <row r="53" spans="1:18">
      <c r="A53" s="619"/>
      <c r="B53" s="620"/>
      <c r="C53" s="624"/>
      <c r="D53" s="624"/>
      <c r="E53" s="3"/>
      <c r="F53" s="274"/>
      <c r="G53" s="274"/>
      <c r="H53" s="8"/>
      <c r="I53" s="5"/>
      <c r="J53" s="411">
        <f t="shared" si="0"/>
        <v>0</v>
      </c>
      <c r="K53" s="2"/>
      <c r="L53" s="8"/>
      <c r="M53" s="7"/>
      <c r="N53" s="9" t="str">
        <f t="shared" si="1"/>
        <v/>
      </c>
      <c r="O53" s="20"/>
      <c r="Q53" s="637">
        <f t="shared" si="2"/>
        <v>0</v>
      </c>
      <c r="R53" s="637">
        <f t="shared" si="3"/>
        <v>0</v>
      </c>
    </row>
    <row r="54" spans="1:18">
      <c r="A54" s="619"/>
      <c r="B54" s="620"/>
      <c r="C54" s="624"/>
      <c r="D54" s="624"/>
      <c r="E54" s="3"/>
      <c r="F54" s="274"/>
      <c r="G54" s="274"/>
      <c r="H54" s="8"/>
      <c r="I54" s="5"/>
      <c r="J54" s="411">
        <f t="shared" si="0"/>
        <v>0</v>
      </c>
      <c r="K54" s="2"/>
      <c r="L54" s="8"/>
      <c r="M54" s="7"/>
      <c r="N54" s="9" t="str">
        <f t="shared" si="1"/>
        <v/>
      </c>
      <c r="O54" s="20"/>
      <c r="Q54" s="637">
        <f t="shared" si="2"/>
        <v>0</v>
      </c>
      <c r="R54" s="637">
        <f t="shared" si="3"/>
        <v>0</v>
      </c>
    </row>
    <row r="55" spans="1:18">
      <c r="A55" s="619"/>
      <c r="B55" s="620"/>
      <c r="C55" s="624"/>
      <c r="D55" s="624"/>
      <c r="E55" s="3"/>
      <c r="F55" s="274"/>
      <c r="G55" s="274"/>
      <c r="H55" s="8"/>
      <c r="I55" s="5"/>
      <c r="J55" s="411">
        <f t="shared" si="0"/>
        <v>0</v>
      </c>
      <c r="K55" s="2"/>
      <c r="L55" s="8"/>
      <c r="M55" s="7"/>
      <c r="N55" s="9" t="str">
        <f t="shared" si="1"/>
        <v/>
      </c>
      <c r="O55" s="20"/>
      <c r="Q55" s="637">
        <f t="shared" si="2"/>
        <v>0</v>
      </c>
      <c r="R55" s="637">
        <f t="shared" si="3"/>
        <v>0</v>
      </c>
    </row>
    <row r="56" spans="1:18">
      <c r="A56" s="619"/>
      <c r="B56" s="620"/>
      <c r="C56" s="624"/>
      <c r="D56" s="624"/>
      <c r="E56" s="3"/>
      <c r="F56" s="274"/>
      <c r="G56" s="274"/>
      <c r="H56" s="8"/>
      <c r="I56" s="5"/>
      <c r="J56" s="411">
        <f t="shared" si="0"/>
        <v>0</v>
      </c>
      <c r="K56" s="2"/>
      <c r="L56" s="8"/>
      <c r="M56" s="7"/>
      <c r="N56" s="9" t="str">
        <f t="shared" si="1"/>
        <v/>
      </c>
      <c r="O56" s="20"/>
      <c r="Q56" s="637">
        <f t="shared" si="2"/>
        <v>0</v>
      </c>
      <c r="R56" s="637">
        <f t="shared" si="3"/>
        <v>0</v>
      </c>
    </row>
    <row r="57" spans="1:18">
      <c r="A57" s="619"/>
      <c r="B57" s="620"/>
      <c r="C57" s="624"/>
      <c r="D57" s="624"/>
      <c r="E57" s="3"/>
      <c r="F57" s="274"/>
      <c r="G57" s="274"/>
      <c r="H57" s="8"/>
      <c r="I57" s="5"/>
      <c r="J57" s="411">
        <f t="shared" si="0"/>
        <v>0</v>
      </c>
      <c r="K57" s="2"/>
      <c r="L57" s="8"/>
      <c r="M57" s="7"/>
      <c r="N57" s="9" t="str">
        <f t="shared" si="1"/>
        <v/>
      </c>
      <c r="O57" s="20"/>
      <c r="Q57" s="637">
        <f t="shared" si="2"/>
        <v>0</v>
      </c>
      <c r="R57" s="637">
        <f t="shared" si="3"/>
        <v>0</v>
      </c>
    </row>
    <row r="58" spans="1:18">
      <c r="A58" s="619"/>
      <c r="B58" s="620"/>
      <c r="C58" s="624"/>
      <c r="D58" s="624"/>
      <c r="E58" s="3"/>
      <c r="F58" s="274"/>
      <c r="G58" s="274"/>
      <c r="H58" s="8"/>
      <c r="I58" s="5"/>
      <c r="J58" s="411">
        <f t="shared" si="0"/>
        <v>0</v>
      </c>
      <c r="K58" s="2"/>
      <c r="L58" s="8"/>
      <c r="M58" s="7"/>
      <c r="N58" s="9" t="str">
        <f t="shared" si="1"/>
        <v/>
      </c>
      <c r="O58" s="20"/>
      <c r="Q58" s="637">
        <f t="shared" si="2"/>
        <v>0</v>
      </c>
      <c r="R58" s="637">
        <f t="shared" si="3"/>
        <v>0</v>
      </c>
    </row>
    <row r="59" spans="1:18">
      <c r="A59" s="619"/>
      <c r="B59" s="620"/>
      <c r="C59" s="624"/>
      <c r="D59" s="624"/>
      <c r="E59" s="3"/>
      <c r="F59" s="274"/>
      <c r="G59" s="274"/>
      <c r="H59" s="8"/>
      <c r="I59" s="5"/>
      <c r="J59" s="411">
        <f t="shared" si="0"/>
        <v>0</v>
      </c>
      <c r="K59" s="2"/>
      <c r="L59" s="8"/>
      <c r="M59" s="7"/>
      <c r="N59" s="9" t="str">
        <f t="shared" si="1"/>
        <v/>
      </c>
      <c r="O59" s="20"/>
      <c r="Q59" s="637">
        <f t="shared" si="2"/>
        <v>0</v>
      </c>
      <c r="R59" s="637">
        <f t="shared" si="3"/>
        <v>0</v>
      </c>
    </row>
    <row r="60" spans="1:18">
      <c r="A60" s="619"/>
      <c r="B60" s="620"/>
      <c r="C60" s="624"/>
      <c r="D60" s="624"/>
      <c r="E60" s="3"/>
      <c r="F60" s="274"/>
      <c r="G60" s="274"/>
      <c r="H60" s="8"/>
      <c r="I60" s="5"/>
      <c r="J60" s="411">
        <f t="shared" si="0"/>
        <v>0</v>
      </c>
      <c r="K60" s="2"/>
      <c r="L60" s="8"/>
      <c r="M60" s="7"/>
      <c r="N60" s="9" t="str">
        <f t="shared" si="1"/>
        <v/>
      </c>
      <c r="O60" s="20"/>
      <c r="Q60" s="637">
        <f t="shared" si="2"/>
        <v>0</v>
      </c>
      <c r="R60" s="637">
        <f t="shared" si="3"/>
        <v>0</v>
      </c>
    </row>
    <row r="61" spans="1:18">
      <c r="A61" s="619"/>
      <c r="B61" s="620"/>
      <c r="C61" s="624"/>
      <c r="D61" s="624"/>
      <c r="E61" s="3"/>
      <c r="F61" s="274"/>
      <c r="G61" s="274"/>
      <c r="H61" s="8"/>
      <c r="I61" s="5"/>
      <c r="J61" s="411">
        <f t="shared" si="0"/>
        <v>0</v>
      </c>
      <c r="K61" s="2"/>
      <c r="L61" s="8"/>
      <c r="M61" s="7"/>
      <c r="N61" s="9" t="str">
        <f t="shared" si="1"/>
        <v/>
      </c>
      <c r="O61" s="20"/>
      <c r="Q61" s="637">
        <f t="shared" si="2"/>
        <v>0</v>
      </c>
      <c r="R61" s="637">
        <f t="shared" si="3"/>
        <v>0</v>
      </c>
    </row>
    <row r="62" spans="1:18">
      <c r="A62" s="619"/>
      <c r="B62" s="620"/>
      <c r="C62" s="624"/>
      <c r="D62" s="624"/>
      <c r="E62" s="3"/>
      <c r="F62" s="274"/>
      <c r="G62" s="274"/>
      <c r="H62" s="8"/>
      <c r="I62" s="5"/>
      <c r="J62" s="411">
        <f t="shared" si="0"/>
        <v>0</v>
      </c>
      <c r="K62" s="2"/>
      <c r="L62" s="8"/>
      <c r="M62" s="7"/>
      <c r="N62" s="9" t="str">
        <f t="shared" si="1"/>
        <v/>
      </c>
      <c r="O62" s="20"/>
      <c r="Q62" s="637">
        <f t="shared" si="2"/>
        <v>0</v>
      </c>
      <c r="R62" s="637">
        <f t="shared" si="3"/>
        <v>0</v>
      </c>
    </row>
    <row r="63" spans="1:18">
      <c r="A63" s="619"/>
      <c r="B63" s="620"/>
      <c r="C63" s="624"/>
      <c r="D63" s="624"/>
      <c r="E63" s="3"/>
      <c r="F63" s="274"/>
      <c r="G63" s="274"/>
      <c r="H63" s="8"/>
      <c r="I63" s="5"/>
      <c r="J63" s="411">
        <f t="shared" si="0"/>
        <v>0</v>
      </c>
      <c r="K63" s="2"/>
      <c r="L63" s="8"/>
      <c r="M63" s="7"/>
      <c r="N63" s="9" t="str">
        <f t="shared" si="1"/>
        <v/>
      </c>
      <c r="O63" s="20"/>
      <c r="Q63" s="637">
        <f t="shared" si="2"/>
        <v>0</v>
      </c>
      <c r="R63" s="637">
        <f t="shared" si="3"/>
        <v>0</v>
      </c>
    </row>
    <row r="64" spans="1:18">
      <c r="A64" s="619"/>
      <c r="B64" s="620"/>
      <c r="C64" s="624"/>
      <c r="D64" s="624"/>
      <c r="E64" s="3"/>
      <c r="F64" s="274"/>
      <c r="G64" s="274"/>
      <c r="H64" s="8"/>
      <c r="I64" s="5"/>
      <c r="J64" s="411">
        <f t="shared" si="0"/>
        <v>0</v>
      </c>
      <c r="K64" s="2"/>
      <c r="L64" s="8"/>
      <c r="M64" s="7"/>
      <c r="N64" s="9" t="str">
        <f t="shared" si="1"/>
        <v/>
      </c>
      <c r="O64" s="20"/>
      <c r="Q64" s="637">
        <f t="shared" si="2"/>
        <v>0</v>
      </c>
      <c r="R64" s="637">
        <f t="shared" si="3"/>
        <v>0</v>
      </c>
    </row>
    <row r="65" spans="1:18">
      <c r="A65" s="619"/>
      <c r="B65" s="620"/>
      <c r="C65" s="624"/>
      <c r="D65" s="624"/>
      <c r="E65" s="3"/>
      <c r="F65" s="274"/>
      <c r="G65" s="274"/>
      <c r="H65" s="8"/>
      <c r="I65" s="5"/>
      <c r="J65" s="411">
        <f t="shared" si="0"/>
        <v>0</v>
      </c>
      <c r="K65" s="2"/>
      <c r="L65" s="8"/>
      <c r="M65" s="7"/>
      <c r="N65" s="9" t="str">
        <f t="shared" si="1"/>
        <v/>
      </c>
      <c r="O65" s="20"/>
      <c r="Q65" s="637">
        <f t="shared" si="2"/>
        <v>0</v>
      </c>
      <c r="R65" s="637">
        <f t="shared" si="3"/>
        <v>0</v>
      </c>
    </row>
    <row r="66" spans="1:18">
      <c r="A66" s="619"/>
      <c r="B66" s="620"/>
      <c r="C66" s="624"/>
      <c r="D66" s="624"/>
      <c r="E66" s="3"/>
      <c r="F66" s="274"/>
      <c r="G66" s="274"/>
      <c r="H66" s="8"/>
      <c r="I66" s="5"/>
      <c r="J66" s="411">
        <f t="shared" si="0"/>
        <v>0</v>
      </c>
      <c r="K66" s="2"/>
      <c r="L66" s="8"/>
      <c r="M66" s="7"/>
      <c r="N66" s="9" t="str">
        <f t="shared" si="1"/>
        <v/>
      </c>
      <c r="O66" s="20"/>
      <c r="Q66" s="637">
        <f t="shared" si="2"/>
        <v>0</v>
      </c>
      <c r="R66" s="637">
        <f t="shared" si="3"/>
        <v>0</v>
      </c>
    </row>
    <row r="67" spans="1:18">
      <c r="A67" s="619"/>
      <c r="B67" s="620"/>
      <c r="C67" s="624"/>
      <c r="D67" s="624"/>
      <c r="E67" s="3"/>
      <c r="F67" s="274"/>
      <c r="G67" s="274"/>
      <c r="H67" s="8"/>
      <c r="I67" s="5"/>
      <c r="J67" s="411">
        <f t="shared" si="0"/>
        <v>0</v>
      </c>
      <c r="K67" s="2"/>
      <c r="L67" s="8"/>
      <c r="M67" s="7"/>
      <c r="N67" s="9" t="str">
        <f t="shared" si="1"/>
        <v/>
      </c>
      <c r="O67" s="20"/>
      <c r="Q67" s="637">
        <f t="shared" si="2"/>
        <v>0</v>
      </c>
      <c r="R67" s="637">
        <f t="shared" si="3"/>
        <v>0</v>
      </c>
    </row>
    <row r="68" spans="1:18">
      <c r="A68" s="619"/>
      <c r="B68" s="620"/>
      <c r="C68" s="624"/>
      <c r="D68" s="624"/>
      <c r="E68" s="3"/>
      <c r="F68" s="274"/>
      <c r="G68" s="274"/>
      <c r="H68" s="8"/>
      <c r="I68" s="5"/>
      <c r="J68" s="411">
        <f t="shared" si="0"/>
        <v>0</v>
      </c>
      <c r="K68" s="2"/>
      <c r="L68" s="8"/>
      <c r="M68" s="7"/>
      <c r="N68" s="9" t="str">
        <f t="shared" si="1"/>
        <v/>
      </c>
      <c r="O68" s="20"/>
      <c r="Q68" s="637">
        <f t="shared" si="2"/>
        <v>0</v>
      </c>
      <c r="R68" s="637">
        <f t="shared" si="3"/>
        <v>0</v>
      </c>
    </row>
    <row r="69" spans="1:18">
      <c r="A69" s="619"/>
      <c r="B69" s="620"/>
      <c r="C69" s="624"/>
      <c r="D69" s="624"/>
      <c r="E69" s="3"/>
      <c r="F69" s="274"/>
      <c r="G69" s="274"/>
      <c r="H69" s="8"/>
      <c r="I69" s="5"/>
      <c r="J69" s="411">
        <f t="shared" si="0"/>
        <v>0</v>
      </c>
      <c r="K69" s="2"/>
      <c r="L69" s="8"/>
      <c r="M69" s="7"/>
      <c r="N69" s="9" t="str">
        <f t="shared" si="1"/>
        <v/>
      </c>
      <c r="O69" s="20"/>
      <c r="Q69" s="637">
        <f t="shared" si="2"/>
        <v>0</v>
      </c>
      <c r="R69" s="637">
        <f t="shared" si="3"/>
        <v>0</v>
      </c>
    </row>
    <row r="70" spans="1:18">
      <c r="A70" s="619"/>
      <c r="B70" s="620"/>
      <c r="C70" s="624"/>
      <c r="D70" s="624"/>
      <c r="E70" s="3"/>
      <c r="F70" s="274"/>
      <c r="G70" s="274"/>
      <c r="H70" s="8"/>
      <c r="I70" s="5"/>
      <c r="J70" s="411">
        <f t="shared" ref="J70:J133" si="4">(+F70*G70+H70*I70)*E70</f>
        <v>0</v>
      </c>
      <c r="K70" s="2"/>
      <c r="L70" s="8"/>
      <c r="M70" s="7"/>
      <c r="N70" s="9" t="str">
        <f t="shared" ref="N70:N133" si="5">IF(K70=0,"",L70*M70*E70)</f>
        <v/>
      </c>
      <c r="O70" s="20"/>
      <c r="Q70" s="637">
        <f t="shared" ref="Q70:Q133" si="6">F70*G70*E70</f>
        <v>0</v>
      </c>
      <c r="R70" s="637">
        <f t="shared" ref="R70:R133" si="7">H70*E70*I70</f>
        <v>0</v>
      </c>
    </row>
    <row r="71" spans="1:18">
      <c r="A71" s="619"/>
      <c r="B71" s="620"/>
      <c r="C71" s="624"/>
      <c r="D71" s="624"/>
      <c r="E71" s="3"/>
      <c r="F71" s="274"/>
      <c r="G71" s="274"/>
      <c r="H71" s="8"/>
      <c r="I71" s="5"/>
      <c r="J71" s="411">
        <f t="shared" si="4"/>
        <v>0</v>
      </c>
      <c r="K71" s="2"/>
      <c r="L71" s="8"/>
      <c r="M71" s="7"/>
      <c r="N71" s="9" t="str">
        <f t="shared" si="5"/>
        <v/>
      </c>
      <c r="O71" s="20"/>
      <c r="Q71" s="637">
        <f t="shared" si="6"/>
        <v>0</v>
      </c>
      <c r="R71" s="637">
        <f t="shared" si="7"/>
        <v>0</v>
      </c>
    </row>
    <row r="72" spans="1:18">
      <c r="A72" s="619"/>
      <c r="B72" s="620"/>
      <c r="C72" s="624"/>
      <c r="D72" s="624"/>
      <c r="E72" s="3"/>
      <c r="F72" s="274"/>
      <c r="G72" s="274"/>
      <c r="H72" s="8"/>
      <c r="I72" s="5"/>
      <c r="J72" s="411">
        <f t="shared" si="4"/>
        <v>0</v>
      </c>
      <c r="K72" s="2"/>
      <c r="L72" s="8"/>
      <c r="M72" s="7"/>
      <c r="N72" s="9" t="str">
        <f t="shared" si="5"/>
        <v/>
      </c>
      <c r="O72" s="20"/>
      <c r="Q72" s="637">
        <f t="shared" si="6"/>
        <v>0</v>
      </c>
      <c r="R72" s="637">
        <f t="shared" si="7"/>
        <v>0</v>
      </c>
    </row>
    <row r="73" spans="1:18">
      <c r="A73" s="619"/>
      <c r="B73" s="620"/>
      <c r="C73" s="624"/>
      <c r="D73" s="624"/>
      <c r="E73" s="3"/>
      <c r="F73" s="274"/>
      <c r="G73" s="274"/>
      <c r="H73" s="8"/>
      <c r="I73" s="5"/>
      <c r="J73" s="411">
        <f t="shared" si="4"/>
        <v>0</v>
      </c>
      <c r="K73" s="2"/>
      <c r="L73" s="8"/>
      <c r="M73" s="7"/>
      <c r="N73" s="9" t="str">
        <f t="shared" si="5"/>
        <v/>
      </c>
      <c r="O73" s="20"/>
      <c r="Q73" s="637">
        <f t="shared" si="6"/>
        <v>0</v>
      </c>
      <c r="R73" s="637">
        <f t="shared" si="7"/>
        <v>0</v>
      </c>
    </row>
    <row r="74" spans="1:18">
      <c r="A74" s="619"/>
      <c r="B74" s="620"/>
      <c r="C74" s="624"/>
      <c r="D74" s="624"/>
      <c r="E74" s="3"/>
      <c r="F74" s="274"/>
      <c r="G74" s="274"/>
      <c r="H74" s="8"/>
      <c r="I74" s="5"/>
      <c r="J74" s="411">
        <f t="shared" si="4"/>
        <v>0</v>
      </c>
      <c r="K74" s="2"/>
      <c r="L74" s="8"/>
      <c r="M74" s="7"/>
      <c r="N74" s="9" t="str">
        <f t="shared" si="5"/>
        <v/>
      </c>
      <c r="O74" s="20"/>
      <c r="Q74" s="637">
        <f t="shared" si="6"/>
        <v>0</v>
      </c>
      <c r="R74" s="637">
        <f t="shared" si="7"/>
        <v>0</v>
      </c>
    </row>
    <row r="75" spans="1:18">
      <c r="A75" s="619"/>
      <c r="B75" s="620"/>
      <c r="C75" s="624"/>
      <c r="D75" s="624"/>
      <c r="E75" s="3"/>
      <c r="F75" s="274"/>
      <c r="G75" s="274"/>
      <c r="H75" s="8"/>
      <c r="I75" s="5"/>
      <c r="J75" s="411">
        <f t="shared" si="4"/>
        <v>0</v>
      </c>
      <c r="K75" s="2"/>
      <c r="L75" s="8"/>
      <c r="M75" s="7"/>
      <c r="N75" s="9" t="str">
        <f t="shared" si="5"/>
        <v/>
      </c>
      <c r="O75" s="20"/>
      <c r="Q75" s="637">
        <f t="shared" si="6"/>
        <v>0</v>
      </c>
      <c r="R75" s="637">
        <f t="shared" si="7"/>
        <v>0</v>
      </c>
    </row>
    <row r="76" spans="1:18">
      <c r="A76" s="619"/>
      <c r="B76" s="620"/>
      <c r="C76" s="624"/>
      <c r="D76" s="624"/>
      <c r="E76" s="3"/>
      <c r="F76" s="274"/>
      <c r="G76" s="274"/>
      <c r="H76" s="8"/>
      <c r="I76" s="5"/>
      <c r="J76" s="411">
        <f t="shared" si="4"/>
        <v>0</v>
      </c>
      <c r="K76" s="2"/>
      <c r="L76" s="8"/>
      <c r="M76" s="7"/>
      <c r="N76" s="9" t="str">
        <f t="shared" si="5"/>
        <v/>
      </c>
      <c r="O76" s="20"/>
      <c r="Q76" s="637">
        <f t="shared" si="6"/>
        <v>0</v>
      </c>
      <c r="R76" s="637">
        <f t="shared" si="7"/>
        <v>0</v>
      </c>
    </row>
    <row r="77" spans="1:18">
      <c r="A77" s="619"/>
      <c r="B77" s="620"/>
      <c r="C77" s="624"/>
      <c r="D77" s="624"/>
      <c r="E77" s="3"/>
      <c r="F77" s="274"/>
      <c r="G77" s="274"/>
      <c r="H77" s="8"/>
      <c r="I77" s="5"/>
      <c r="J77" s="411">
        <f t="shared" si="4"/>
        <v>0</v>
      </c>
      <c r="K77" s="2"/>
      <c r="L77" s="8"/>
      <c r="M77" s="7"/>
      <c r="N77" s="9" t="str">
        <f t="shared" si="5"/>
        <v/>
      </c>
      <c r="O77" s="20"/>
      <c r="Q77" s="637">
        <f t="shared" si="6"/>
        <v>0</v>
      </c>
      <c r="R77" s="637">
        <f t="shared" si="7"/>
        <v>0</v>
      </c>
    </row>
    <row r="78" spans="1:18">
      <c r="A78" s="619"/>
      <c r="B78" s="620"/>
      <c r="C78" s="624"/>
      <c r="D78" s="624"/>
      <c r="E78" s="3"/>
      <c r="F78" s="274"/>
      <c r="G78" s="274"/>
      <c r="H78" s="8"/>
      <c r="I78" s="5"/>
      <c r="J78" s="411">
        <f t="shared" si="4"/>
        <v>0</v>
      </c>
      <c r="K78" s="2"/>
      <c r="L78" s="8"/>
      <c r="M78" s="7"/>
      <c r="N78" s="9" t="str">
        <f t="shared" si="5"/>
        <v/>
      </c>
      <c r="O78" s="20"/>
      <c r="Q78" s="637">
        <f t="shared" si="6"/>
        <v>0</v>
      </c>
      <c r="R78" s="637">
        <f t="shared" si="7"/>
        <v>0</v>
      </c>
    </row>
    <row r="79" spans="1:18">
      <c r="A79" s="619"/>
      <c r="B79" s="620"/>
      <c r="C79" s="624"/>
      <c r="D79" s="624"/>
      <c r="E79" s="3"/>
      <c r="F79" s="274"/>
      <c r="G79" s="274"/>
      <c r="H79" s="8"/>
      <c r="I79" s="5"/>
      <c r="J79" s="411">
        <f t="shared" si="4"/>
        <v>0</v>
      </c>
      <c r="K79" s="2"/>
      <c r="L79" s="8"/>
      <c r="M79" s="7"/>
      <c r="N79" s="9" t="str">
        <f t="shared" si="5"/>
        <v/>
      </c>
      <c r="O79" s="20"/>
      <c r="Q79" s="637">
        <f t="shared" si="6"/>
        <v>0</v>
      </c>
      <c r="R79" s="637">
        <f t="shared" si="7"/>
        <v>0</v>
      </c>
    </row>
    <row r="80" spans="1:18">
      <c r="A80" s="619"/>
      <c r="B80" s="620"/>
      <c r="C80" s="624"/>
      <c r="D80" s="624"/>
      <c r="E80" s="3"/>
      <c r="F80" s="274"/>
      <c r="G80" s="274"/>
      <c r="H80" s="8"/>
      <c r="I80" s="5"/>
      <c r="J80" s="411">
        <f t="shared" si="4"/>
        <v>0</v>
      </c>
      <c r="K80" s="2"/>
      <c r="L80" s="8"/>
      <c r="M80" s="7"/>
      <c r="N80" s="9" t="str">
        <f t="shared" si="5"/>
        <v/>
      </c>
      <c r="O80" s="20"/>
      <c r="Q80" s="637">
        <f t="shared" si="6"/>
        <v>0</v>
      </c>
      <c r="R80" s="637">
        <f t="shared" si="7"/>
        <v>0</v>
      </c>
    </row>
    <row r="81" spans="1:18">
      <c r="A81" s="619"/>
      <c r="B81" s="620"/>
      <c r="C81" s="624"/>
      <c r="D81" s="624"/>
      <c r="E81" s="3"/>
      <c r="F81" s="274"/>
      <c r="G81" s="274"/>
      <c r="H81" s="8"/>
      <c r="I81" s="5"/>
      <c r="J81" s="411">
        <f t="shared" si="4"/>
        <v>0</v>
      </c>
      <c r="K81" s="2"/>
      <c r="L81" s="8"/>
      <c r="M81" s="7"/>
      <c r="N81" s="9" t="str">
        <f t="shared" si="5"/>
        <v/>
      </c>
      <c r="O81" s="20"/>
      <c r="Q81" s="637">
        <f t="shared" si="6"/>
        <v>0</v>
      </c>
      <c r="R81" s="637">
        <f t="shared" si="7"/>
        <v>0</v>
      </c>
    </row>
    <row r="82" spans="1:18">
      <c r="A82" s="619"/>
      <c r="B82" s="620"/>
      <c r="C82" s="624"/>
      <c r="D82" s="624"/>
      <c r="E82" s="3"/>
      <c r="F82" s="274"/>
      <c r="G82" s="274"/>
      <c r="H82" s="8"/>
      <c r="I82" s="5"/>
      <c r="J82" s="411">
        <f t="shared" si="4"/>
        <v>0</v>
      </c>
      <c r="K82" s="2"/>
      <c r="L82" s="8"/>
      <c r="M82" s="7"/>
      <c r="N82" s="9" t="str">
        <f t="shared" si="5"/>
        <v/>
      </c>
      <c r="O82" s="20"/>
      <c r="Q82" s="637">
        <f t="shared" si="6"/>
        <v>0</v>
      </c>
      <c r="R82" s="637">
        <f t="shared" si="7"/>
        <v>0</v>
      </c>
    </row>
    <row r="83" spans="1:18">
      <c r="A83" s="619"/>
      <c r="B83" s="620"/>
      <c r="C83" s="624"/>
      <c r="D83" s="624"/>
      <c r="E83" s="3"/>
      <c r="F83" s="274"/>
      <c r="G83" s="274"/>
      <c r="H83" s="8"/>
      <c r="I83" s="5"/>
      <c r="J83" s="411">
        <f t="shared" si="4"/>
        <v>0</v>
      </c>
      <c r="K83" s="2"/>
      <c r="L83" s="8"/>
      <c r="M83" s="7"/>
      <c r="N83" s="9" t="str">
        <f t="shared" si="5"/>
        <v/>
      </c>
      <c r="O83" s="20"/>
      <c r="Q83" s="637">
        <f t="shared" si="6"/>
        <v>0</v>
      </c>
      <c r="R83" s="637">
        <f t="shared" si="7"/>
        <v>0</v>
      </c>
    </row>
    <row r="84" spans="1:18">
      <c r="A84" s="619"/>
      <c r="B84" s="620"/>
      <c r="C84" s="624"/>
      <c r="D84" s="624"/>
      <c r="E84" s="3"/>
      <c r="F84" s="274"/>
      <c r="G84" s="274"/>
      <c r="H84" s="8"/>
      <c r="I84" s="5"/>
      <c r="J84" s="411">
        <f t="shared" si="4"/>
        <v>0</v>
      </c>
      <c r="K84" s="2"/>
      <c r="L84" s="8"/>
      <c r="M84" s="7"/>
      <c r="N84" s="9" t="str">
        <f t="shared" si="5"/>
        <v/>
      </c>
      <c r="O84" s="20"/>
      <c r="Q84" s="637">
        <f t="shared" si="6"/>
        <v>0</v>
      </c>
      <c r="R84" s="637">
        <f t="shared" si="7"/>
        <v>0</v>
      </c>
    </row>
    <row r="85" spans="1:18">
      <c r="A85" s="619"/>
      <c r="B85" s="620"/>
      <c r="C85" s="624"/>
      <c r="D85" s="624"/>
      <c r="E85" s="3"/>
      <c r="F85" s="274"/>
      <c r="G85" s="274"/>
      <c r="H85" s="8"/>
      <c r="I85" s="5"/>
      <c r="J85" s="411">
        <f t="shared" si="4"/>
        <v>0</v>
      </c>
      <c r="K85" s="2"/>
      <c r="L85" s="8"/>
      <c r="M85" s="7"/>
      <c r="N85" s="9" t="str">
        <f t="shared" si="5"/>
        <v/>
      </c>
      <c r="O85" s="20"/>
      <c r="Q85" s="637">
        <f t="shared" si="6"/>
        <v>0</v>
      </c>
      <c r="R85" s="637">
        <f t="shared" si="7"/>
        <v>0</v>
      </c>
    </row>
    <row r="86" spans="1:18">
      <c r="A86" s="619"/>
      <c r="B86" s="620"/>
      <c r="C86" s="624"/>
      <c r="D86" s="624"/>
      <c r="E86" s="3"/>
      <c r="F86" s="274"/>
      <c r="G86" s="274"/>
      <c r="H86" s="8"/>
      <c r="I86" s="5"/>
      <c r="J86" s="411">
        <f t="shared" si="4"/>
        <v>0</v>
      </c>
      <c r="K86" s="2"/>
      <c r="L86" s="8"/>
      <c r="M86" s="7"/>
      <c r="N86" s="9" t="str">
        <f t="shared" si="5"/>
        <v/>
      </c>
      <c r="O86" s="20"/>
      <c r="Q86" s="637">
        <f t="shared" si="6"/>
        <v>0</v>
      </c>
      <c r="R86" s="637">
        <f t="shared" si="7"/>
        <v>0</v>
      </c>
    </row>
    <row r="87" spans="1:18">
      <c r="A87" s="626"/>
      <c r="B87" s="627"/>
      <c r="C87" s="624"/>
      <c r="D87" s="624"/>
      <c r="E87" s="3"/>
      <c r="F87" s="274"/>
      <c r="G87" s="274"/>
      <c r="H87" s="8"/>
      <c r="I87" s="5"/>
      <c r="J87" s="411">
        <f t="shared" si="4"/>
        <v>0</v>
      </c>
      <c r="K87" s="2"/>
      <c r="L87" s="8"/>
      <c r="M87" s="7"/>
      <c r="N87" s="9" t="str">
        <f t="shared" si="5"/>
        <v/>
      </c>
      <c r="O87" s="20"/>
      <c r="Q87" s="637">
        <f t="shared" si="6"/>
        <v>0</v>
      </c>
      <c r="R87" s="637">
        <f t="shared" si="7"/>
        <v>0</v>
      </c>
    </row>
    <row r="88" spans="1:18">
      <c r="A88" s="619"/>
      <c r="B88" s="620"/>
      <c r="C88" s="624"/>
      <c r="D88" s="624"/>
      <c r="E88" s="3"/>
      <c r="F88" s="274"/>
      <c r="G88" s="274"/>
      <c r="H88" s="8"/>
      <c r="I88" s="5"/>
      <c r="J88" s="411">
        <f t="shared" si="4"/>
        <v>0</v>
      </c>
      <c r="K88" s="2"/>
      <c r="L88" s="8"/>
      <c r="M88" s="7"/>
      <c r="N88" s="9" t="str">
        <f t="shared" si="5"/>
        <v/>
      </c>
      <c r="O88" s="20"/>
      <c r="Q88" s="637">
        <f t="shared" si="6"/>
        <v>0</v>
      </c>
      <c r="R88" s="637">
        <f t="shared" si="7"/>
        <v>0</v>
      </c>
    </row>
    <row r="89" spans="1:18">
      <c r="A89" s="619"/>
      <c r="B89" s="620"/>
      <c r="C89" s="624"/>
      <c r="D89" s="624"/>
      <c r="E89" s="3"/>
      <c r="F89" s="274"/>
      <c r="G89" s="274"/>
      <c r="H89" s="8"/>
      <c r="I89" s="5"/>
      <c r="J89" s="411">
        <f t="shared" si="4"/>
        <v>0</v>
      </c>
      <c r="K89" s="2"/>
      <c r="L89" s="8"/>
      <c r="M89" s="7"/>
      <c r="N89" s="9" t="str">
        <f t="shared" si="5"/>
        <v/>
      </c>
      <c r="O89" s="20"/>
      <c r="Q89" s="637">
        <f t="shared" si="6"/>
        <v>0</v>
      </c>
      <c r="R89" s="637">
        <f t="shared" si="7"/>
        <v>0</v>
      </c>
    </row>
    <row r="90" spans="1:18">
      <c r="A90" s="619"/>
      <c r="B90" s="620"/>
      <c r="C90" s="624"/>
      <c r="D90" s="624"/>
      <c r="E90" s="3"/>
      <c r="F90" s="274"/>
      <c r="G90" s="274"/>
      <c r="H90" s="8"/>
      <c r="I90" s="5"/>
      <c r="J90" s="411">
        <f t="shared" si="4"/>
        <v>0</v>
      </c>
      <c r="K90" s="2"/>
      <c r="L90" s="8"/>
      <c r="M90" s="7"/>
      <c r="N90" s="9" t="str">
        <f t="shared" si="5"/>
        <v/>
      </c>
      <c r="O90" s="20"/>
      <c r="Q90" s="637">
        <f t="shared" si="6"/>
        <v>0</v>
      </c>
      <c r="R90" s="637">
        <f t="shared" si="7"/>
        <v>0</v>
      </c>
    </row>
    <row r="91" spans="1:18">
      <c r="A91" s="619"/>
      <c r="B91" s="620"/>
      <c r="C91" s="624"/>
      <c r="D91" s="624"/>
      <c r="E91" s="3"/>
      <c r="F91" s="274"/>
      <c r="G91" s="274"/>
      <c r="H91" s="8"/>
      <c r="I91" s="5"/>
      <c r="J91" s="411">
        <f t="shared" si="4"/>
        <v>0</v>
      </c>
      <c r="K91" s="2"/>
      <c r="L91" s="8"/>
      <c r="M91" s="7"/>
      <c r="N91" s="9" t="str">
        <f t="shared" si="5"/>
        <v/>
      </c>
      <c r="O91" s="20"/>
      <c r="Q91" s="637">
        <f t="shared" si="6"/>
        <v>0</v>
      </c>
      <c r="R91" s="637">
        <f t="shared" si="7"/>
        <v>0</v>
      </c>
    </row>
    <row r="92" spans="1:18">
      <c r="A92" s="619"/>
      <c r="B92" s="620"/>
      <c r="C92" s="624"/>
      <c r="D92" s="624"/>
      <c r="E92" s="3"/>
      <c r="F92" s="274"/>
      <c r="G92" s="274"/>
      <c r="H92" s="8"/>
      <c r="I92" s="5"/>
      <c r="J92" s="411">
        <f t="shared" si="4"/>
        <v>0</v>
      </c>
      <c r="K92" s="2"/>
      <c r="L92" s="8"/>
      <c r="M92" s="7"/>
      <c r="N92" s="9" t="str">
        <f t="shared" si="5"/>
        <v/>
      </c>
      <c r="O92" s="20"/>
      <c r="Q92" s="637">
        <f t="shared" si="6"/>
        <v>0</v>
      </c>
      <c r="R92" s="637">
        <f t="shared" si="7"/>
        <v>0</v>
      </c>
    </row>
    <row r="93" spans="1:18">
      <c r="A93" s="619"/>
      <c r="B93" s="620"/>
      <c r="C93" s="624"/>
      <c r="D93" s="624"/>
      <c r="E93" s="3"/>
      <c r="F93" s="274"/>
      <c r="G93" s="274"/>
      <c r="H93" s="8"/>
      <c r="I93" s="5"/>
      <c r="J93" s="411">
        <f t="shared" si="4"/>
        <v>0</v>
      </c>
      <c r="K93" s="2"/>
      <c r="L93" s="8"/>
      <c r="M93" s="7"/>
      <c r="N93" s="9" t="str">
        <f t="shared" si="5"/>
        <v/>
      </c>
      <c r="O93" s="20"/>
      <c r="Q93" s="637">
        <f t="shared" si="6"/>
        <v>0</v>
      </c>
      <c r="R93" s="637">
        <f t="shared" si="7"/>
        <v>0</v>
      </c>
    </row>
    <row r="94" spans="1:18">
      <c r="A94" s="619"/>
      <c r="B94" s="620"/>
      <c r="C94" s="624"/>
      <c r="D94" s="624"/>
      <c r="E94" s="3"/>
      <c r="F94" s="274"/>
      <c r="G94" s="274"/>
      <c r="H94" s="8"/>
      <c r="I94" s="5"/>
      <c r="J94" s="411">
        <f t="shared" si="4"/>
        <v>0</v>
      </c>
      <c r="K94" s="2"/>
      <c r="L94" s="8"/>
      <c r="M94" s="7"/>
      <c r="N94" s="9" t="str">
        <f t="shared" si="5"/>
        <v/>
      </c>
      <c r="O94" s="20"/>
      <c r="Q94" s="637">
        <f t="shared" si="6"/>
        <v>0</v>
      </c>
      <c r="R94" s="637">
        <f t="shared" si="7"/>
        <v>0</v>
      </c>
    </row>
    <row r="95" spans="1:18">
      <c r="A95" s="619"/>
      <c r="B95" s="620"/>
      <c r="C95" s="624"/>
      <c r="D95" s="624"/>
      <c r="E95" s="3"/>
      <c r="F95" s="274"/>
      <c r="G95" s="274"/>
      <c r="H95" s="8"/>
      <c r="I95" s="5"/>
      <c r="J95" s="411">
        <f t="shared" si="4"/>
        <v>0</v>
      </c>
      <c r="K95" s="2"/>
      <c r="L95" s="8"/>
      <c r="M95" s="7"/>
      <c r="N95" s="9" t="str">
        <f t="shared" si="5"/>
        <v/>
      </c>
      <c r="O95" s="20"/>
      <c r="Q95" s="637">
        <f t="shared" si="6"/>
        <v>0</v>
      </c>
      <c r="R95" s="637">
        <f t="shared" si="7"/>
        <v>0</v>
      </c>
    </row>
    <row r="96" spans="1:18">
      <c r="A96" s="619"/>
      <c r="B96" s="620"/>
      <c r="C96" s="624"/>
      <c r="D96" s="624"/>
      <c r="E96" s="3"/>
      <c r="F96" s="274"/>
      <c r="G96" s="274"/>
      <c r="H96" s="8"/>
      <c r="I96" s="5"/>
      <c r="J96" s="411">
        <f t="shared" si="4"/>
        <v>0</v>
      </c>
      <c r="K96" s="2"/>
      <c r="L96" s="8"/>
      <c r="M96" s="7"/>
      <c r="N96" s="9" t="str">
        <f t="shared" si="5"/>
        <v/>
      </c>
      <c r="O96" s="20"/>
      <c r="Q96" s="637">
        <f t="shared" si="6"/>
        <v>0</v>
      </c>
      <c r="R96" s="637">
        <f t="shared" si="7"/>
        <v>0</v>
      </c>
    </row>
    <row r="97" spans="1:18">
      <c r="A97" s="619"/>
      <c r="B97" s="620"/>
      <c r="C97" s="624"/>
      <c r="D97" s="624"/>
      <c r="E97" s="3"/>
      <c r="F97" s="274"/>
      <c r="G97" s="274"/>
      <c r="H97" s="8"/>
      <c r="I97" s="5"/>
      <c r="J97" s="411">
        <f t="shared" si="4"/>
        <v>0</v>
      </c>
      <c r="K97" s="2"/>
      <c r="L97" s="8"/>
      <c r="M97" s="7"/>
      <c r="N97" s="9" t="str">
        <f t="shared" si="5"/>
        <v/>
      </c>
      <c r="O97" s="20"/>
      <c r="Q97" s="637">
        <f t="shared" si="6"/>
        <v>0</v>
      </c>
      <c r="R97" s="637">
        <f t="shared" si="7"/>
        <v>0</v>
      </c>
    </row>
    <row r="98" spans="1:18">
      <c r="A98" s="619"/>
      <c r="B98" s="620"/>
      <c r="C98" s="624"/>
      <c r="D98" s="624"/>
      <c r="E98" s="3"/>
      <c r="F98" s="274"/>
      <c r="G98" s="274"/>
      <c r="H98" s="8"/>
      <c r="I98" s="5"/>
      <c r="J98" s="411">
        <f t="shared" si="4"/>
        <v>0</v>
      </c>
      <c r="K98" s="2"/>
      <c r="L98" s="8"/>
      <c r="M98" s="7"/>
      <c r="N98" s="9" t="str">
        <f t="shared" si="5"/>
        <v/>
      </c>
      <c r="O98" s="20"/>
      <c r="Q98" s="637">
        <f t="shared" si="6"/>
        <v>0</v>
      </c>
      <c r="R98" s="637">
        <f t="shared" si="7"/>
        <v>0</v>
      </c>
    </row>
    <row r="99" spans="1:18">
      <c r="A99" s="619"/>
      <c r="B99" s="620"/>
      <c r="C99" s="624"/>
      <c r="D99" s="624"/>
      <c r="E99" s="3"/>
      <c r="F99" s="274"/>
      <c r="G99" s="274"/>
      <c r="H99" s="8"/>
      <c r="I99" s="5"/>
      <c r="J99" s="411">
        <f t="shared" si="4"/>
        <v>0</v>
      </c>
      <c r="K99" s="2"/>
      <c r="L99" s="8"/>
      <c r="M99" s="7"/>
      <c r="N99" s="9" t="str">
        <f t="shared" si="5"/>
        <v/>
      </c>
      <c r="O99" s="20"/>
      <c r="Q99" s="637">
        <f t="shared" si="6"/>
        <v>0</v>
      </c>
      <c r="R99" s="637">
        <f t="shared" si="7"/>
        <v>0</v>
      </c>
    </row>
    <row r="100" spans="1:18">
      <c r="A100" s="619"/>
      <c r="B100" s="620"/>
      <c r="C100" s="624"/>
      <c r="D100" s="624"/>
      <c r="E100" s="3"/>
      <c r="F100" s="274"/>
      <c r="G100" s="274"/>
      <c r="H100" s="8"/>
      <c r="I100" s="5"/>
      <c r="J100" s="411">
        <f t="shared" si="4"/>
        <v>0</v>
      </c>
      <c r="K100" s="2"/>
      <c r="L100" s="8"/>
      <c r="M100" s="7"/>
      <c r="N100" s="9" t="str">
        <f t="shared" si="5"/>
        <v/>
      </c>
      <c r="O100" s="20"/>
      <c r="Q100" s="637">
        <f t="shared" si="6"/>
        <v>0</v>
      </c>
      <c r="R100" s="637">
        <f t="shared" si="7"/>
        <v>0</v>
      </c>
    </row>
    <row r="101" spans="1:18">
      <c r="A101" s="619"/>
      <c r="B101" s="620"/>
      <c r="C101" s="624"/>
      <c r="D101" s="624"/>
      <c r="E101" s="3"/>
      <c r="F101" s="274"/>
      <c r="G101" s="274"/>
      <c r="H101" s="8"/>
      <c r="I101" s="5"/>
      <c r="J101" s="411">
        <f t="shared" si="4"/>
        <v>0</v>
      </c>
      <c r="K101" s="2"/>
      <c r="L101" s="8"/>
      <c r="M101" s="7"/>
      <c r="N101" s="9" t="str">
        <f t="shared" si="5"/>
        <v/>
      </c>
      <c r="O101" s="20"/>
      <c r="Q101" s="637">
        <f t="shared" si="6"/>
        <v>0</v>
      </c>
      <c r="R101" s="637">
        <f t="shared" si="7"/>
        <v>0</v>
      </c>
    </row>
    <row r="102" spans="1:18">
      <c r="A102" s="619"/>
      <c r="B102" s="620"/>
      <c r="C102" s="624"/>
      <c r="D102" s="624"/>
      <c r="E102" s="3"/>
      <c r="F102" s="274"/>
      <c r="G102" s="274"/>
      <c r="H102" s="8"/>
      <c r="I102" s="5"/>
      <c r="J102" s="411">
        <f t="shared" si="4"/>
        <v>0</v>
      </c>
      <c r="K102" s="2"/>
      <c r="L102" s="8"/>
      <c r="M102" s="7"/>
      <c r="N102" s="9" t="str">
        <f t="shared" si="5"/>
        <v/>
      </c>
      <c r="O102" s="20"/>
      <c r="Q102" s="637">
        <f t="shared" si="6"/>
        <v>0</v>
      </c>
      <c r="R102" s="637">
        <f t="shared" si="7"/>
        <v>0</v>
      </c>
    </row>
    <row r="103" spans="1:18">
      <c r="A103" s="619"/>
      <c r="B103" s="620"/>
      <c r="C103" s="624"/>
      <c r="D103" s="624"/>
      <c r="E103" s="3"/>
      <c r="F103" s="274"/>
      <c r="G103" s="274"/>
      <c r="H103" s="8"/>
      <c r="I103" s="5"/>
      <c r="J103" s="411">
        <f t="shared" si="4"/>
        <v>0</v>
      </c>
      <c r="K103" s="2"/>
      <c r="L103" s="8"/>
      <c r="M103" s="7"/>
      <c r="N103" s="9" t="str">
        <f t="shared" si="5"/>
        <v/>
      </c>
      <c r="O103" s="20"/>
      <c r="Q103" s="637">
        <f t="shared" si="6"/>
        <v>0</v>
      </c>
      <c r="R103" s="637">
        <f t="shared" si="7"/>
        <v>0</v>
      </c>
    </row>
    <row r="104" spans="1:18">
      <c r="A104" s="619"/>
      <c r="B104" s="620"/>
      <c r="C104" s="624"/>
      <c r="D104" s="624"/>
      <c r="E104" s="3"/>
      <c r="F104" s="274"/>
      <c r="G104" s="274"/>
      <c r="H104" s="8"/>
      <c r="I104" s="5"/>
      <c r="J104" s="411">
        <f t="shared" si="4"/>
        <v>0</v>
      </c>
      <c r="K104" s="2"/>
      <c r="L104" s="8"/>
      <c r="M104" s="7"/>
      <c r="N104" s="9" t="str">
        <f t="shared" si="5"/>
        <v/>
      </c>
      <c r="O104" s="20"/>
      <c r="Q104" s="637">
        <f t="shared" si="6"/>
        <v>0</v>
      </c>
      <c r="R104" s="637">
        <f t="shared" si="7"/>
        <v>0</v>
      </c>
    </row>
    <row r="105" spans="1:18">
      <c r="A105" s="619"/>
      <c r="B105" s="620"/>
      <c r="C105" s="624"/>
      <c r="D105" s="624"/>
      <c r="E105" s="3"/>
      <c r="F105" s="274"/>
      <c r="G105" s="274"/>
      <c r="H105" s="8"/>
      <c r="I105" s="5"/>
      <c r="J105" s="411">
        <f t="shared" si="4"/>
        <v>0</v>
      </c>
      <c r="K105" s="2"/>
      <c r="L105" s="8"/>
      <c r="M105" s="7"/>
      <c r="N105" s="9" t="str">
        <f t="shared" si="5"/>
        <v/>
      </c>
      <c r="O105" s="20"/>
      <c r="Q105" s="637">
        <f t="shared" si="6"/>
        <v>0</v>
      </c>
      <c r="R105" s="637">
        <f t="shared" si="7"/>
        <v>0</v>
      </c>
    </row>
    <row r="106" spans="1:18">
      <c r="A106" s="619"/>
      <c r="B106" s="620"/>
      <c r="C106" s="624"/>
      <c r="D106" s="624"/>
      <c r="E106" s="3"/>
      <c r="F106" s="274"/>
      <c r="G106" s="274"/>
      <c r="H106" s="8"/>
      <c r="I106" s="5"/>
      <c r="J106" s="411">
        <f t="shared" si="4"/>
        <v>0</v>
      </c>
      <c r="K106" s="2"/>
      <c r="L106" s="8"/>
      <c r="M106" s="7"/>
      <c r="N106" s="9" t="str">
        <f t="shared" si="5"/>
        <v/>
      </c>
      <c r="O106" s="20"/>
      <c r="Q106" s="637">
        <f t="shared" si="6"/>
        <v>0</v>
      </c>
      <c r="R106" s="637">
        <f t="shared" si="7"/>
        <v>0</v>
      </c>
    </row>
    <row r="107" spans="1:18">
      <c r="A107" s="619"/>
      <c r="B107" s="620"/>
      <c r="C107" s="624"/>
      <c r="D107" s="624"/>
      <c r="E107" s="3"/>
      <c r="F107" s="274"/>
      <c r="G107" s="274"/>
      <c r="H107" s="8"/>
      <c r="I107" s="5"/>
      <c r="J107" s="411">
        <f t="shared" si="4"/>
        <v>0</v>
      </c>
      <c r="K107" s="2"/>
      <c r="L107" s="8"/>
      <c r="M107" s="7"/>
      <c r="N107" s="9" t="str">
        <f t="shared" si="5"/>
        <v/>
      </c>
      <c r="O107" s="20"/>
      <c r="Q107" s="637">
        <f t="shared" si="6"/>
        <v>0</v>
      </c>
      <c r="R107" s="637">
        <f t="shared" si="7"/>
        <v>0</v>
      </c>
    </row>
    <row r="108" spans="1:18">
      <c r="A108" s="619"/>
      <c r="B108" s="620"/>
      <c r="C108" s="624"/>
      <c r="D108" s="624"/>
      <c r="E108" s="3"/>
      <c r="F108" s="274"/>
      <c r="G108" s="274"/>
      <c r="H108" s="8"/>
      <c r="I108" s="5"/>
      <c r="J108" s="411">
        <f t="shared" si="4"/>
        <v>0</v>
      </c>
      <c r="K108" s="2"/>
      <c r="L108" s="8"/>
      <c r="M108" s="7"/>
      <c r="N108" s="9" t="str">
        <f t="shared" si="5"/>
        <v/>
      </c>
      <c r="O108" s="20"/>
      <c r="Q108" s="637">
        <f t="shared" si="6"/>
        <v>0</v>
      </c>
      <c r="R108" s="637">
        <f t="shared" si="7"/>
        <v>0</v>
      </c>
    </row>
    <row r="109" spans="1:18">
      <c r="A109" s="619"/>
      <c r="B109" s="620"/>
      <c r="C109" s="624"/>
      <c r="D109" s="624"/>
      <c r="E109" s="3"/>
      <c r="F109" s="274"/>
      <c r="G109" s="274"/>
      <c r="H109" s="8"/>
      <c r="I109" s="5"/>
      <c r="J109" s="411">
        <f t="shared" si="4"/>
        <v>0</v>
      </c>
      <c r="K109" s="2"/>
      <c r="L109" s="8"/>
      <c r="M109" s="7"/>
      <c r="N109" s="9" t="str">
        <f t="shared" si="5"/>
        <v/>
      </c>
      <c r="O109" s="20"/>
      <c r="Q109" s="637">
        <f t="shared" si="6"/>
        <v>0</v>
      </c>
      <c r="R109" s="637">
        <f t="shared" si="7"/>
        <v>0</v>
      </c>
    </row>
    <row r="110" spans="1:18">
      <c r="A110" s="619"/>
      <c r="B110" s="620"/>
      <c r="C110" s="624"/>
      <c r="D110" s="624"/>
      <c r="E110" s="3"/>
      <c r="F110" s="274"/>
      <c r="G110" s="274"/>
      <c r="H110" s="8"/>
      <c r="I110" s="5"/>
      <c r="J110" s="411">
        <f t="shared" si="4"/>
        <v>0</v>
      </c>
      <c r="K110" s="2"/>
      <c r="L110" s="8"/>
      <c r="M110" s="7"/>
      <c r="N110" s="9" t="str">
        <f t="shared" si="5"/>
        <v/>
      </c>
      <c r="O110" s="20"/>
      <c r="Q110" s="637">
        <f t="shared" si="6"/>
        <v>0</v>
      </c>
      <c r="R110" s="637">
        <f t="shared" si="7"/>
        <v>0</v>
      </c>
    </row>
    <row r="111" spans="1:18">
      <c r="A111" s="619"/>
      <c r="B111" s="620"/>
      <c r="C111" s="624"/>
      <c r="D111" s="624"/>
      <c r="E111" s="3"/>
      <c r="F111" s="274"/>
      <c r="G111" s="274"/>
      <c r="H111" s="8"/>
      <c r="I111" s="5"/>
      <c r="J111" s="411">
        <f t="shared" si="4"/>
        <v>0</v>
      </c>
      <c r="K111" s="2"/>
      <c r="L111" s="8"/>
      <c r="M111" s="7"/>
      <c r="N111" s="9" t="str">
        <f t="shared" si="5"/>
        <v/>
      </c>
      <c r="O111" s="20"/>
      <c r="Q111" s="637">
        <f t="shared" si="6"/>
        <v>0</v>
      </c>
      <c r="R111" s="637">
        <f t="shared" si="7"/>
        <v>0</v>
      </c>
    </row>
    <row r="112" spans="1:18">
      <c r="A112" s="619"/>
      <c r="B112" s="620"/>
      <c r="C112" s="624"/>
      <c r="D112" s="624"/>
      <c r="E112" s="3"/>
      <c r="F112" s="274"/>
      <c r="G112" s="274"/>
      <c r="H112" s="8"/>
      <c r="I112" s="5"/>
      <c r="J112" s="411">
        <f t="shared" si="4"/>
        <v>0</v>
      </c>
      <c r="K112" s="2"/>
      <c r="L112" s="8"/>
      <c r="M112" s="7"/>
      <c r="N112" s="9" t="str">
        <f t="shared" si="5"/>
        <v/>
      </c>
      <c r="O112" s="20"/>
      <c r="Q112" s="637">
        <f t="shared" si="6"/>
        <v>0</v>
      </c>
      <c r="R112" s="637">
        <f t="shared" si="7"/>
        <v>0</v>
      </c>
    </row>
    <row r="113" spans="1:18">
      <c r="A113" s="619"/>
      <c r="B113" s="620"/>
      <c r="C113" s="624"/>
      <c r="D113" s="624"/>
      <c r="E113" s="3"/>
      <c r="F113" s="274"/>
      <c r="G113" s="274"/>
      <c r="H113" s="8"/>
      <c r="I113" s="5"/>
      <c r="J113" s="411">
        <f t="shared" si="4"/>
        <v>0</v>
      </c>
      <c r="K113" s="2"/>
      <c r="L113" s="8"/>
      <c r="M113" s="7"/>
      <c r="N113" s="9" t="str">
        <f t="shared" si="5"/>
        <v/>
      </c>
      <c r="O113" s="20"/>
      <c r="Q113" s="637">
        <f t="shared" si="6"/>
        <v>0</v>
      </c>
      <c r="R113" s="637">
        <f t="shared" si="7"/>
        <v>0</v>
      </c>
    </row>
    <row r="114" spans="1:18">
      <c r="A114" s="619"/>
      <c r="B114" s="620"/>
      <c r="C114" s="624"/>
      <c r="D114" s="624"/>
      <c r="E114" s="3"/>
      <c r="F114" s="274"/>
      <c r="G114" s="274"/>
      <c r="H114" s="8"/>
      <c r="I114" s="5"/>
      <c r="J114" s="411">
        <f t="shared" si="4"/>
        <v>0</v>
      </c>
      <c r="K114" s="2"/>
      <c r="L114" s="8"/>
      <c r="M114" s="7"/>
      <c r="N114" s="9" t="str">
        <f t="shared" si="5"/>
        <v/>
      </c>
      <c r="O114" s="20"/>
      <c r="Q114" s="637">
        <f t="shared" si="6"/>
        <v>0</v>
      </c>
      <c r="R114" s="637">
        <f t="shared" si="7"/>
        <v>0</v>
      </c>
    </row>
    <row r="115" spans="1:18">
      <c r="A115" s="619"/>
      <c r="B115" s="620"/>
      <c r="C115" s="624"/>
      <c r="D115" s="624"/>
      <c r="E115" s="3"/>
      <c r="F115" s="274"/>
      <c r="G115" s="274"/>
      <c r="H115" s="8"/>
      <c r="I115" s="5"/>
      <c r="J115" s="411">
        <f t="shared" si="4"/>
        <v>0</v>
      </c>
      <c r="K115" s="2"/>
      <c r="L115" s="8"/>
      <c r="M115" s="7"/>
      <c r="N115" s="9" t="str">
        <f t="shared" si="5"/>
        <v/>
      </c>
      <c r="O115" s="20"/>
      <c r="Q115" s="637">
        <f t="shared" si="6"/>
        <v>0</v>
      </c>
      <c r="R115" s="637">
        <f t="shared" si="7"/>
        <v>0</v>
      </c>
    </row>
    <row r="116" spans="1:18">
      <c r="A116" s="619"/>
      <c r="B116" s="620"/>
      <c r="C116" s="624"/>
      <c r="D116" s="624"/>
      <c r="E116" s="3"/>
      <c r="F116" s="274"/>
      <c r="G116" s="274"/>
      <c r="H116" s="8"/>
      <c r="I116" s="5"/>
      <c r="J116" s="411">
        <f t="shared" si="4"/>
        <v>0</v>
      </c>
      <c r="K116" s="2"/>
      <c r="L116" s="8"/>
      <c r="M116" s="7"/>
      <c r="N116" s="9" t="str">
        <f t="shared" si="5"/>
        <v/>
      </c>
      <c r="O116" s="20"/>
      <c r="Q116" s="637">
        <f t="shared" si="6"/>
        <v>0</v>
      </c>
      <c r="R116" s="637">
        <f t="shared" si="7"/>
        <v>0</v>
      </c>
    </row>
    <row r="117" spans="1:18">
      <c r="A117" s="619"/>
      <c r="B117" s="620"/>
      <c r="C117" s="624"/>
      <c r="D117" s="624"/>
      <c r="E117" s="3"/>
      <c r="F117" s="274"/>
      <c r="G117" s="274"/>
      <c r="H117" s="8"/>
      <c r="I117" s="5"/>
      <c r="J117" s="411">
        <f t="shared" si="4"/>
        <v>0</v>
      </c>
      <c r="K117" s="2"/>
      <c r="L117" s="8"/>
      <c r="M117" s="7"/>
      <c r="N117" s="9" t="str">
        <f t="shared" si="5"/>
        <v/>
      </c>
      <c r="O117" s="20"/>
      <c r="Q117" s="637">
        <f t="shared" si="6"/>
        <v>0</v>
      </c>
      <c r="R117" s="637">
        <f t="shared" si="7"/>
        <v>0</v>
      </c>
    </row>
    <row r="118" spans="1:18">
      <c r="A118" s="619"/>
      <c r="B118" s="620"/>
      <c r="C118" s="624"/>
      <c r="D118" s="624"/>
      <c r="E118" s="3"/>
      <c r="F118" s="274"/>
      <c r="G118" s="274"/>
      <c r="H118" s="8"/>
      <c r="I118" s="5"/>
      <c r="J118" s="411">
        <f t="shared" si="4"/>
        <v>0</v>
      </c>
      <c r="K118" s="2"/>
      <c r="L118" s="8"/>
      <c r="M118" s="7"/>
      <c r="N118" s="9" t="str">
        <f t="shared" si="5"/>
        <v/>
      </c>
      <c r="O118" s="20"/>
      <c r="Q118" s="637">
        <f t="shared" si="6"/>
        <v>0</v>
      </c>
      <c r="R118" s="637">
        <f t="shared" si="7"/>
        <v>0</v>
      </c>
    </row>
    <row r="119" spans="1:18">
      <c r="A119" s="619"/>
      <c r="B119" s="620"/>
      <c r="C119" s="624"/>
      <c r="D119" s="624"/>
      <c r="E119" s="3"/>
      <c r="F119" s="274"/>
      <c r="G119" s="274"/>
      <c r="H119" s="8"/>
      <c r="I119" s="5"/>
      <c r="J119" s="411">
        <f t="shared" si="4"/>
        <v>0</v>
      </c>
      <c r="K119" s="2"/>
      <c r="L119" s="8"/>
      <c r="M119" s="7"/>
      <c r="N119" s="9" t="str">
        <f t="shared" si="5"/>
        <v/>
      </c>
      <c r="O119" s="20"/>
      <c r="Q119" s="637">
        <f t="shared" si="6"/>
        <v>0</v>
      </c>
      <c r="R119" s="637">
        <f t="shared" si="7"/>
        <v>0</v>
      </c>
    </row>
    <row r="120" spans="1:18">
      <c r="A120" s="619"/>
      <c r="B120" s="620"/>
      <c r="C120" s="624"/>
      <c r="D120" s="624"/>
      <c r="E120" s="3"/>
      <c r="F120" s="274"/>
      <c r="G120" s="274"/>
      <c r="H120" s="8"/>
      <c r="I120" s="5"/>
      <c r="J120" s="411">
        <f t="shared" si="4"/>
        <v>0</v>
      </c>
      <c r="K120" s="2"/>
      <c r="L120" s="8"/>
      <c r="M120" s="7"/>
      <c r="N120" s="9" t="str">
        <f t="shared" si="5"/>
        <v/>
      </c>
      <c r="O120" s="20"/>
      <c r="Q120" s="637">
        <f t="shared" si="6"/>
        <v>0</v>
      </c>
      <c r="R120" s="637">
        <f t="shared" si="7"/>
        <v>0</v>
      </c>
    </row>
    <row r="121" spans="1:18">
      <c r="A121" s="619"/>
      <c r="B121" s="620"/>
      <c r="C121" s="624"/>
      <c r="D121" s="624"/>
      <c r="E121" s="3"/>
      <c r="F121" s="274"/>
      <c r="G121" s="274"/>
      <c r="H121" s="8"/>
      <c r="I121" s="5"/>
      <c r="J121" s="411">
        <f t="shared" si="4"/>
        <v>0</v>
      </c>
      <c r="K121" s="2"/>
      <c r="L121" s="8"/>
      <c r="M121" s="7"/>
      <c r="N121" s="9" t="str">
        <f t="shared" si="5"/>
        <v/>
      </c>
      <c r="O121" s="20"/>
      <c r="Q121" s="637">
        <f t="shared" si="6"/>
        <v>0</v>
      </c>
      <c r="R121" s="637">
        <f t="shared" si="7"/>
        <v>0</v>
      </c>
    </row>
    <row r="122" spans="1:18">
      <c r="A122" s="619"/>
      <c r="B122" s="620"/>
      <c r="C122" s="624"/>
      <c r="D122" s="624"/>
      <c r="E122" s="3"/>
      <c r="F122" s="274"/>
      <c r="G122" s="274"/>
      <c r="H122" s="8"/>
      <c r="I122" s="5"/>
      <c r="J122" s="411">
        <f t="shared" si="4"/>
        <v>0</v>
      </c>
      <c r="K122" s="2"/>
      <c r="L122" s="8"/>
      <c r="M122" s="7"/>
      <c r="N122" s="9" t="str">
        <f t="shared" si="5"/>
        <v/>
      </c>
      <c r="O122" s="20"/>
      <c r="Q122" s="637">
        <f t="shared" si="6"/>
        <v>0</v>
      </c>
      <c r="R122" s="637">
        <f t="shared" si="7"/>
        <v>0</v>
      </c>
    </row>
    <row r="123" spans="1:18">
      <c r="A123" s="619"/>
      <c r="B123" s="620"/>
      <c r="C123" s="624"/>
      <c r="D123" s="624"/>
      <c r="E123" s="3"/>
      <c r="F123" s="274"/>
      <c r="G123" s="274"/>
      <c r="H123" s="8"/>
      <c r="I123" s="5"/>
      <c r="J123" s="411">
        <f t="shared" si="4"/>
        <v>0</v>
      </c>
      <c r="K123" s="2"/>
      <c r="L123" s="8"/>
      <c r="M123" s="7"/>
      <c r="N123" s="9" t="str">
        <f t="shared" si="5"/>
        <v/>
      </c>
      <c r="O123" s="20"/>
      <c r="Q123" s="637">
        <f t="shared" si="6"/>
        <v>0</v>
      </c>
      <c r="R123" s="637">
        <f t="shared" si="7"/>
        <v>0</v>
      </c>
    </row>
    <row r="124" spans="1:18">
      <c r="A124" s="619"/>
      <c r="B124" s="620"/>
      <c r="C124" s="624"/>
      <c r="D124" s="624"/>
      <c r="E124" s="3"/>
      <c r="F124" s="274"/>
      <c r="G124" s="274"/>
      <c r="H124" s="8"/>
      <c r="I124" s="5"/>
      <c r="J124" s="411">
        <f t="shared" si="4"/>
        <v>0</v>
      </c>
      <c r="K124" s="2"/>
      <c r="L124" s="8"/>
      <c r="M124" s="7"/>
      <c r="N124" s="9" t="str">
        <f t="shared" si="5"/>
        <v/>
      </c>
      <c r="O124" s="20"/>
      <c r="Q124" s="637">
        <f t="shared" si="6"/>
        <v>0</v>
      </c>
      <c r="R124" s="637">
        <f t="shared" si="7"/>
        <v>0</v>
      </c>
    </row>
    <row r="125" spans="1:18">
      <c r="A125" s="619"/>
      <c r="B125" s="620"/>
      <c r="C125" s="624"/>
      <c r="D125" s="624"/>
      <c r="E125" s="3"/>
      <c r="F125" s="274"/>
      <c r="G125" s="274"/>
      <c r="H125" s="8"/>
      <c r="I125" s="5"/>
      <c r="J125" s="411">
        <f t="shared" si="4"/>
        <v>0</v>
      </c>
      <c r="K125" s="2"/>
      <c r="L125" s="8"/>
      <c r="M125" s="7"/>
      <c r="N125" s="9" t="str">
        <f t="shared" si="5"/>
        <v/>
      </c>
      <c r="O125" s="20"/>
      <c r="Q125" s="637">
        <f t="shared" si="6"/>
        <v>0</v>
      </c>
      <c r="R125" s="637">
        <f t="shared" si="7"/>
        <v>0</v>
      </c>
    </row>
    <row r="126" spans="1:18">
      <c r="A126" s="619"/>
      <c r="B126" s="620"/>
      <c r="C126" s="624"/>
      <c r="D126" s="624"/>
      <c r="E126" s="3"/>
      <c r="F126" s="274"/>
      <c r="G126" s="274"/>
      <c r="H126" s="8"/>
      <c r="I126" s="5"/>
      <c r="J126" s="411">
        <f t="shared" si="4"/>
        <v>0</v>
      </c>
      <c r="K126" s="2"/>
      <c r="L126" s="8"/>
      <c r="M126" s="7"/>
      <c r="N126" s="9" t="str">
        <f t="shared" si="5"/>
        <v/>
      </c>
      <c r="O126" s="20"/>
      <c r="Q126" s="637">
        <f t="shared" si="6"/>
        <v>0</v>
      </c>
      <c r="R126" s="637">
        <f t="shared" si="7"/>
        <v>0</v>
      </c>
    </row>
    <row r="127" spans="1:18">
      <c r="A127" s="619"/>
      <c r="B127" s="620"/>
      <c r="C127" s="624"/>
      <c r="D127" s="624"/>
      <c r="E127" s="3"/>
      <c r="F127" s="274"/>
      <c r="G127" s="274"/>
      <c r="H127" s="8"/>
      <c r="I127" s="5"/>
      <c r="J127" s="411">
        <f t="shared" si="4"/>
        <v>0</v>
      </c>
      <c r="K127" s="2"/>
      <c r="L127" s="8"/>
      <c r="M127" s="7"/>
      <c r="N127" s="9" t="str">
        <f t="shared" si="5"/>
        <v/>
      </c>
      <c r="O127" s="20"/>
      <c r="Q127" s="637">
        <f t="shared" si="6"/>
        <v>0</v>
      </c>
      <c r="R127" s="637">
        <f t="shared" si="7"/>
        <v>0</v>
      </c>
    </row>
    <row r="128" spans="1:18">
      <c r="A128" s="619"/>
      <c r="B128" s="620"/>
      <c r="C128" s="624"/>
      <c r="D128" s="624"/>
      <c r="E128" s="3"/>
      <c r="F128" s="274"/>
      <c r="G128" s="274"/>
      <c r="H128" s="8"/>
      <c r="I128" s="5"/>
      <c r="J128" s="411">
        <f t="shared" si="4"/>
        <v>0</v>
      </c>
      <c r="K128" s="2"/>
      <c r="L128" s="8"/>
      <c r="M128" s="7"/>
      <c r="N128" s="9" t="str">
        <f t="shared" si="5"/>
        <v/>
      </c>
      <c r="O128" s="20"/>
      <c r="Q128" s="637">
        <f t="shared" si="6"/>
        <v>0</v>
      </c>
      <c r="R128" s="637">
        <f t="shared" si="7"/>
        <v>0</v>
      </c>
    </row>
    <row r="129" spans="1:18">
      <c r="A129" s="619"/>
      <c r="B129" s="620"/>
      <c r="C129" s="624"/>
      <c r="D129" s="624"/>
      <c r="E129" s="3"/>
      <c r="F129" s="274"/>
      <c r="G129" s="274"/>
      <c r="H129" s="8"/>
      <c r="I129" s="5"/>
      <c r="J129" s="411">
        <f t="shared" si="4"/>
        <v>0</v>
      </c>
      <c r="K129" s="2"/>
      <c r="L129" s="8"/>
      <c r="M129" s="7"/>
      <c r="N129" s="9" t="str">
        <f t="shared" si="5"/>
        <v/>
      </c>
      <c r="O129" s="20"/>
      <c r="Q129" s="637">
        <f t="shared" si="6"/>
        <v>0</v>
      </c>
      <c r="R129" s="637">
        <f t="shared" si="7"/>
        <v>0</v>
      </c>
    </row>
    <row r="130" spans="1:18">
      <c r="A130" s="619"/>
      <c r="B130" s="620"/>
      <c r="C130" s="624"/>
      <c r="D130" s="624"/>
      <c r="E130" s="3"/>
      <c r="F130" s="274"/>
      <c r="G130" s="274"/>
      <c r="H130" s="8"/>
      <c r="I130" s="5"/>
      <c r="J130" s="411">
        <f t="shared" si="4"/>
        <v>0</v>
      </c>
      <c r="K130" s="2"/>
      <c r="L130" s="8"/>
      <c r="M130" s="7"/>
      <c r="N130" s="9" t="str">
        <f t="shared" si="5"/>
        <v/>
      </c>
      <c r="O130" s="20"/>
      <c r="Q130" s="637">
        <f t="shared" si="6"/>
        <v>0</v>
      </c>
      <c r="R130" s="637">
        <f t="shared" si="7"/>
        <v>0</v>
      </c>
    </row>
    <row r="131" spans="1:18">
      <c r="A131" s="619"/>
      <c r="B131" s="620"/>
      <c r="C131" s="624"/>
      <c r="D131" s="624"/>
      <c r="E131" s="3"/>
      <c r="F131" s="274"/>
      <c r="G131" s="274"/>
      <c r="H131" s="8"/>
      <c r="I131" s="5"/>
      <c r="J131" s="411">
        <f t="shared" si="4"/>
        <v>0</v>
      </c>
      <c r="K131" s="2"/>
      <c r="L131" s="8"/>
      <c r="M131" s="7"/>
      <c r="N131" s="9" t="str">
        <f t="shared" si="5"/>
        <v/>
      </c>
      <c r="O131" s="20"/>
      <c r="Q131" s="637">
        <f t="shared" si="6"/>
        <v>0</v>
      </c>
      <c r="R131" s="637">
        <f t="shared" si="7"/>
        <v>0</v>
      </c>
    </row>
    <row r="132" spans="1:18">
      <c r="A132" s="619"/>
      <c r="B132" s="620"/>
      <c r="C132" s="624"/>
      <c r="D132" s="624"/>
      <c r="E132" s="3"/>
      <c r="F132" s="274"/>
      <c r="G132" s="274"/>
      <c r="H132" s="8"/>
      <c r="I132" s="5"/>
      <c r="J132" s="411">
        <f t="shared" si="4"/>
        <v>0</v>
      </c>
      <c r="K132" s="2"/>
      <c r="L132" s="8"/>
      <c r="M132" s="7"/>
      <c r="N132" s="9" t="str">
        <f t="shared" si="5"/>
        <v/>
      </c>
      <c r="O132" s="20"/>
      <c r="Q132" s="637">
        <f t="shared" si="6"/>
        <v>0</v>
      </c>
      <c r="R132" s="637">
        <f t="shared" si="7"/>
        <v>0</v>
      </c>
    </row>
    <row r="133" spans="1:18">
      <c r="A133" s="619"/>
      <c r="B133" s="620"/>
      <c r="C133" s="624"/>
      <c r="D133" s="624"/>
      <c r="E133" s="3"/>
      <c r="F133" s="274"/>
      <c r="G133" s="274"/>
      <c r="H133" s="8"/>
      <c r="I133" s="5"/>
      <c r="J133" s="411">
        <f t="shared" si="4"/>
        <v>0</v>
      </c>
      <c r="K133" s="2"/>
      <c r="L133" s="8"/>
      <c r="M133" s="7"/>
      <c r="N133" s="9" t="str">
        <f t="shared" si="5"/>
        <v/>
      </c>
      <c r="O133" s="20"/>
      <c r="Q133" s="637">
        <f t="shared" si="6"/>
        <v>0</v>
      </c>
      <c r="R133" s="637">
        <f t="shared" si="7"/>
        <v>0</v>
      </c>
    </row>
    <row r="134" spans="1:18">
      <c r="A134" s="619"/>
      <c r="B134" s="620"/>
      <c r="C134" s="624"/>
      <c r="D134" s="624"/>
      <c r="E134" s="3"/>
      <c r="F134" s="274"/>
      <c r="G134" s="274"/>
      <c r="H134" s="8"/>
      <c r="I134" s="5"/>
      <c r="J134" s="411">
        <f t="shared" ref="J134:J197" si="8">(+F134*G134+H134*I134)*E134</f>
        <v>0</v>
      </c>
      <c r="K134" s="2"/>
      <c r="L134" s="8"/>
      <c r="M134" s="7"/>
      <c r="N134" s="9" t="str">
        <f t="shared" ref="N134:N197" si="9">IF(K134=0,"",L134*M134*E134)</f>
        <v/>
      </c>
      <c r="O134" s="20"/>
      <c r="Q134" s="637">
        <f t="shared" ref="Q134:Q197" si="10">F134*G134*E134</f>
        <v>0</v>
      </c>
      <c r="R134" s="637">
        <f t="shared" ref="R134:R197" si="11">H134*E134*I134</f>
        <v>0</v>
      </c>
    </row>
    <row r="135" spans="1:18">
      <c r="A135" s="619"/>
      <c r="B135" s="620"/>
      <c r="C135" s="624"/>
      <c r="D135" s="624"/>
      <c r="E135" s="3"/>
      <c r="F135" s="274"/>
      <c r="G135" s="274"/>
      <c r="H135" s="8"/>
      <c r="I135" s="5"/>
      <c r="J135" s="411">
        <f t="shared" si="8"/>
        <v>0</v>
      </c>
      <c r="K135" s="2"/>
      <c r="L135" s="8"/>
      <c r="M135" s="7"/>
      <c r="N135" s="9" t="str">
        <f t="shared" si="9"/>
        <v/>
      </c>
      <c r="O135" s="20"/>
      <c r="Q135" s="637">
        <f t="shared" si="10"/>
        <v>0</v>
      </c>
      <c r="R135" s="637">
        <f t="shared" si="11"/>
        <v>0</v>
      </c>
    </row>
    <row r="136" spans="1:18">
      <c r="A136" s="619"/>
      <c r="B136" s="620"/>
      <c r="C136" s="624"/>
      <c r="D136" s="624"/>
      <c r="E136" s="3"/>
      <c r="F136" s="274"/>
      <c r="G136" s="274"/>
      <c r="H136" s="8"/>
      <c r="I136" s="5"/>
      <c r="J136" s="411">
        <f t="shared" si="8"/>
        <v>0</v>
      </c>
      <c r="K136" s="2"/>
      <c r="L136" s="8"/>
      <c r="M136" s="7"/>
      <c r="N136" s="9" t="str">
        <f t="shared" si="9"/>
        <v/>
      </c>
      <c r="O136" s="20"/>
      <c r="Q136" s="637">
        <f t="shared" si="10"/>
        <v>0</v>
      </c>
      <c r="R136" s="637">
        <f t="shared" si="11"/>
        <v>0</v>
      </c>
    </row>
    <row r="137" spans="1:18">
      <c r="A137" s="619"/>
      <c r="B137" s="620"/>
      <c r="C137" s="624"/>
      <c r="D137" s="624"/>
      <c r="E137" s="3"/>
      <c r="F137" s="274"/>
      <c r="G137" s="274"/>
      <c r="H137" s="8"/>
      <c r="I137" s="5"/>
      <c r="J137" s="411">
        <f t="shared" si="8"/>
        <v>0</v>
      </c>
      <c r="K137" s="2"/>
      <c r="L137" s="8"/>
      <c r="M137" s="7"/>
      <c r="N137" s="9" t="str">
        <f t="shared" si="9"/>
        <v/>
      </c>
      <c r="O137" s="20"/>
      <c r="Q137" s="637">
        <f t="shared" si="10"/>
        <v>0</v>
      </c>
      <c r="R137" s="637">
        <f t="shared" si="11"/>
        <v>0</v>
      </c>
    </row>
    <row r="138" spans="1:18">
      <c r="A138" s="619"/>
      <c r="B138" s="620"/>
      <c r="C138" s="624"/>
      <c r="D138" s="624"/>
      <c r="E138" s="3"/>
      <c r="F138" s="274"/>
      <c r="G138" s="274"/>
      <c r="H138" s="8"/>
      <c r="I138" s="5"/>
      <c r="J138" s="411">
        <f t="shared" si="8"/>
        <v>0</v>
      </c>
      <c r="K138" s="2"/>
      <c r="L138" s="8"/>
      <c r="M138" s="7"/>
      <c r="N138" s="9" t="str">
        <f t="shared" si="9"/>
        <v/>
      </c>
      <c r="O138" s="20"/>
      <c r="Q138" s="637">
        <f t="shared" si="10"/>
        <v>0</v>
      </c>
      <c r="R138" s="637">
        <f t="shared" si="11"/>
        <v>0</v>
      </c>
    </row>
    <row r="139" spans="1:18">
      <c r="A139" s="619"/>
      <c r="B139" s="620"/>
      <c r="C139" s="624"/>
      <c r="D139" s="624"/>
      <c r="E139" s="3"/>
      <c r="F139" s="274"/>
      <c r="G139" s="274"/>
      <c r="H139" s="8"/>
      <c r="I139" s="5"/>
      <c r="J139" s="411">
        <f t="shared" si="8"/>
        <v>0</v>
      </c>
      <c r="K139" s="2"/>
      <c r="L139" s="8"/>
      <c r="M139" s="7"/>
      <c r="N139" s="9" t="str">
        <f t="shared" si="9"/>
        <v/>
      </c>
      <c r="O139" s="20"/>
      <c r="Q139" s="637">
        <f t="shared" si="10"/>
        <v>0</v>
      </c>
      <c r="R139" s="637">
        <f t="shared" si="11"/>
        <v>0</v>
      </c>
    </row>
    <row r="140" spans="1:18">
      <c r="A140" s="619"/>
      <c r="B140" s="620"/>
      <c r="C140" s="624"/>
      <c r="D140" s="624"/>
      <c r="E140" s="3"/>
      <c r="F140" s="274"/>
      <c r="G140" s="274"/>
      <c r="H140" s="8"/>
      <c r="I140" s="5"/>
      <c r="J140" s="411">
        <f t="shared" si="8"/>
        <v>0</v>
      </c>
      <c r="K140" s="2"/>
      <c r="L140" s="8"/>
      <c r="M140" s="7"/>
      <c r="N140" s="9" t="str">
        <f t="shared" si="9"/>
        <v/>
      </c>
      <c r="O140" s="20"/>
      <c r="Q140" s="637">
        <f t="shared" si="10"/>
        <v>0</v>
      </c>
      <c r="R140" s="637">
        <f t="shared" si="11"/>
        <v>0</v>
      </c>
    </row>
    <row r="141" spans="1:18">
      <c r="A141" s="619"/>
      <c r="B141" s="620"/>
      <c r="C141" s="624"/>
      <c r="D141" s="624"/>
      <c r="E141" s="3"/>
      <c r="F141" s="274"/>
      <c r="G141" s="274"/>
      <c r="H141" s="8"/>
      <c r="I141" s="5"/>
      <c r="J141" s="411">
        <f t="shared" si="8"/>
        <v>0</v>
      </c>
      <c r="K141" s="2"/>
      <c r="L141" s="8"/>
      <c r="M141" s="7"/>
      <c r="N141" s="9" t="str">
        <f t="shared" si="9"/>
        <v/>
      </c>
      <c r="O141" s="20"/>
      <c r="Q141" s="637">
        <f t="shared" si="10"/>
        <v>0</v>
      </c>
      <c r="R141" s="637">
        <f t="shared" si="11"/>
        <v>0</v>
      </c>
    </row>
    <row r="142" spans="1:18">
      <c r="A142" s="619"/>
      <c r="B142" s="620"/>
      <c r="C142" s="624"/>
      <c r="D142" s="624"/>
      <c r="E142" s="3"/>
      <c r="F142" s="274"/>
      <c r="G142" s="274"/>
      <c r="H142" s="8"/>
      <c r="I142" s="5"/>
      <c r="J142" s="411">
        <f t="shared" si="8"/>
        <v>0</v>
      </c>
      <c r="K142" s="2"/>
      <c r="L142" s="8"/>
      <c r="M142" s="7"/>
      <c r="N142" s="9" t="str">
        <f t="shared" si="9"/>
        <v/>
      </c>
      <c r="O142" s="20"/>
      <c r="Q142" s="637">
        <f t="shared" si="10"/>
        <v>0</v>
      </c>
      <c r="R142" s="637">
        <f t="shared" si="11"/>
        <v>0</v>
      </c>
    </row>
    <row r="143" spans="1:18">
      <c r="A143" s="619"/>
      <c r="B143" s="620"/>
      <c r="C143" s="624"/>
      <c r="D143" s="624"/>
      <c r="E143" s="3"/>
      <c r="F143" s="274"/>
      <c r="G143" s="274"/>
      <c r="H143" s="8"/>
      <c r="I143" s="5"/>
      <c r="J143" s="411">
        <f t="shared" si="8"/>
        <v>0</v>
      </c>
      <c r="K143" s="2"/>
      <c r="L143" s="8"/>
      <c r="M143" s="7"/>
      <c r="N143" s="9" t="str">
        <f t="shared" si="9"/>
        <v/>
      </c>
      <c r="O143" s="20"/>
      <c r="Q143" s="637">
        <f t="shared" si="10"/>
        <v>0</v>
      </c>
      <c r="R143" s="637">
        <f t="shared" si="11"/>
        <v>0</v>
      </c>
    </row>
    <row r="144" spans="1:18">
      <c r="A144" s="619"/>
      <c r="B144" s="620"/>
      <c r="C144" s="624"/>
      <c r="D144" s="624"/>
      <c r="E144" s="3"/>
      <c r="F144" s="274"/>
      <c r="G144" s="274"/>
      <c r="H144" s="8"/>
      <c r="I144" s="5"/>
      <c r="J144" s="411">
        <f t="shared" si="8"/>
        <v>0</v>
      </c>
      <c r="K144" s="2"/>
      <c r="L144" s="8"/>
      <c r="M144" s="7"/>
      <c r="N144" s="9" t="str">
        <f t="shared" si="9"/>
        <v/>
      </c>
      <c r="O144" s="20"/>
      <c r="Q144" s="637">
        <f t="shared" si="10"/>
        <v>0</v>
      </c>
      <c r="R144" s="637">
        <f t="shared" si="11"/>
        <v>0</v>
      </c>
    </row>
    <row r="145" spans="1:18">
      <c r="A145" s="619"/>
      <c r="B145" s="620"/>
      <c r="C145" s="624"/>
      <c r="D145" s="624"/>
      <c r="E145" s="3"/>
      <c r="F145" s="274"/>
      <c r="G145" s="274"/>
      <c r="H145" s="8"/>
      <c r="I145" s="5"/>
      <c r="J145" s="411">
        <f t="shared" si="8"/>
        <v>0</v>
      </c>
      <c r="K145" s="2"/>
      <c r="L145" s="8"/>
      <c r="M145" s="7"/>
      <c r="N145" s="9" t="str">
        <f t="shared" si="9"/>
        <v/>
      </c>
      <c r="O145" s="20"/>
      <c r="Q145" s="637">
        <f t="shared" si="10"/>
        <v>0</v>
      </c>
      <c r="R145" s="637">
        <f t="shared" si="11"/>
        <v>0</v>
      </c>
    </row>
    <row r="146" spans="1:18">
      <c r="A146" s="619"/>
      <c r="B146" s="620"/>
      <c r="C146" s="624"/>
      <c r="D146" s="624"/>
      <c r="E146" s="3"/>
      <c r="F146" s="274"/>
      <c r="G146" s="274"/>
      <c r="H146" s="8"/>
      <c r="I146" s="5"/>
      <c r="J146" s="411">
        <f t="shared" si="8"/>
        <v>0</v>
      </c>
      <c r="K146" s="2"/>
      <c r="L146" s="8"/>
      <c r="M146" s="7"/>
      <c r="N146" s="9" t="str">
        <f t="shared" si="9"/>
        <v/>
      </c>
      <c r="O146" s="20"/>
      <c r="Q146" s="637">
        <f t="shared" si="10"/>
        <v>0</v>
      </c>
      <c r="R146" s="637">
        <f t="shared" si="11"/>
        <v>0</v>
      </c>
    </row>
    <row r="147" spans="1:18">
      <c r="A147" s="619"/>
      <c r="B147" s="620"/>
      <c r="C147" s="624"/>
      <c r="D147" s="624"/>
      <c r="E147" s="3"/>
      <c r="F147" s="274"/>
      <c r="G147" s="274"/>
      <c r="H147" s="8"/>
      <c r="I147" s="5"/>
      <c r="J147" s="411">
        <f t="shared" si="8"/>
        <v>0</v>
      </c>
      <c r="K147" s="2"/>
      <c r="L147" s="8"/>
      <c r="M147" s="7"/>
      <c r="N147" s="9" t="str">
        <f t="shared" si="9"/>
        <v/>
      </c>
      <c r="O147" s="20"/>
      <c r="Q147" s="637">
        <f t="shared" si="10"/>
        <v>0</v>
      </c>
      <c r="R147" s="637">
        <f t="shared" si="11"/>
        <v>0</v>
      </c>
    </row>
    <row r="148" spans="1:18">
      <c r="A148" s="619"/>
      <c r="B148" s="620"/>
      <c r="C148" s="624"/>
      <c r="D148" s="624"/>
      <c r="E148" s="3"/>
      <c r="F148" s="274"/>
      <c r="G148" s="274"/>
      <c r="H148" s="8"/>
      <c r="I148" s="5"/>
      <c r="J148" s="411">
        <f t="shared" si="8"/>
        <v>0</v>
      </c>
      <c r="K148" s="2"/>
      <c r="L148" s="8"/>
      <c r="M148" s="7"/>
      <c r="N148" s="9" t="str">
        <f t="shared" si="9"/>
        <v/>
      </c>
      <c r="O148" s="20"/>
      <c r="Q148" s="637">
        <f t="shared" si="10"/>
        <v>0</v>
      </c>
      <c r="R148" s="637">
        <f t="shared" si="11"/>
        <v>0</v>
      </c>
    </row>
    <row r="149" spans="1:18">
      <c r="A149" s="619"/>
      <c r="B149" s="620"/>
      <c r="C149" s="624"/>
      <c r="D149" s="624"/>
      <c r="E149" s="3"/>
      <c r="F149" s="274"/>
      <c r="G149" s="274"/>
      <c r="H149" s="8"/>
      <c r="I149" s="5"/>
      <c r="J149" s="411">
        <f t="shared" si="8"/>
        <v>0</v>
      </c>
      <c r="K149" s="2"/>
      <c r="L149" s="8"/>
      <c r="M149" s="7"/>
      <c r="N149" s="9" t="str">
        <f t="shared" si="9"/>
        <v/>
      </c>
      <c r="O149" s="20"/>
      <c r="Q149" s="637">
        <f t="shared" si="10"/>
        <v>0</v>
      </c>
      <c r="R149" s="637">
        <f t="shared" si="11"/>
        <v>0</v>
      </c>
    </row>
    <row r="150" spans="1:18">
      <c r="A150" s="619"/>
      <c r="B150" s="620"/>
      <c r="C150" s="624"/>
      <c r="D150" s="624"/>
      <c r="E150" s="3"/>
      <c r="F150" s="274"/>
      <c r="G150" s="274"/>
      <c r="H150" s="8"/>
      <c r="I150" s="5"/>
      <c r="J150" s="411">
        <f t="shared" si="8"/>
        <v>0</v>
      </c>
      <c r="K150" s="2"/>
      <c r="L150" s="8"/>
      <c r="M150" s="7"/>
      <c r="N150" s="9" t="str">
        <f t="shared" si="9"/>
        <v/>
      </c>
      <c r="O150" s="20"/>
      <c r="Q150" s="637">
        <f t="shared" si="10"/>
        <v>0</v>
      </c>
      <c r="R150" s="637">
        <f t="shared" si="11"/>
        <v>0</v>
      </c>
    </row>
    <row r="151" spans="1:18">
      <c r="A151" s="619"/>
      <c r="B151" s="620"/>
      <c r="C151" s="624"/>
      <c r="D151" s="624"/>
      <c r="E151" s="3"/>
      <c r="F151" s="274"/>
      <c r="G151" s="274"/>
      <c r="H151" s="8"/>
      <c r="I151" s="5"/>
      <c r="J151" s="411">
        <f t="shared" si="8"/>
        <v>0</v>
      </c>
      <c r="K151" s="2"/>
      <c r="L151" s="8"/>
      <c r="M151" s="7"/>
      <c r="N151" s="9" t="str">
        <f t="shared" si="9"/>
        <v/>
      </c>
      <c r="O151" s="20"/>
      <c r="Q151" s="637">
        <f t="shared" si="10"/>
        <v>0</v>
      </c>
      <c r="R151" s="637">
        <f t="shared" si="11"/>
        <v>0</v>
      </c>
    </row>
    <row r="152" spans="1:18">
      <c r="A152" s="619"/>
      <c r="B152" s="620"/>
      <c r="C152" s="624"/>
      <c r="D152" s="624"/>
      <c r="E152" s="3"/>
      <c r="F152" s="274"/>
      <c r="G152" s="274"/>
      <c r="H152" s="8"/>
      <c r="I152" s="5"/>
      <c r="J152" s="411">
        <f t="shared" si="8"/>
        <v>0</v>
      </c>
      <c r="K152" s="2"/>
      <c r="L152" s="8"/>
      <c r="M152" s="7"/>
      <c r="N152" s="9" t="str">
        <f t="shared" si="9"/>
        <v/>
      </c>
      <c r="O152" s="20"/>
      <c r="Q152" s="637">
        <f t="shared" si="10"/>
        <v>0</v>
      </c>
      <c r="R152" s="637">
        <f t="shared" si="11"/>
        <v>0</v>
      </c>
    </row>
    <row r="153" spans="1:18">
      <c r="A153" s="619"/>
      <c r="B153" s="620"/>
      <c r="C153" s="624"/>
      <c r="D153" s="624"/>
      <c r="E153" s="3"/>
      <c r="F153" s="274"/>
      <c r="G153" s="274"/>
      <c r="H153" s="8"/>
      <c r="I153" s="5"/>
      <c r="J153" s="411">
        <f t="shared" si="8"/>
        <v>0</v>
      </c>
      <c r="K153" s="2"/>
      <c r="L153" s="8"/>
      <c r="M153" s="7"/>
      <c r="N153" s="9" t="str">
        <f t="shared" si="9"/>
        <v/>
      </c>
      <c r="O153" s="20"/>
      <c r="Q153" s="637">
        <f t="shared" si="10"/>
        <v>0</v>
      </c>
      <c r="R153" s="637">
        <f t="shared" si="11"/>
        <v>0</v>
      </c>
    </row>
    <row r="154" spans="1:18">
      <c r="A154" s="619"/>
      <c r="B154" s="620"/>
      <c r="C154" s="624"/>
      <c r="D154" s="624"/>
      <c r="E154" s="3"/>
      <c r="F154" s="274"/>
      <c r="G154" s="274"/>
      <c r="H154" s="8"/>
      <c r="I154" s="5"/>
      <c r="J154" s="411">
        <f t="shared" si="8"/>
        <v>0</v>
      </c>
      <c r="K154" s="2"/>
      <c r="L154" s="8"/>
      <c r="M154" s="7"/>
      <c r="N154" s="9" t="str">
        <f t="shared" si="9"/>
        <v/>
      </c>
      <c r="O154" s="20"/>
      <c r="Q154" s="637">
        <f t="shared" si="10"/>
        <v>0</v>
      </c>
      <c r="R154" s="637">
        <f t="shared" si="11"/>
        <v>0</v>
      </c>
    </row>
    <row r="155" spans="1:18">
      <c r="A155" s="619"/>
      <c r="B155" s="620"/>
      <c r="C155" s="624"/>
      <c r="D155" s="624"/>
      <c r="E155" s="3"/>
      <c r="F155" s="274"/>
      <c r="G155" s="274"/>
      <c r="H155" s="8"/>
      <c r="I155" s="5"/>
      <c r="J155" s="411">
        <f t="shared" si="8"/>
        <v>0</v>
      </c>
      <c r="K155" s="2"/>
      <c r="L155" s="8"/>
      <c r="M155" s="7"/>
      <c r="N155" s="9" t="str">
        <f t="shared" si="9"/>
        <v/>
      </c>
      <c r="O155" s="20"/>
      <c r="Q155" s="637">
        <f t="shared" si="10"/>
        <v>0</v>
      </c>
      <c r="R155" s="637">
        <f t="shared" si="11"/>
        <v>0</v>
      </c>
    </row>
    <row r="156" spans="1:18">
      <c r="A156" s="619"/>
      <c r="B156" s="620"/>
      <c r="C156" s="624"/>
      <c r="D156" s="624"/>
      <c r="E156" s="3"/>
      <c r="F156" s="274"/>
      <c r="G156" s="274"/>
      <c r="H156" s="8"/>
      <c r="I156" s="5"/>
      <c r="J156" s="411">
        <f t="shared" si="8"/>
        <v>0</v>
      </c>
      <c r="K156" s="2"/>
      <c r="L156" s="8"/>
      <c r="M156" s="7"/>
      <c r="N156" s="9" t="str">
        <f t="shared" si="9"/>
        <v/>
      </c>
      <c r="O156" s="20"/>
      <c r="Q156" s="637">
        <f t="shared" si="10"/>
        <v>0</v>
      </c>
      <c r="R156" s="637">
        <f t="shared" si="11"/>
        <v>0</v>
      </c>
    </row>
    <row r="157" spans="1:18">
      <c r="A157" s="619"/>
      <c r="B157" s="620"/>
      <c r="C157" s="624"/>
      <c r="D157" s="624"/>
      <c r="E157" s="3"/>
      <c r="F157" s="274"/>
      <c r="G157" s="274"/>
      <c r="H157" s="8"/>
      <c r="I157" s="5"/>
      <c r="J157" s="411">
        <f t="shared" si="8"/>
        <v>0</v>
      </c>
      <c r="K157" s="2"/>
      <c r="L157" s="8"/>
      <c r="M157" s="7"/>
      <c r="N157" s="9" t="str">
        <f t="shared" si="9"/>
        <v/>
      </c>
      <c r="O157" s="20"/>
      <c r="Q157" s="637">
        <f t="shared" si="10"/>
        <v>0</v>
      </c>
      <c r="R157" s="637">
        <f t="shared" si="11"/>
        <v>0</v>
      </c>
    </row>
    <row r="158" spans="1:18">
      <c r="A158" s="619"/>
      <c r="B158" s="620"/>
      <c r="C158" s="624"/>
      <c r="D158" s="624"/>
      <c r="E158" s="3"/>
      <c r="F158" s="274"/>
      <c r="G158" s="274"/>
      <c r="H158" s="8"/>
      <c r="I158" s="5"/>
      <c r="J158" s="411">
        <f t="shared" si="8"/>
        <v>0</v>
      </c>
      <c r="K158" s="2"/>
      <c r="L158" s="8"/>
      <c r="M158" s="7"/>
      <c r="N158" s="9" t="str">
        <f t="shared" si="9"/>
        <v/>
      </c>
      <c r="O158" s="20"/>
      <c r="Q158" s="637">
        <f t="shared" si="10"/>
        <v>0</v>
      </c>
      <c r="R158" s="637">
        <f t="shared" si="11"/>
        <v>0</v>
      </c>
    </row>
    <row r="159" spans="1:18">
      <c r="A159" s="619"/>
      <c r="B159" s="620"/>
      <c r="C159" s="624"/>
      <c r="D159" s="624"/>
      <c r="E159" s="3"/>
      <c r="F159" s="274"/>
      <c r="G159" s="274"/>
      <c r="H159" s="8"/>
      <c r="I159" s="5"/>
      <c r="J159" s="411">
        <f t="shared" si="8"/>
        <v>0</v>
      </c>
      <c r="K159" s="2"/>
      <c r="L159" s="8"/>
      <c r="M159" s="7"/>
      <c r="N159" s="9" t="str">
        <f t="shared" si="9"/>
        <v/>
      </c>
      <c r="O159" s="20"/>
      <c r="Q159" s="637">
        <f t="shared" si="10"/>
        <v>0</v>
      </c>
      <c r="R159" s="637">
        <f t="shared" si="11"/>
        <v>0</v>
      </c>
    </row>
    <row r="160" spans="1:18">
      <c r="A160" s="619"/>
      <c r="B160" s="620"/>
      <c r="C160" s="624"/>
      <c r="D160" s="624"/>
      <c r="E160" s="3"/>
      <c r="F160" s="274"/>
      <c r="G160" s="274"/>
      <c r="H160" s="8"/>
      <c r="I160" s="5"/>
      <c r="J160" s="411">
        <f t="shared" si="8"/>
        <v>0</v>
      </c>
      <c r="K160" s="2"/>
      <c r="L160" s="8"/>
      <c r="M160" s="7"/>
      <c r="N160" s="9" t="str">
        <f t="shared" si="9"/>
        <v/>
      </c>
      <c r="O160" s="20"/>
      <c r="Q160" s="637">
        <f t="shared" si="10"/>
        <v>0</v>
      </c>
      <c r="R160" s="637">
        <f t="shared" si="11"/>
        <v>0</v>
      </c>
    </row>
    <row r="161" spans="1:18">
      <c r="A161" s="619"/>
      <c r="B161" s="620"/>
      <c r="C161" s="624"/>
      <c r="D161" s="624"/>
      <c r="E161" s="3"/>
      <c r="F161" s="274"/>
      <c r="G161" s="274"/>
      <c r="H161" s="8"/>
      <c r="I161" s="5"/>
      <c r="J161" s="411">
        <f t="shared" si="8"/>
        <v>0</v>
      </c>
      <c r="K161" s="2"/>
      <c r="L161" s="8"/>
      <c r="M161" s="7"/>
      <c r="N161" s="9" t="str">
        <f t="shared" si="9"/>
        <v/>
      </c>
      <c r="O161" s="20"/>
      <c r="Q161" s="637">
        <f t="shared" si="10"/>
        <v>0</v>
      </c>
      <c r="R161" s="637">
        <f t="shared" si="11"/>
        <v>0</v>
      </c>
    </row>
    <row r="162" spans="1:18">
      <c r="A162" s="619"/>
      <c r="B162" s="620"/>
      <c r="C162" s="624"/>
      <c r="D162" s="624"/>
      <c r="E162" s="3"/>
      <c r="F162" s="274"/>
      <c r="G162" s="274"/>
      <c r="H162" s="8"/>
      <c r="I162" s="5"/>
      <c r="J162" s="411">
        <f t="shared" si="8"/>
        <v>0</v>
      </c>
      <c r="K162" s="2"/>
      <c r="L162" s="8"/>
      <c r="M162" s="7"/>
      <c r="N162" s="9" t="str">
        <f t="shared" si="9"/>
        <v/>
      </c>
      <c r="O162" s="20"/>
      <c r="Q162" s="637">
        <f t="shared" si="10"/>
        <v>0</v>
      </c>
      <c r="R162" s="637">
        <f t="shared" si="11"/>
        <v>0</v>
      </c>
    </row>
    <row r="163" spans="1:18">
      <c r="A163" s="619"/>
      <c r="B163" s="620"/>
      <c r="C163" s="624"/>
      <c r="D163" s="624"/>
      <c r="E163" s="3"/>
      <c r="F163" s="274"/>
      <c r="G163" s="274"/>
      <c r="H163" s="8"/>
      <c r="I163" s="5"/>
      <c r="J163" s="411">
        <f t="shared" si="8"/>
        <v>0</v>
      </c>
      <c r="K163" s="2"/>
      <c r="L163" s="8"/>
      <c r="M163" s="7"/>
      <c r="N163" s="9" t="str">
        <f t="shared" si="9"/>
        <v/>
      </c>
      <c r="O163" s="20"/>
      <c r="Q163" s="637">
        <f t="shared" si="10"/>
        <v>0</v>
      </c>
      <c r="R163" s="637">
        <f t="shared" si="11"/>
        <v>0</v>
      </c>
    </row>
    <row r="164" spans="1:18">
      <c r="A164" s="619"/>
      <c r="B164" s="620"/>
      <c r="C164" s="624"/>
      <c r="D164" s="624"/>
      <c r="E164" s="3"/>
      <c r="F164" s="274"/>
      <c r="G164" s="274"/>
      <c r="H164" s="8"/>
      <c r="I164" s="5"/>
      <c r="J164" s="411">
        <f t="shared" si="8"/>
        <v>0</v>
      </c>
      <c r="K164" s="2"/>
      <c r="L164" s="8"/>
      <c r="M164" s="7"/>
      <c r="N164" s="9" t="str">
        <f t="shared" si="9"/>
        <v/>
      </c>
      <c r="O164" s="20"/>
      <c r="Q164" s="637">
        <f t="shared" si="10"/>
        <v>0</v>
      </c>
      <c r="R164" s="637">
        <f t="shared" si="11"/>
        <v>0</v>
      </c>
    </row>
    <row r="165" spans="1:18">
      <c r="A165" s="619"/>
      <c r="B165" s="620"/>
      <c r="C165" s="624"/>
      <c r="D165" s="624"/>
      <c r="E165" s="3"/>
      <c r="F165" s="274"/>
      <c r="G165" s="274"/>
      <c r="H165" s="8"/>
      <c r="I165" s="5"/>
      <c r="J165" s="411">
        <f t="shared" si="8"/>
        <v>0</v>
      </c>
      <c r="K165" s="2"/>
      <c r="L165" s="8"/>
      <c r="M165" s="7"/>
      <c r="N165" s="9" t="str">
        <f t="shared" si="9"/>
        <v/>
      </c>
      <c r="O165" s="20"/>
      <c r="Q165" s="637">
        <f t="shared" si="10"/>
        <v>0</v>
      </c>
      <c r="R165" s="637">
        <f t="shared" si="11"/>
        <v>0</v>
      </c>
    </row>
    <row r="166" spans="1:18">
      <c r="A166" s="619"/>
      <c r="B166" s="620"/>
      <c r="C166" s="624"/>
      <c r="D166" s="624"/>
      <c r="E166" s="3"/>
      <c r="F166" s="274"/>
      <c r="G166" s="274"/>
      <c r="H166" s="8"/>
      <c r="I166" s="5"/>
      <c r="J166" s="411">
        <f t="shared" si="8"/>
        <v>0</v>
      </c>
      <c r="K166" s="2"/>
      <c r="L166" s="8"/>
      <c r="M166" s="7"/>
      <c r="N166" s="9" t="str">
        <f t="shared" si="9"/>
        <v/>
      </c>
      <c r="O166" s="20"/>
      <c r="Q166" s="637">
        <f t="shared" si="10"/>
        <v>0</v>
      </c>
      <c r="R166" s="637">
        <f t="shared" si="11"/>
        <v>0</v>
      </c>
    </row>
    <row r="167" spans="1:18">
      <c r="A167" s="619"/>
      <c r="B167" s="620"/>
      <c r="C167" s="624"/>
      <c r="D167" s="624"/>
      <c r="E167" s="3"/>
      <c r="F167" s="274"/>
      <c r="G167" s="274"/>
      <c r="H167" s="8"/>
      <c r="I167" s="5"/>
      <c r="J167" s="411">
        <f t="shared" si="8"/>
        <v>0</v>
      </c>
      <c r="K167" s="2"/>
      <c r="L167" s="8"/>
      <c r="M167" s="7"/>
      <c r="N167" s="9" t="str">
        <f t="shared" si="9"/>
        <v/>
      </c>
      <c r="O167" s="20"/>
      <c r="Q167" s="637">
        <f t="shared" si="10"/>
        <v>0</v>
      </c>
      <c r="R167" s="637">
        <f t="shared" si="11"/>
        <v>0</v>
      </c>
    </row>
    <row r="168" spans="1:18">
      <c r="A168" s="619"/>
      <c r="B168" s="620"/>
      <c r="C168" s="624"/>
      <c r="D168" s="624"/>
      <c r="E168" s="3"/>
      <c r="F168" s="274"/>
      <c r="G168" s="274"/>
      <c r="H168" s="8"/>
      <c r="I168" s="5"/>
      <c r="J168" s="411">
        <f t="shared" si="8"/>
        <v>0</v>
      </c>
      <c r="K168" s="2"/>
      <c r="L168" s="8"/>
      <c r="M168" s="7"/>
      <c r="N168" s="9" t="str">
        <f t="shared" si="9"/>
        <v/>
      </c>
      <c r="O168" s="20"/>
      <c r="Q168" s="637">
        <f t="shared" si="10"/>
        <v>0</v>
      </c>
      <c r="R168" s="637">
        <f t="shared" si="11"/>
        <v>0</v>
      </c>
    </row>
    <row r="169" spans="1:18">
      <c r="A169" s="619"/>
      <c r="B169" s="620"/>
      <c r="C169" s="624"/>
      <c r="D169" s="624"/>
      <c r="E169" s="3"/>
      <c r="F169" s="274"/>
      <c r="G169" s="274"/>
      <c r="H169" s="8"/>
      <c r="I169" s="5"/>
      <c r="J169" s="411">
        <f t="shared" si="8"/>
        <v>0</v>
      </c>
      <c r="K169" s="2"/>
      <c r="L169" s="8"/>
      <c r="M169" s="7"/>
      <c r="N169" s="9" t="str">
        <f t="shared" si="9"/>
        <v/>
      </c>
      <c r="O169" s="20"/>
      <c r="Q169" s="637">
        <f t="shared" si="10"/>
        <v>0</v>
      </c>
      <c r="R169" s="637">
        <f t="shared" si="11"/>
        <v>0</v>
      </c>
    </row>
    <row r="170" spans="1:18">
      <c r="A170" s="619"/>
      <c r="B170" s="620"/>
      <c r="C170" s="624"/>
      <c r="D170" s="624"/>
      <c r="E170" s="3"/>
      <c r="F170" s="274"/>
      <c r="G170" s="274"/>
      <c r="H170" s="8"/>
      <c r="I170" s="5"/>
      <c r="J170" s="411">
        <f t="shared" si="8"/>
        <v>0</v>
      </c>
      <c r="K170" s="2"/>
      <c r="L170" s="8"/>
      <c r="M170" s="7"/>
      <c r="N170" s="9" t="str">
        <f t="shared" si="9"/>
        <v/>
      </c>
      <c r="O170" s="20"/>
      <c r="Q170" s="637">
        <f t="shared" si="10"/>
        <v>0</v>
      </c>
      <c r="R170" s="637">
        <f t="shared" si="11"/>
        <v>0</v>
      </c>
    </row>
    <row r="171" spans="1:18">
      <c r="A171" s="619"/>
      <c r="B171" s="620"/>
      <c r="C171" s="624"/>
      <c r="D171" s="624"/>
      <c r="E171" s="3"/>
      <c r="F171" s="274"/>
      <c r="G171" s="274"/>
      <c r="H171" s="8"/>
      <c r="I171" s="5"/>
      <c r="J171" s="411">
        <f t="shared" si="8"/>
        <v>0</v>
      </c>
      <c r="K171" s="2"/>
      <c r="L171" s="8"/>
      <c r="M171" s="7"/>
      <c r="N171" s="9" t="str">
        <f t="shared" si="9"/>
        <v/>
      </c>
      <c r="O171" s="20"/>
      <c r="Q171" s="637">
        <f t="shared" si="10"/>
        <v>0</v>
      </c>
      <c r="R171" s="637">
        <f t="shared" si="11"/>
        <v>0</v>
      </c>
    </row>
    <row r="172" spans="1:18">
      <c r="A172" s="619"/>
      <c r="B172" s="620"/>
      <c r="C172" s="624"/>
      <c r="D172" s="624"/>
      <c r="E172" s="3"/>
      <c r="F172" s="274"/>
      <c r="G172" s="274"/>
      <c r="H172" s="8"/>
      <c r="I172" s="5"/>
      <c r="J172" s="411">
        <f t="shared" si="8"/>
        <v>0</v>
      </c>
      <c r="K172" s="2"/>
      <c r="L172" s="8"/>
      <c r="M172" s="7"/>
      <c r="N172" s="9" t="str">
        <f t="shared" si="9"/>
        <v/>
      </c>
      <c r="O172" s="20"/>
      <c r="Q172" s="637">
        <f t="shared" si="10"/>
        <v>0</v>
      </c>
      <c r="R172" s="637">
        <f t="shared" si="11"/>
        <v>0</v>
      </c>
    </row>
    <row r="173" spans="1:18">
      <c r="A173" s="619"/>
      <c r="B173" s="620"/>
      <c r="C173" s="624"/>
      <c r="D173" s="624"/>
      <c r="E173" s="3"/>
      <c r="F173" s="274"/>
      <c r="G173" s="274"/>
      <c r="H173" s="8"/>
      <c r="I173" s="5"/>
      <c r="J173" s="411">
        <f t="shared" si="8"/>
        <v>0</v>
      </c>
      <c r="K173" s="2"/>
      <c r="L173" s="8"/>
      <c r="M173" s="7"/>
      <c r="N173" s="9" t="str">
        <f t="shared" si="9"/>
        <v/>
      </c>
      <c r="O173" s="20"/>
      <c r="Q173" s="637">
        <f t="shared" si="10"/>
        <v>0</v>
      </c>
      <c r="R173" s="637">
        <f t="shared" si="11"/>
        <v>0</v>
      </c>
    </row>
    <row r="174" spans="1:18">
      <c r="A174" s="619"/>
      <c r="B174" s="620"/>
      <c r="C174" s="624"/>
      <c r="D174" s="624"/>
      <c r="E174" s="3"/>
      <c r="F174" s="274"/>
      <c r="G174" s="274"/>
      <c r="H174" s="8"/>
      <c r="I174" s="5"/>
      <c r="J174" s="411">
        <f t="shared" si="8"/>
        <v>0</v>
      </c>
      <c r="K174" s="2"/>
      <c r="L174" s="8"/>
      <c r="M174" s="7"/>
      <c r="N174" s="9" t="str">
        <f t="shared" si="9"/>
        <v/>
      </c>
      <c r="O174" s="20"/>
      <c r="Q174" s="637">
        <f t="shared" si="10"/>
        <v>0</v>
      </c>
      <c r="R174" s="637">
        <f t="shared" si="11"/>
        <v>0</v>
      </c>
    </row>
    <row r="175" spans="1:18">
      <c r="A175" s="619"/>
      <c r="B175" s="620"/>
      <c r="C175" s="624"/>
      <c r="D175" s="624"/>
      <c r="E175" s="3"/>
      <c r="F175" s="274"/>
      <c r="G175" s="274"/>
      <c r="H175" s="8"/>
      <c r="I175" s="5"/>
      <c r="J175" s="411">
        <f t="shared" si="8"/>
        <v>0</v>
      </c>
      <c r="K175" s="2"/>
      <c r="L175" s="8"/>
      <c r="M175" s="7"/>
      <c r="N175" s="9" t="str">
        <f t="shared" si="9"/>
        <v/>
      </c>
      <c r="O175" s="20"/>
      <c r="Q175" s="637">
        <f t="shared" si="10"/>
        <v>0</v>
      </c>
      <c r="R175" s="637">
        <f t="shared" si="11"/>
        <v>0</v>
      </c>
    </row>
    <row r="176" spans="1:18">
      <c r="A176" s="619"/>
      <c r="B176" s="620"/>
      <c r="C176" s="624"/>
      <c r="D176" s="624"/>
      <c r="E176" s="3"/>
      <c r="F176" s="274"/>
      <c r="G176" s="274"/>
      <c r="H176" s="8"/>
      <c r="I176" s="5"/>
      <c r="J176" s="411">
        <f t="shared" si="8"/>
        <v>0</v>
      </c>
      <c r="K176" s="2"/>
      <c r="L176" s="8"/>
      <c r="M176" s="7"/>
      <c r="N176" s="9" t="str">
        <f t="shared" si="9"/>
        <v/>
      </c>
      <c r="O176" s="20"/>
      <c r="Q176" s="637">
        <f t="shared" si="10"/>
        <v>0</v>
      </c>
      <c r="R176" s="637">
        <f t="shared" si="11"/>
        <v>0</v>
      </c>
    </row>
    <row r="177" spans="1:18">
      <c r="A177" s="619"/>
      <c r="B177" s="620"/>
      <c r="C177" s="624"/>
      <c r="D177" s="624"/>
      <c r="E177" s="3"/>
      <c r="F177" s="274"/>
      <c r="G177" s="274"/>
      <c r="H177" s="8"/>
      <c r="I177" s="5"/>
      <c r="J177" s="411">
        <f t="shared" si="8"/>
        <v>0</v>
      </c>
      <c r="K177" s="2"/>
      <c r="L177" s="8"/>
      <c r="M177" s="7"/>
      <c r="N177" s="9" t="str">
        <f t="shared" si="9"/>
        <v/>
      </c>
      <c r="O177" s="20"/>
      <c r="Q177" s="637">
        <f t="shared" si="10"/>
        <v>0</v>
      </c>
      <c r="R177" s="637">
        <f t="shared" si="11"/>
        <v>0</v>
      </c>
    </row>
    <row r="178" spans="1:18">
      <c r="A178" s="619"/>
      <c r="B178" s="620"/>
      <c r="C178" s="624"/>
      <c r="D178" s="624"/>
      <c r="E178" s="3"/>
      <c r="F178" s="274"/>
      <c r="G178" s="274"/>
      <c r="H178" s="8"/>
      <c r="I178" s="5"/>
      <c r="J178" s="411">
        <f t="shared" si="8"/>
        <v>0</v>
      </c>
      <c r="K178" s="2"/>
      <c r="L178" s="8"/>
      <c r="M178" s="7"/>
      <c r="N178" s="9" t="str">
        <f t="shared" si="9"/>
        <v/>
      </c>
      <c r="O178" s="20"/>
      <c r="Q178" s="637">
        <f t="shared" si="10"/>
        <v>0</v>
      </c>
      <c r="R178" s="637">
        <f t="shared" si="11"/>
        <v>0</v>
      </c>
    </row>
    <row r="179" spans="1:18">
      <c r="A179" s="619"/>
      <c r="B179" s="620"/>
      <c r="C179" s="624"/>
      <c r="D179" s="624"/>
      <c r="E179" s="3"/>
      <c r="F179" s="274"/>
      <c r="G179" s="274"/>
      <c r="H179" s="8"/>
      <c r="I179" s="5"/>
      <c r="J179" s="411">
        <f t="shared" si="8"/>
        <v>0</v>
      </c>
      <c r="K179" s="2"/>
      <c r="L179" s="8"/>
      <c r="M179" s="7"/>
      <c r="N179" s="9" t="str">
        <f t="shared" si="9"/>
        <v/>
      </c>
      <c r="O179" s="20"/>
      <c r="Q179" s="637">
        <f t="shared" si="10"/>
        <v>0</v>
      </c>
      <c r="R179" s="637">
        <f t="shared" si="11"/>
        <v>0</v>
      </c>
    </row>
    <row r="180" spans="1:18">
      <c r="A180" s="619"/>
      <c r="B180" s="620"/>
      <c r="C180" s="624"/>
      <c r="D180" s="624"/>
      <c r="E180" s="3"/>
      <c r="F180" s="274"/>
      <c r="G180" s="274"/>
      <c r="H180" s="8"/>
      <c r="I180" s="5"/>
      <c r="J180" s="411">
        <f t="shared" si="8"/>
        <v>0</v>
      </c>
      <c r="K180" s="2"/>
      <c r="L180" s="8"/>
      <c r="M180" s="7"/>
      <c r="N180" s="9" t="str">
        <f t="shared" si="9"/>
        <v/>
      </c>
      <c r="O180" s="20"/>
      <c r="Q180" s="637">
        <f t="shared" si="10"/>
        <v>0</v>
      </c>
      <c r="R180" s="637">
        <f t="shared" si="11"/>
        <v>0</v>
      </c>
    </row>
    <row r="181" spans="1:18">
      <c r="A181" s="619"/>
      <c r="B181" s="620"/>
      <c r="C181" s="624"/>
      <c r="D181" s="624"/>
      <c r="E181" s="3"/>
      <c r="F181" s="274"/>
      <c r="G181" s="274"/>
      <c r="H181" s="8"/>
      <c r="I181" s="5"/>
      <c r="J181" s="411">
        <f t="shared" si="8"/>
        <v>0</v>
      </c>
      <c r="K181" s="2"/>
      <c r="L181" s="8"/>
      <c r="M181" s="7"/>
      <c r="N181" s="9" t="str">
        <f t="shared" si="9"/>
        <v/>
      </c>
      <c r="O181" s="20"/>
      <c r="Q181" s="637">
        <f t="shared" si="10"/>
        <v>0</v>
      </c>
      <c r="R181" s="637">
        <f t="shared" si="11"/>
        <v>0</v>
      </c>
    </row>
    <row r="182" spans="1:18">
      <c r="A182" s="619"/>
      <c r="B182" s="620"/>
      <c r="C182" s="624"/>
      <c r="D182" s="624"/>
      <c r="E182" s="3"/>
      <c r="F182" s="274"/>
      <c r="G182" s="274"/>
      <c r="H182" s="8"/>
      <c r="I182" s="5"/>
      <c r="J182" s="411">
        <f t="shared" si="8"/>
        <v>0</v>
      </c>
      <c r="K182" s="2"/>
      <c r="L182" s="8"/>
      <c r="M182" s="7"/>
      <c r="N182" s="9" t="str">
        <f t="shared" si="9"/>
        <v/>
      </c>
      <c r="O182" s="20"/>
      <c r="Q182" s="637">
        <f t="shared" si="10"/>
        <v>0</v>
      </c>
      <c r="R182" s="637">
        <f t="shared" si="11"/>
        <v>0</v>
      </c>
    </row>
    <row r="183" spans="1:18">
      <c r="A183" s="619"/>
      <c r="B183" s="620"/>
      <c r="C183" s="624"/>
      <c r="D183" s="624"/>
      <c r="E183" s="3"/>
      <c r="F183" s="274"/>
      <c r="G183" s="274"/>
      <c r="H183" s="8"/>
      <c r="I183" s="5"/>
      <c r="J183" s="411">
        <f t="shared" si="8"/>
        <v>0</v>
      </c>
      <c r="K183" s="2"/>
      <c r="L183" s="8"/>
      <c r="M183" s="7"/>
      <c r="N183" s="9" t="str">
        <f t="shared" si="9"/>
        <v/>
      </c>
      <c r="O183" s="20"/>
      <c r="Q183" s="637">
        <f t="shared" si="10"/>
        <v>0</v>
      </c>
      <c r="R183" s="637">
        <f t="shared" si="11"/>
        <v>0</v>
      </c>
    </row>
    <row r="184" spans="1:18">
      <c r="A184" s="619"/>
      <c r="B184" s="620"/>
      <c r="C184" s="624"/>
      <c r="D184" s="624"/>
      <c r="E184" s="3"/>
      <c r="F184" s="274"/>
      <c r="G184" s="274"/>
      <c r="H184" s="8"/>
      <c r="I184" s="5"/>
      <c r="J184" s="411">
        <f t="shared" si="8"/>
        <v>0</v>
      </c>
      <c r="K184" s="2"/>
      <c r="L184" s="8"/>
      <c r="M184" s="7"/>
      <c r="N184" s="9" t="str">
        <f t="shared" si="9"/>
        <v/>
      </c>
      <c r="O184" s="20"/>
      <c r="Q184" s="637">
        <f t="shared" si="10"/>
        <v>0</v>
      </c>
      <c r="R184" s="637">
        <f t="shared" si="11"/>
        <v>0</v>
      </c>
    </row>
    <row r="185" spans="1:18">
      <c r="A185" s="619"/>
      <c r="B185" s="620"/>
      <c r="C185" s="623"/>
      <c r="D185" s="624"/>
      <c r="E185" s="3"/>
      <c r="F185" s="274"/>
      <c r="G185" s="274"/>
      <c r="H185" s="8"/>
      <c r="I185" s="5"/>
      <c r="J185" s="411">
        <f t="shared" si="8"/>
        <v>0</v>
      </c>
      <c r="K185" s="2"/>
      <c r="L185" s="8"/>
      <c r="M185" s="7"/>
      <c r="N185" s="9" t="str">
        <f t="shared" si="9"/>
        <v/>
      </c>
      <c r="O185" s="20"/>
      <c r="Q185" s="637">
        <f t="shared" si="10"/>
        <v>0</v>
      </c>
      <c r="R185" s="637">
        <f t="shared" si="11"/>
        <v>0</v>
      </c>
    </row>
    <row r="186" spans="1:18">
      <c r="A186" s="619"/>
      <c r="B186" s="620"/>
      <c r="C186" s="624"/>
      <c r="D186" s="624"/>
      <c r="E186" s="3"/>
      <c r="F186" s="274"/>
      <c r="G186" s="274"/>
      <c r="H186" s="8"/>
      <c r="I186" s="5"/>
      <c r="J186" s="411">
        <f t="shared" si="8"/>
        <v>0</v>
      </c>
      <c r="K186" s="2"/>
      <c r="L186" s="8"/>
      <c r="M186" s="7"/>
      <c r="N186" s="9" t="str">
        <f t="shared" si="9"/>
        <v/>
      </c>
      <c r="O186" s="20"/>
      <c r="Q186" s="637">
        <f t="shared" si="10"/>
        <v>0</v>
      </c>
      <c r="R186" s="637">
        <f t="shared" si="11"/>
        <v>0</v>
      </c>
    </row>
    <row r="187" spans="1:18">
      <c r="A187" s="619"/>
      <c r="B187" s="620"/>
      <c r="C187" s="624"/>
      <c r="D187" s="624"/>
      <c r="E187" s="3"/>
      <c r="F187" s="274"/>
      <c r="G187" s="274"/>
      <c r="H187" s="8"/>
      <c r="I187" s="5"/>
      <c r="J187" s="411">
        <f t="shared" si="8"/>
        <v>0</v>
      </c>
      <c r="K187" s="2"/>
      <c r="L187" s="8"/>
      <c r="M187" s="7"/>
      <c r="N187" s="9" t="str">
        <f t="shared" si="9"/>
        <v/>
      </c>
      <c r="O187" s="20"/>
      <c r="Q187" s="637">
        <f t="shared" si="10"/>
        <v>0</v>
      </c>
      <c r="R187" s="637">
        <f t="shared" si="11"/>
        <v>0</v>
      </c>
    </row>
    <row r="188" spans="1:18">
      <c r="A188" s="619"/>
      <c r="B188" s="620"/>
      <c r="C188" s="624"/>
      <c r="D188" s="624"/>
      <c r="E188" s="3"/>
      <c r="F188" s="274"/>
      <c r="G188" s="274"/>
      <c r="H188" s="8"/>
      <c r="I188" s="5"/>
      <c r="J188" s="411">
        <f t="shared" si="8"/>
        <v>0</v>
      </c>
      <c r="K188" s="2"/>
      <c r="L188" s="8"/>
      <c r="M188" s="7"/>
      <c r="N188" s="9" t="str">
        <f t="shared" si="9"/>
        <v/>
      </c>
      <c r="O188" s="20"/>
      <c r="Q188" s="637">
        <f t="shared" si="10"/>
        <v>0</v>
      </c>
      <c r="R188" s="637">
        <f t="shared" si="11"/>
        <v>0</v>
      </c>
    </row>
    <row r="189" spans="1:18">
      <c r="A189" s="619"/>
      <c r="B189" s="620"/>
      <c r="C189" s="624"/>
      <c r="D189" s="624"/>
      <c r="E189" s="3"/>
      <c r="F189" s="274"/>
      <c r="G189" s="274"/>
      <c r="H189" s="8"/>
      <c r="I189" s="5"/>
      <c r="J189" s="411">
        <f t="shared" si="8"/>
        <v>0</v>
      </c>
      <c r="K189" s="2"/>
      <c r="L189" s="8"/>
      <c r="M189" s="7"/>
      <c r="N189" s="9" t="str">
        <f t="shared" si="9"/>
        <v/>
      </c>
      <c r="O189" s="20"/>
      <c r="Q189" s="637">
        <f t="shared" si="10"/>
        <v>0</v>
      </c>
      <c r="R189" s="637">
        <f t="shared" si="11"/>
        <v>0</v>
      </c>
    </row>
    <row r="190" spans="1:18">
      <c r="A190" s="619"/>
      <c r="B190" s="620"/>
      <c r="C190" s="624"/>
      <c r="D190" s="624"/>
      <c r="E190" s="3"/>
      <c r="F190" s="274"/>
      <c r="G190" s="274"/>
      <c r="H190" s="8"/>
      <c r="I190" s="5"/>
      <c r="J190" s="411">
        <f t="shared" si="8"/>
        <v>0</v>
      </c>
      <c r="K190" s="2"/>
      <c r="L190" s="8"/>
      <c r="M190" s="7"/>
      <c r="N190" s="9" t="str">
        <f t="shared" si="9"/>
        <v/>
      </c>
      <c r="O190" s="20"/>
      <c r="Q190" s="637">
        <f t="shared" si="10"/>
        <v>0</v>
      </c>
      <c r="R190" s="637">
        <f t="shared" si="11"/>
        <v>0</v>
      </c>
    </row>
    <row r="191" spans="1:18">
      <c r="A191" s="619"/>
      <c r="B191" s="620"/>
      <c r="C191" s="624"/>
      <c r="D191" s="624"/>
      <c r="E191" s="3"/>
      <c r="F191" s="274"/>
      <c r="G191" s="274"/>
      <c r="H191" s="8"/>
      <c r="I191" s="5"/>
      <c r="J191" s="411">
        <f t="shared" si="8"/>
        <v>0</v>
      </c>
      <c r="K191" s="2"/>
      <c r="L191" s="8"/>
      <c r="M191" s="7"/>
      <c r="N191" s="9" t="str">
        <f t="shared" si="9"/>
        <v/>
      </c>
      <c r="O191" s="20"/>
      <c r="Q191" s="637">
        <f t="shared" si="10"/>
        <v>0</v>
      </c>
      <c r="R191" s="637">
        <f t="shared" si="11"/>
        <v>0</v>
      </c>
    </row>
    <row r="192" spans="1:18">
      <c r="A192" s="619"/>
      <c r="B192" s="620"/>
      <c r="C192" s="624"/>
      <c r="D192" s="624"/>
      <c r="E192" s="3"/>
      <c r="F192" s="274"/>
      <c r="G192" s="274"/>
      <c r="H192" s="8"/>
      <c r="I192" s="5"/>
      <c r="J192" s="411">
        <f t="shared" si="8"/>
        <v>0</v>
      </c>
      <c r="K192" s="2"/>
      <c r="L192" s="8"/>
      <c r="M192" s="7"/>
      <c r="N192" s="9" t="str">
        <f t="shared" si="9"/>
        <v/>
      </c>
      <c r="O192" s="20"/>
      <c r="Q192" s="637">
        <f t="shared" si="10"/>
        <v>0</v>
      </c>
      <c r="R192" s="637">
        <f t="shared" si="11"/>
        <v>0</v>
      </c>
    </row>
    <row r="193" spans="1:18">
      <c r="A193" s="619"/>
      <c r="B193" s="620"/>
      <c r="C193" s="624"/>
      <c r="D193" s="624"/>
      <c r="E193" s="3"/>
      <c r="F193" s="274"/>
      <c r="G193" s="274"/>
      <c r="H193" s="8"/>
      <c r="I193" s="5"/>
      <c r="J193" s="411">
        <f t="shared" si="8"/>
        <v>0</v>
      </c>
      <c r="K193" s="2"/>
      <c r="L193" s="8"/>
      <c r="M193" s="7"/>
      <c r="N193" s="9" t="str">
        <f t="shared" si="9"/>
        <v/>
      </c>
      <c r="O193" s="20"/>
      <c r="Q193" s="637">
        <f t="shared" si="10"/>
        <v>0</v>
      </c>
      <c r="R193" s="637">
        <f t="shared" si="11"/>
        <v>0</v>
      </c>
    </row>
    <row r="194" spans="1:18">
      <c r="A194" s="619"/>
      <c r="B194" s="620"/>
      <c r="C194" s="624"/>
      <c r="D194" s="624"/>
      <c r="E194" s="3"/>
      <c r="F194" s="274"/>
      <c r="G194" s="274"/>
      <c r="H194" s="8"/>
      <c r="I194" s="5"/>
      <c r="J194" s="411">
        <f t="shared" si="8"/>
        <v>0</v>
      </c>
      <c r="K194" s="2"/>
      <c r="L194" s="8"/>
      <c r="M194" s="7"/>
      <c r="N194" s="9" t="str">
        <f t="shared" si="9"/>
        <v/>
      </c>
      <c r="O194" s="20"/>
      <c r="Q194" s="637">
        <f t="shared" si="10"/>
        <v>0</v>
      </c>
      <c r="R194" s="637">
        <f t="shared" si="11"/>
        <v>0</v>
      </c>
    </row>
    <row r="195" spans="1:18">
      <c r="A195" s="619"/>
      <c r="B195" s="620"/>
      <c r="C195" s="624"/>
      <c r="D195" s="624"/>
      <c r="E195" s="3"/>
      <c r="F195" s="274"/>
      <c r="G195" s="274"/>
      <c r="H195" s="8"/>
      <c r="I195" s="5"/>
      <c r="J195" s="411">
        <f t="shared" si="8"/>
        <v>0</v>
      </c>
      <c r="K195" s="2"/>
      <c r="L195" s="8"/>
      <c r="M195" s="7"/>
      <c r="N195" s="9" t="str">
        <f t="shared" si="9"/>
        <v/>
      </c>
      <c r="O195" s="20"/>
      <c r="Q195" s="637">
        <f t="shared" si="10"/>
        <v>0</v>
      </c>
      <c r="R195" s="637">
        <f t="shared" si="11"/>
        <v>0</v>
      </c>
    </row>
    <row r="196" spans="1:18">
      <c r="A196" s="619"/>
      <c r="B196" s="620"/>
      <c r="C196" s="624"/>
      <c r="D196" s="624"/>
      <c r="E196" s="3"/>
      <c r="F196" s="274"/>
      <c r="G196" s="274"/>
      <c r="H196" s="8"/>
      <c r="I196" s="5"/>
      <c r="J196" s="411">
        <f t="shared" si="8"/>
        <v>0</v>
      </c>
      <c r="K196" s="2"/>
      <c r="L196" s="8"/>
      <c r="M196" s="7"/>
      <c r="N196" s="9" t="str">
        <f t="shared" si="9"/>
        <v/>
      </c>
      <c r="O196" s="20"/>
      <c r="Q196" s="637">
        <f t="shared" si="10"/>
        <v>0</v>
      </c>
      <c r="R196" s="637">
        <f t="shared" si="11"/>
        <v>0</v>
      </c>
    </row>
    <row r="197" spans="1:18">
      <c r="A197" s="619"/>
      <c r="B197" s="620"/>
      <c r="C197" s="624"/>
      <c r="D197" s="624"/>
      <c r="E197" s="3"/>
      <c r="F197" s="274"/>
      <c r="G197" s="274"/>
      <c r="H197" s="8"/>
      <c r="I197" s="5"/>
      <c r="J197" s="411">
        <f t="shared" si="8"/>
        <v>0</v>
      </c>
      <c r="K197" s="2"/>
      <c r="L197" s="8"/>
      <c r="M197" s="7"/>
      <c r="N197" s="9" t="str">
        <f t="shared" si="9"/>
        <v/>
      </c>
      <c r="O197" s="20"/>
      <c r="Q197" s="637">
        <f t="shared" si="10"/>
        <v>0</v>
      </c>
      <c r="R197" s="637">
        <f t="shared" si="11"/>
        <v>0</v>
      </c>
    </row>
    <row r="198" spans="1:18">
      <c r="A198" s="619"/>
      <c r="B198" s="620"/>
      <c r="C198" s="624"/>
      <c r="D198" s="624"/>
      <c r="E198" s="3"/>
      <c r="F198" s="274"/>
      <c r="G198" s="274"/>
      <c r="H198" s="8"/>
      <c r="I198" s="5"/>
      <c r="J198" s="411">
        <f t="shared" ref="J198:J261" si="12">(+F198*G198+H198*I198)*E198</f>
        <v>0</v>
      </c>
      <c r="K198" s="2"/>
      <c r="L198" s="8"/>
      <c r="M198" s="7"/>
      <c r="N198" s="9" t="str">
        <f t="shared" ref="N198:N261" si="13">IF(K198=0,"",L198*M198*E198)</f>
        <v/>
      </c>
      <c r="O198" s="20"/>
      <c r="Q198" s="637">
        <f t="shared" ref="Q198:Q261" si="14">F198*G198*E198</f>
        <v>0</v>
      </c>
      <c r="R198" s="637">
        <f t="shared" ref="R198:R261" si="15">H198*E198*I198</f>
        <v>0</v>
      </c>
    </row>
    <row r="199" spans="1:18">
      <c r="A199" s="619"/>
      <c r="B199" s="620"/>
      <c r="C199" s="624"/>
      <c r="D199" s="624"/>
      <c r="E199" s="3"/>
      <c r="F199" s="274"/>
      <c r="G199" s="274"/>
      <c r="H199" s="8"/>
      <c r="I199" s="5"/>
      <c r="J199" s="411">
        <f t="shared" si="12"/>
        <v>0</v>
      </c>
      <c r="K199" s="2"/>
      <c r="L199" s="8"/>
      <c r="M199" s="7"/>
      <c r="N199" s="9" t="str">
        <f t="shared" si="13"/>
        <v/>
      </c>
      <c r="O199" s="20"/>
      <c r="Q199" s="637">
        <f t="shared" si="14"/>
        <v>0</v>
      </c>
      <c r="R199" s="637">
        <f t="shared" si="15"/>
        <v>0</v>
      </c>
    </row>
    <row r="200" spans="1:18">
      <c r="A200" s="619"/>
      <c r="B200" s="620"/>
      <c r="C200" s="624"/>
      <c r="D200" s="624"/>
      <c r="E200" s="3"/>
      <c r="F200" s="274"/>
      <c r="G200" s="274"/>
      <c r="H200" s="8"/>
      <c r="I200" s="5"/>
      <c r="J200" s="411">
        <f t="shared" si="12"/>
        <v>0</v>
      </c>
      <c r="K200" s="2"/>
      <c r="L200" s="8"/>
      <c r="M200" s="7"/>
      <c r="N200" s="9" t="str">
        <f t="shared" si="13"/>
        <v/>
      </c>
      <c r="O200" s="20"/>
      <c r="Q200" s="637">
        <f t="shared" si="14"/>
        <v>0</v>
      </c>
      <c r="R200" s="637">
        <f t="shared" si="15"/>
        <v>0</v>
      </c>
    </row>
    <row r="201" spans="1:18">
      <c r="A201" s="619"/>
      <c r="B201" s="620"/>
      <c r="C201" s="624"/>
      <c r="D201" s="624"/>
      <c r="E201" s="3"/>
      <c r="F201" s="274"/>
      <c r="G201" s="274"/>
      <c r="H201" s="8"/>
      <c r="I201" s="5"/>
      <c r="J201" s="411">
        <f t="shared" si="12"/>
        <v>0</v>
      </c>
      <c r="K201" s="2"/>
      <c r="L201" s="8"/>
      <c r="M201" s="7"/>
      <c r="N201" s="9" t="str">
        <f t="shared" si="13"/>
        <v/>
      </c>
      <c r="O201" s="20"/>
      <c r="Q201" s="637">
        <f t="shared" si="14"/>
        <v>0</v>
      </c>
      <c r="R201" s="637">
        <f t="shared" si="15"/>
        <v>0</v>
      </c>
    </row>
    <row r="202" spans="1:18">
      <c r="A202" s="619"/>
      <c r="B202" s="620"/>
      <c r="C202" s="624"/>
      <c r="D202" s="624"/>
      <c r="E202" s="3"/>
      <c r="F202" s="274"/>
      <c r="G202" s="274"/>
      <c r="H202" s="8"/>
      <c r="I202" s="5"/>
      <c r="J202" s="411">
        <f t="shared" si="12"/>
        <v>0</v>
      </c>
      <c r="K202" s="2"/>
      <c r="L202" s="8"/>
      <c r="M202" s="7"/>
      <c r="N202" s="9" t="str">
        <f t="shared" si="13"/>
        <v/>
      </c>
      <c r="O202" s="20"/>
      <c r="Q202" s="637">
        <f t="shared" si="14"/>
        <v>0</v>
      </c>
      <c r="R202" s="637">
        <f t="shared" si="15"/>
        <v>0</v>
      </c>
    </row>
    <row r="203" spans="1:18">
      <c r="A203" s="619"/>
      <c r="B203" s="620"/>
      <c r="C203" s="624"/>
      <c r="D203" s="624"/>
      <c r="E203" s="3"/>
      <c r="F203" s="274"/>
      <c r="G203" s="274"/>
      <c r="H203" s="8"/>
      <c r="I203" s="5"/>
      <c r="J203" s="411">
        <f t="shared" si="12"/>
        <v>0</v>
      </c>
      <c r="K203" s="2"/>
      <c r="L203" s="8"/>
      <c r="M203" s="7"/>
      <c r="N203" s="9" t="str">
        <f t="shared" si="13"/>
        <v/>
      </c>
      <c r="O203" s="20"/>
      <c r="Q203" s="637">
        <f t="shared" si="14"/>
        <v>0</v>
      </c>
      <c r="R203" s="637">
        <f t="shared" si="15"/>
        <v>0</v>
      </c>
    </row>
    <row r="204" spans="1:18">
      <c r="A204" s="619"/>
      <c r="B204" s="620"/>
      <c r="C204" s="624"/>
      <c r="D204" s="624"/>
      <c r="E204" s="3"/>
      <c r="F204" s="274"/>
      <c r="G204" s="274"/>
      <c r="H204" s="8"/>
      <c r="I204" s="5"/>
      <c r="J204" s="411">
        <f t="shared" si="12"/>
        <v>0</v>
      </c>
      <c r="K204" s="2"/>
      <c r="L204" s="8"/>
      <c r="M204" s="7"/>
      <c r="N204" s="9" t="str">
        <f t="shared" si="13"/>
        <v/>
      </c>
      <c r="O204" s="20"/>
      <c r="Q204" s="637">
        <f t="shared" si="14"/>
        <v>0</v>
      </c>
      <c r="R204" s="637">
        <f t="shared" si="15"/>
        <v>0</v>
      </c>
    </row>
    <row r="205" spans="1:18">
      <c r="A205" s="619"/>
      <c r="B205" s="620"/>
      <c r="C205" s="624"/>
      <c r="D205" s="624"/>
      <c r="E205" s="3"/>
      <c r="F205" s="274"/>
      <c r="G205" s="274"/>
      <c r="H205" s="8"/>
      <c r="I205" s="5"/>
      <c r="J205" s="411">
        <f t="shared" si="12"/>
        <v>0</v>
      </c>
      <c r="K205" s="2"/>
      <c r="L205" s="8"/>
      <c r="M205" s="7"/>
      <c r="N205" s="9" t="str">
        <f t="shared" si="13"/>
        <v/>
      </c>
      <c r="O205" s="20"/>
      <c r="Q205" s="637">
        <f t="shared" si="14"/>
        <v>0</v>
      </c>
      <c r="R205" s="637">
        <f t="shared" si="15"/>
        <v>0</v>
      </c>
    </row>
    <row r="206" spans="1:18">
      <c r="A206" s="619"/>
      <c r="B206" s="620"/>
      <c r="C206" s="624"/>
      <c r="D206" s="624"/>
      <c r="E206" s="3"/>
      <c r="F206" s="274"/>
      <c r="G206" s="274"/>
      <c r="H206" s="8"/>
      <c r="I206" s="5"/>
      <c r="J206" s="411">
        <f t="shared" si="12"/>
        <v>0</v>
      </c>
      <c r="K206" s="2"/>
      <c r="L206" s="8"/>
      <c r="M206" s="7"/>
      <c r="N206" s="9" t="str">
        <f t="shared" si="13"/>
        <v/>
      </c>
      <c r="O206" s="20"/>
      <c r="Q206" s="637">
        <f t="shared" si="14"/>
        <v>0</v>
      </c>
      <c r="R206" s="637">
        <f t="shared" si="15"/>
        <v>0</v>
      </c>
    </row>
    <row r="207" spans="1:18">
      <c r="A207" s="619"/>
      <c r="B207" s="620"/>
      <c r="C207" s="624"/>
      <c r="D207" s="624"/>
      <c r="E207" s="3"/>
      <c r="F207" s="274"/>
      <c r="G207" s="274"/>
      <c r="H207" s="8"/>
      <c r="I207" s="5"/>
      <c r="J207" s="411">
        <f t="shared" si="12"/>
        <v>0</v>
      </c>
      <c r="K207" s="2"/>
      <c r="L207" s="8"/>
      <c r="M207" s="7"/>
      <c r="N207" s="9" t="str">
        <f t="shared" si="13"/>
        <v/>
      </c>
      <c r="O207" s="20"/>
      <c r="Q207" s="637">
        <f t="shared" si="14"/>
        <v>0</v>
      </c>
      <c r="R207" s="637">
        <f t="shared" si="15"/>
        <v>0</v>
      </c>
    </row>
    <row r="208" spans="1:18">
      <c r="A208" s="619"/>
      <c r="B208" s="620"/>
      <c r="C208" s="624"/>
      <c r="D208" s="624"/>
      <c r="E208" s="3"/>
      <c r="F208" s="274"/>
      <c r="G208" s="274"/>
      <c r="H208" s="8"/>
      <c r="I208" s="5"/>
      <c r="J208" s="411">
        <f t="shared" si="12"/>
        <v>0</v>
      </c>
      <c r="K208" s="2"/>
      <c r="L208" s="8"/>
      <c r="M208" s="7"/>
      <c r="N208" s="9" t="str">
        <f t="shared" si="13"/>
        <v/>
      </c>
      <c r="O208" s="20"/>
      <c r="Q208" s="637">
        <f t="shared" si="14"/>
        <v>0</v>
      </c>
      <c r="R208" s="637">
        <f t="shared" si="15"/>
        <v>0</v>
      </c>
    </row>
    <row r="209" spans="1:18">
      <c r="A209" s="619"/>
      <c r="B209" s="620"/>
      <c r="C209" s="624"/>
      <c r="D209" s="624"/>
      <c r="E209" s="3"/>
      <c r="F209" s="274"/>
      <c r="G209" s="274"/>
      <c r="H209" s="8"/>
      <c r="I209" s="5"/>
      <c r="J209" s="411">
        <f t="shared" si="12"/>
        <v>0</v>
      </c>
      <c r="K209" s="2"/>
      <c r="L209" s="8"/>
      <c r="M209" s="7"/>
      <c r="N209" s="9" t="str">
        <f t="shared" si="13"/>
        <v/>
      </c>
      <c r="O209" s="20"/>
      <c r="Q209" s="637">
        <f t="shared" si="14"/>
        <v>0</v>
      </c>
      <c r="R209" s="637">
        <f t="shared" si="15"/>
        <v>0</v>
      </c>
    </row>
    <row r="210" spans="1:18">
      <c r="A210" s="619"/>
      <c r="B210" s="620"/>
      <c r="C210" s="624"/>
      <c r="D210" s="624"/>
      <c r="E210" s="3"/>
      <c r="F210" s="274"/>
      <c r="G210" s="274"/>
      <c r="H210" s="8"/>
      <c r="I210" s="5"/>
      <c r="J210" s="411">
        <f t="shared" si="12"/>
        <v>0</v>
      </c>
      <c r="K210" s="2"/>
      <c r="L210" s="8"/>
      <c r="M210" s="7"/>
      <c r="N210" s="9" t="str">
        <f t="shared" si="13"/>
        <v/>
      </c>
      <c r="O210" s="20"/>
      <c r="Q210" s="637">
        <f t="shared" si="14"/>
        <v>0</v>
      </c>
      <c r="R210" s="637">
        <f t="shared" si="15"/>
        <v>0</v>
      </c>
    </row>
    <row r="211" spans="1:18">
      <c r="A211" s="619"/>
      <c r="B211" s="620"/>
      <c r="C211" s="624"/>
      <c r="D211" s="624"/>
      <c r="E211" s="3"/>
      <c r="F211" s="274"/>
      <c r="G211" s="274"/>
      <c r="H211" s="8"/>
      <c r="I211" s="5"/>
      <c r="J211" s="411">
        <f t="shared" si="12"/>
        <v>0</v>
      </c>
      <c r="K211" s="2"/>
      <c r="L211" s="8"/>
      <c r="M211" s="7"/>
      <c r="N211" s="9" t="str">
        <f t="shared" si="13"/>
        <v/>
      </c>
      <c r="O211" s="20"/>
      <c r="Q211" s="637">
        <f t="shared" si="14"/>
        <v>0</v>
      </c>
      <c r="R211" s="637">
        <f t="shared" si="15"/>
        <v>0</v>
      </c>
    </row>
    <row r="212" spans="1:18">
      <c r="A212" s="619"/>
      <c r="B212" s="620"/>
      <c r="C212" s="624"/>
      <c r="D212" s="624"/>
      <c r="E212" s="3"/>
      <c r="F212" s="274"/>
      <c r="G212" s="274"/>
      <c r="H212" s="8"/>
      <c r="I212" s="5"/>
      <c r="J212" s="411">
        <f t="shared" si="12"/>
        <v>0</v>
      </c>
      <c r="K212" s="2"/>
      <c r="L212" s="8"/>
      <c r="M212" s="7"/>
      <c r="N212" s="9" t="str">
        <f t="shared" si="13"/>
        <v/>
      </c>
      <c r="O212" s="20"/>
      <c r="Q212" s="637">
        <f t="shared" si="14"/>
        <v>0</v>
      </c>
      <c r="R212" s="637">
        <f t="shared" si="15"/>
        <v>0</v>
      </c>
    </row>
    <row r="213" spans="1:18">
      <c r="A213" s="619"/>
      <c r="B213" s="620"/>
      <c r="C213" s="624"/>
      <c r="D213" s="624"/>
      <c r="E213" s="3"/>
      <c r="F213" s="274"/>
      <c r="G213" s="274"/>
      <c r="H213" s="8"/>
      <c r="I213" s="5"/>
      <c r="J213" s="411">
        <f t="shared" si="12"/>
        <v>0</v>
      </c>
      <c r="K213" s="2"/>
      <c r="L213" s="8"/>
      <c r="M213" s="7"/>
      <c r="N213" s="9" t="str">
        <f t="shared" si="13"/>
        <v/>
      </c>
      <c r="O213" s="20"/>
      <c r="Q213" s="637">
        <f t="shared" si="14"/>
        <v>0</v>
      </c>
      <c r="R213" s="637">
        <f t="shared" si="15"/>
        <v>0</v>
      </c>
    </row>
    <row r="214" spans="1:18">
      <c r="A214" s="619"/>
      <c r="B214" s="620"/>
      <c r="C214" s="624"/>
      <c r="D214" s="624"/>
      <c r="E214" s="3"/>
      <c r="F214" s="274"/>
      <c r="G214" s="274"/>
      <c r="H214" s="8"/>
      <c r="I214" s="5"/>
      <c r="J214" s="411">
        <f t="shared" si="12"/>
        <v>0</v>
      </c>
      <c r="K214" s="2"/>
      <c r="L214" s="8"/>
      <c r="M214" s="7"/>
      <c r="N214" s="9" t="str">
        <f t="shared" si="13"/>
        <v/>
      </c>
      <c r="O214" s="20"/>
      <c r="Q214" s="637">
        <f t="shared" si="14"/>
        <v>0</v>
      </c>
      <c r="R214" s="637">
        <f t="shared" si="15"/>
        <v>0</v>
      </c>
    </row>
    <row r="215" spans="1:18">
      <c r="A215" s="619"/>
      <c r="B215" s="620"/>
      <c r="C215" s="624"/>
      <c r="D215" s="624"/>
      <c r="E215" s="3"/>
      <c r="F215" s="274"/>
      <c r="G215" s="274"/>
      <c r="H215" s="8"/>
      <c r="I215" s="5"/>
      <c r="J215" s="411">
        <f t="shared" si="12"/>
        <v>0</v>
      </c>
      <c r="K215" s="2"/>
      <c r="L215" s="8"/>
      <c r="M215" s="7"/>
      <c r="N215" s="9" t="str">
        <f t="shared" si="13"/>
        <v/>
      </c>
      <c r="O215" s="20"/>
      <c r="Q215" s="637">
        <f t="shared" si="14"/>
        <v>0</v>
      </c>
      <c r="R215" s="637">
        <f t="shared" si="15"/>
        <v>0</v>
      </c>
    </row>
    <row r="216" spans="1:18">
      <c r="A216" s="619"/>
      <c r="B216" s="620"/>
      <c r="C216" s="624"/>
      <c r="D216" s="624"/>
      <c r="E216" s="3"/>
      <c r="F216" s="274"/>
      <c r="G216" s="274"/>
      <c r="H216" s="8"/>
      <c r="I216" s="5"/>
      <c r="J216" s="411">
        <f t="shared" si="12"/>
        <v>0</v>
      </c>
      <c r="K216" s="2"/>
      <c r="L216" s="8"/>
      <c r="M216" s="7"/>
      <c r="N216" s="9" t="str">
        <f t="shared" si="13"/>
        <v/>
      </c>
      <c r="O216" s="20"/>
      <c r="Q216" s="637">
        <f t="shared" si="14"/>
        <v>0</v>
      </c>
      <c r="R216" s="637">
        <f t="shared" si="15"/>
        <v>0</v>
      </c>
    </row>
    <row r="217" spans="1:18">
      <c r="A217" s="619"/>
      <c r="B217" s="620"/>
      <c r="C217" s="624"/>
      <c r="D217" s="624"/>
      <c r="E217" s="3"/>
      <c r="F217" s="274"/>
      <c r="G217" s="274"/>
      <c r="H217" s="8"/>
      <c r="I217" s="5"/>
      <c r="J217" s="411">
        <f t="shared" si="12"/>
        <v>0</v>
      </c>
      <c r="K217" s="2"/>
      <c r="L217" s="8"/>
      <c r="M217" s="7"/>
      <c r="N217" s="9" t="str">
        <f t="shared" si="13"/>
        <v/>
      </c>
      <c r="O217" s="20"/>
      <c r="Q217" s="637">
        <f t="shared" si="14"/>
        <v>0</v>
      </c>
      <c r="R217" s="637">
        <f t="shared" si="15"/>
        <v>0</v>
      </c>
    </row>
    <row r="218" spans="1:18">
      <c r="A218" s="619"/>
      <c r="B218" s="620"/>
      <c r="C218" s="624"/>
      <c r="D218" s="624"/>
      <c r="E218" s="3"/>
      <c r="F218" s="274"/>
      <c r="G218" s="274"/>
      <c r="H218" s="8"/>
      <c r="I218" s="5"/>
      <c r="J218" s="411">
        <f t="shared" si="12"/>
        <v>0</v>
      </c>
      <c r="K218" s="2"/>
      <c r="L218" s="8"/>
      <c r="M218" s="7"/>
      <c r="N218" s="9" t="str">
        <f t="shared" si="13"/>
        <v/>
      </c>
      <c r="O218" s="20"/>
      <c r="Q218" s="637">
        <f t="shared" si="14"/>
        <v>0</v>
      </c>
      <c r="R218" s="637">
        <f t="shared" si="15"/>
        <v>0</v>
      </c>
    </row>
    <row r="219" spans="1:18">
      <c r="A219" s="619"/>
      <c r="B219" s="620"/>
      <c r="C219" s="624"/>
      <c r="D219" s="624"/>
      <c r="E219" s="3"/>
      <c r="F219" s="274"/>
      <c r="G219" s="274"/>
      <c r="H219" s="8"/>
      <c r="I219" s="5"/>
      <c r="J219" s="411">
        <f t="shared" si="12"/>
        <v>0</v>
      </c>
      <c r="K219" s="2"/>
      <c r="L219" s="8"/>
      <c r="M219" s="7"/>
      <c r="N219" s="9" t="str">
        <f t="shared" si="13"/>
        <v/>
      </c>
      <c r="O219" s="20"/>
      <c r="Q219" s="637">
        <f t="shared" si="14"/>
        <v>0</v>
      </c>
      <c r="R219" s="637">
        <f t="shared" si="15"/>
        <v>0</v>
      </c>
    </row>
    <row r="220" spans="1:18">
      <c r="A220" s="619"/>
      <c r="B220" s="620"/>
      <c r="C220" s="624"/>
      <c r="D220" s="624"/>
      <c r="E220" s="3"/>
      <c r="F220" s="274"/>
      <c r="G220" s="274"/>
      <c r="H220" s="8"/>
      <c r="I220" s="5"/>
      <c r="J220" s="411">
        <f t="shared" si="12"/>
        <v>0</v>
      </c>
      <c r="K220" s="2"/>
      <c r="L220" s="8"/>
      <c r="M220" s="7"/>
      <c r="N220" s="9" t="str">
        <f t="shared" si="13"/>
        <v/>
      </c>
      <c r="O220" s="20"/>
      <c r="Q220" s="637">
        <f t="shared" si="14"/>
        <v>0</v>
      </c>
      <c r="R220" s="637">
        <f t="shared" si="15"/>
        <v>0</v>
      </c>
    </row>
    <row r="221" spans="1:18">
      <c r="A221" s="619"/>
      <c r="B221" s="620"/>
      <c r="C221" s="624"/>
      <c r="D221" s="624"/>
      <c r="E221" s="3"/>
      <c r="F221" s="274"/>
      <c r="G221" s="274"/>
      <c r="H221" s="8"/>
      <c r="I221" s="5"/>
      <c r="J221" s="411">
        <f t="shared" si="12"/>
        <v>0</v>
      </c>
      <c r="K221" s="2"/>
      <c r="L221" s="8"/>
      <c r="M221" s="7"/>
      <c r="N221" s="9" t="str">
        <f t="shared" si="13"/>
        <v/>
      </c>
      <c r="O221" s="20"/>
      <c r="Q221" s="637">
        <f t="shared" si="14"/>
        <v>0</v>
      </c>
      <c r="R221" s="637">
        <f t="shared" si="15"/>
        <v>0</v>
      </c>
    </row>
    <row r="222" spans="1:18">
      <c r="A222" s="619"/>
      <c r="B222" s="620"/>
      <c r="C222" s="624"/>
      <c r="D222" s="624"/>
      <c r="E222" s="3"/>
      <c r="F222" s="274"/>
      <c r="G222" s="274"/>
      <c r="H222" s="8"/>
      <c r="I222" s="5"/>
      <c r="J222" s="411">
        <f t="shared" si="12"/>
        <v>0</v>
      </c>
      <c r="K222" s="2"/>
      <c r="L222" s="8"/>
      <c r="M222" s="7"/>
      <c r="N222" s="9" t="str">
        <f t="shared" si="13"/>
        <v/>
      </c>
      <c r="O222" s="20"/>
      <c r="Q222" s="637">
        <f t="shared" si="14"/>
        <v>0</v>
      </c>
      <c r="R222" s="637">
        <f t="shared" si="15"/>
        <v>0</v>
      </c>
    </row>
    <row r="223" spans="1:18">
      <c r="A223" s="619"/>
      <c r="B223" s="620"/>
      <c r="C223" s="624"/>
      <c r="D223" s="624"/>
      <c r="E223" s="3"/>
      <c r="F223" s="274"/>
      <c r="G223" s="274"/>
      <c r="H223" s="8"/>
      <c r="I223" s="5"/>
      <c r="J223" s="411">
        <f t="shared" si="12"/>
        <v>0</v>
      </c>
      <c r="K223" s="2"/>
      <c r="L223" s="8"/>
      <c r="M223" s="7"/>
      <c r="N223" s="9" t="str">
        <f t="shared" si="13"/>
        <v/>
      </c>
      <c r="O223" s="20"/>
      <c r="Q223" s="637">
        <f t="shared" si="14"/>
        <v>0</v>
      </c>
      <c r="R223" s="637">
        <f t="shared" si="15"/>
        <v>0</v>
      </c>
    </row>
    <row r="224" spans="1:18">
      <c r="A224" s="619"/>
      <c r="B224" s="620"/>
      <c r="C224" s="624"/>
      <c r="D224" s="624"/>
      <c r="E224" s="3"/>
      <c r="F224" s="274"/>
      <c r="G224" s="274"/>
      <c r="H224" s="8"/>
      <c r="I224" s="5"/>
      <c r="J224" s="411">
        <f t="shared" si="12"/>
        <v>0</v>
      </c>
      <c r="K224" s="2"/>
      <c r="L224" s="8"/>
      <c r="M224" s="7"/>
      <c r="N224" s="9" t="str">
        <f t="shared" si="13"/>
        <v/>
      </c>
      <c r="O224" s="20"/>
      <c r="Q224" s="637">
        <f t="shared" si="14"/>
        <v>0</v>
      </c>
      <c r="R224" s="637">
        <f t="shared" si="15"/>
        <v>0</v>
      </c>
    </row>
    <row r="225" spans="1:18">
      <c r="A225" s="619"/>
      <c r="B225" s="620"/>
      <c r="C225" s="624"/>
      <c r="D225" s="624"/>
      <c r="E225" s="3"/>
      <c r="F225" s="274"/>
      <c r="G225" s="274"/>
      <c r="H225" s="8"/>
      <c r="I225" s="5"/>
      <c r="J225" s="411">
        <f t="shared" si="12"/>
        <v>0</v>
      </c>
      <c r="K225" s="2"/>
      <c r="L225" s="8"/>
      <c r="M225" s="7"/>
      <c r="N225" s="9" t="str">
        <f t="shared" si="13"/>
        <v/>
      </c>
      <c r="O225" s="20"/>
      <c r="Q225" s="637">
        <f t="shared" si="14"/>
        <v>0</v>
      </c>
      <c r="R225" s="637">
        <f t="shared" si="15"/>
        <v>0</v>
      </c>
    </row>
    <row r="226" spans="1:18">
      <c r="A226" s="619"/>
      <c r="B226" s="620"/>
      <c r="C226" s="624"/>
      <c r="D226" s="624"/>
      <c r="E226" s="3"/>
      <c r="F226" s="274"/>
      <c r="G226" s="274"/>
      <c r="H226" s="8"/>
      <c r="I226" s="5"/>
      <c r="J226" s="411">
        <f t="shared" si="12"/>
        <v>0</v>
      </c>
      <c r="K226" s="2"/>
      <c r="L226" s="8"/>
      <c r="M226" s="7"/>
      <c r="N226" s="9" t="str">
        <f t="shared" si="13"/>
        <v/>
      </c>
      <c r="O226" s="20"/>
      <c r="Q226" s="637">
        <f t="shared" si="14"/>
        <v>0</v>
      </c>
      <c r="R226" s="637">
        <f t="shared" si="15"/>
        <v>0</v>
      </c>
    </row>
    <row r="227" spans="1:18">
      <c r="A227" s="619"/>
      <c r="B227" s="620"/>
      <c r="C227" s="624"/>
      <c r="D227" s="624"/>
      <c r="E227" s="3"/>
      <c r="F227" s="274"/>
      <c r="G227" s="274"/>
      <c r="H227" s="8"/>
      <c r="I227" s="5"/>
      <c r="J227" s="411">
        <f t="shared" si="12"/>
        <v>0</v>
      </c>
      <c r="K227" s="2"/>
      <c r="L227" s="8"/>
      <c r="M227" s="7"/>
      <c r="N227" s="9" t="str">
        <f t="shared" si="13"/>
        <v/>
      </c>
      <c r="O227" s="20"/>
      <c r="Q227" s="637">
        <f t="shared" si="14"/>
        <v>0</v>
      </c>
      <c r="R227" s="637">
        <f t="shared" si="15"/>
        <v>0</v>
      </c>
    </row>
    <row r="228" spans="1:18">
      <c r="A228" s="619"/>
      <c r="B228" s="620"/>
      <c r="C228" s="624"/>
      <c r="D228" s="624"/>
      <c r="E228" s="3"/>
      <c r="F228" s="274"/>
      <c r="G228" s="274"/>
      <c r="H228" s="8"/>
      <c r="I228" s="5"/>
      <c r="J228" s="411">
        <f t="shared" si="12"/>
        <v>0</v>
      </c>
      <c r="K228" s="2"/>
      <c r="L228" s="8"/>
      <c r="M228" s="7"/>
      <c r="N228" s="9" t="str">
        <f t="shared" si="13"/>
        <v/>
      </c>
      <c r="O228" s="20"/>
      <c r="Q228" s="637">
        <f t="shared" si="14"/>
        <v>0</v>
      </c>
      <c r="R228" s="637">
        <f t="shared" si="15"/>
        <v>0</v>
      </c>
    </row>
    <row r="229" spans="1:18">
      <c r="A229" s="619"/>
      <c r="B229" s="620"/>
      <c r="C229" s="624"/>
      <c r="D229" s="624"/>
      <c r="E229" s="3"/>
      <c r="F229" s="274"/>
      <c r="G229" s="274"/>
      <c r="H229" s="8"/>
      <c r="I229" s="5"/>
      <c r="J229" s="411">
        <f t="shared" si="12"/>
        <v>0</v>
      </c>
      <c r="K229" s="2"/>
      <c r="L229" s="8"/>
      <c r="M229" s="7"/>
      <c r="N229" s="9" t="str">
        <f t="shared" si="13"/>
        <v/>
      </c>
      <c r="O229" s="20"/>
      <c r="Q229" s="637">
        <f t="shared" si="14"/>
        <v>0</v>
      </c>
      <c r="R229" s="637">
        <f t="shared" si="15"/>
        <v>0</v>
      </c>
    </row>
    <row r="230" spans="1:18">
      <c r="A230" s="619"/>
      <c r="B230" s="620"/>
      <c r="C230" s="624"/>
      <c r="D230" s="624"/>
      <c r="E230" s="3"/>
      <c r="F230" s="274"/>
      <c r="G230" s="274"/>
      <c r="H230" s="8"/>
      <c r="I230" s="5"/>
      <c r="J230" s="411">
        <f t="shared" si="12"/>
        <v>0</v>
      </c>
      <c r="K230" s="2"/>
      <c r="L230" s="8"/>
      <c r="M230" s="7"/>
      <c r="N230" s="9" t="str">
        <f t="shared" si="13"/>
        <v/>
      </c>
      <c r="O230" s="20"/>
      <c r="Q230" s="637">
        <f t="shared" si="14"/>
        <v>0</v>
      </c>
      <c r="R230" s="637">
        <f t="shared" si="15"/>
        <v>0</v>
      </c>
    </row>
    <row r="231" spans="1:18">
      <c r="A231" s="619"/>
      <c r="B231" s="620"/>
      <c r="C231" s="624"/>
      <c r="D231" s="624"/>
      <c r="E231" s="3"/>
      <c r="F231" s="274"/>
      <c r="G231" s="274"/>
      <c r="H231" s="8"/>
      <c r="I231" s="5"/>
      <c r="J231" s="411">
        <f t="shared" si="12"/>
        <v>0</v>
      </c>
      <c r="K231" s="2"/>
      <c r="L231" s="8"/>
      <c r="M231" s="7"/>
      <c r="N231" s="9" t="str">
        <f t="shared" si="13"/>
        <v/>
      </c>
      <c r="O231" s="20"/>
      <c r="Q231" s="637">
        <f t="shared" si="14"/>
        <v>0</v>
      </c>
      <c r="R231" s="637">
        <f t="shared" si="15"/>
        <v>0</v>
      </c>
    </row>
    <row r="232" spans="1:18">
      <c r="A232" s="619"/>
      <c r="B232" s="620"/>
      <c r="C232" s="624"/>
      <c r="D232" s="624"/>
      <c r="E232" s="3"/>
      <c r="F232" s="274"/>
      <c r="G232" s="274"/>
      <c r="H232" s="8"/>
      <c r="I232" s="5"/>
      <c r="J232" s="411">
        <f t="shared" si="12"/>
        <v>0</v>
      </c>
      <c r="K232" s="2"/>
      <c r="L232" s="8"/>
      <c r="M232" s="7"/>
      <c r="N232" s="9" t="str">
        <f t="shared" si="13"/>
        <v/>
      </c>
      <c r="O232" s="20"/>
      <c r="Q232" s="637">
        <f t="shared" si="14"/>
        <v>0</v>
      </c>
      <c r="R232" s="637">
        <f t="shared" si="15"/>
        <v>0</v>
      </c>
    </row>
    <row r="233" spans="1:18">
      <c r="A233" s="619"/>
      <c r="B233" s="620"/>
      <c r="C233" s="624"/>
      <c r="D233" s="624"/>
      <c r="E233" s="3"/>
      <c r="F233" s="274"/>
      <c r="G233" s="274"/>
      <c r="H233" s="8"/>
      <c r="I233" s="5"/>
      <c r="J233" s="411">
        <f t="shared" si="12"/>
        <v>0</v>
      </c>
      <c r="K233" s="2"/>
      <c r="L233" s="8"/>
      <c r="M233" s="7"/>
      <c r="N233" s="9" t="str">
        <f t="shared" si="13"/>
        <v/>
      </c>
      <c r="O233" s="20"/>
      <c r="Q233" s="637">
        <f t="shared" si="14"/>
        <v>0</v>
      </c>
      <c r="R233" s="637">
        <f t="shared" si="15"/>
        <v>0</v>
      </c>
    </row>
    <row r="234" spans="1:18">
      <c r="A234" s="619"/>
      <c r="B234" s="620"/>
      <c r="C234" s="624"/>
      <c r="D234" s="624"/>
      <c r="E234" s="3"/>
      <c r="F234" s="274"/>
      <c r="G234" s="274"/>
      <c r="H234" s="8"/>
      <c r="I234" s="5"/>
      <c r="J234" s="411">
        <f t="shared" si="12"/>
        <v>0</v>
      </c>
      <c r="K234" s="2"/>
      <c r="L234" s="8"/>
      <c r="M234" s="7"/>
      <c r="N234" s="9" t="str">
        <f t="shared" si="13"/>
        <v/>
      </c>
      <c r="O234" s="20"/>
      <c r="Q234" s="637">
        <f t="shared" si="14"/>
        <v>0</v>
      </c>
      <c r="R234" s="637">
        <f t="shared" si="15"/>
        <v>0</v>
      </c>
    </row>
    <row r="235" spans="1:18">
      <c r="A235" s="619"/>
      <c r="B235" s="620"/>
      <c r="C235" s="624"/>
      <c r="D235" s="624"/>
      <c r="E235" s="3"/>
      <c r="F235" s="274"/>
      <c r="G235" s="274"/>
      <c r="H235" s="8"/>
      <c r="I235" s="5"/>
      <c r="J235" s="411">
        <f t="shared" si="12"/>
        <v>0</v>
      </c>
      <c r="K235" s="2"/>
      <c r="L235" s="8"/>
      <c r="M235" s="7"/>
      <c r="N235" s="9" t="str">
        <f t="shared" si="13"/>
        <v/>
      </c>
      <c r="O235" s="20"/>
      <c r="Q235" s="637">
        <f t="shared" si="14"/>
        <v>0</v>
      </c>
      <c r="R235" s="637">
        <f t="shared" si="15"/>
        <v>0</v>
      </c>
    </row>
    <row r="236" spans="1:18">
      <c r="A236" s="619"/>
      <c r="B236" s="620"/>
      <c r="C236" s="624"/>
      <c r="D236" s="624"/>
      <c r="E236" s="3"/>
      <c r="F236" s="274"/>
      <c r="G236" s="274"/>
      <c r="H236" s="8"/>
      <c r="I236" s="5"/>
      <c r="J236" s="411">
        <f t="shared" si="12"/>
        <v>0</v>
      </c>
      <c r="K236" s="2"/>
      <c r="L236" s="8"/>
      <c r="M236" s="7"/>
      <c r="N236" s="9" t="str">
        <f t="shared" si="13"/>
        <v/>
      </c>
      <c r="O236" s="20"/>
      <c r="Q236" s="637">
        <f t="shared" si="14"/>
        <v>0</v>
      </c>
      <c r="R236" s="637">
        <f t="shared" si="15"/>
        <v>0</v>
      </c>
    </row>
    <row r="237" spans="1:18">
      <c r="A237" s="619"/>
      <c r="B237" s="620"/>
      <c r="C237" s="624"/>
      <c r="D237" s="624"/>
      <c r="E237" s="3"/>
      <c r="F237" s="274"/>
      <c r="G237" s="274"/>
      <c r="H237" s="8"/>
      <c r="I237" s="5"/>
      <c r="J237" s="411">
        <f t="shared" si="12"/>
        <v>0</v>
      </c>
      <c r="K237" s="2"/>
      <c r="L237" s="8"/>
      <c r="M237" s="7"/>
      <c r="N237" s="9" t="str">
        <f t="shared" si="13"/>
        <v/>
      </c>
      <c r="O237" s="20"/>
      <c r="Q237" s="637">
        <f t="shared" si="14"/>
        <v>0</v>
      </c>
      <c r="R237" s="637">
        <f t="shared" si="15"/>
        <v>0</v>
      </c>
    </row>
    <row r="238" spans="1:18">
      <c r="A238" s="619"/>
      <c r="B238" s="620"/>
      <c r="C238" s="624"/>
      <c r="D238" s="624"/>
      <c r="E238" s="3"/>
      <c r="F238" s="274"/>
      <c r="G238" s="274"/>
      <c r="H238" s="8"/>
      <c r="I238" s="5"/>
      <c r="J238" s="411">
        <f t="shared" si="12"/>
        <v>0</v>
      </c>
      <c r="K238" s="2"/>
      <c r="L238" s="8"/>
      <c r="M238" s="7"/>
      <c r="N238" s="9" t="str">
        <f t="shared" si="13"/>
        <v/>
      </c>
      <c r="O238" s="20"/>
      <c r="Q238" s="637">
        <f t="shared" si="14"/>
        <v>0</v>
      </c>
      <c r="R238" s="637">
        <f t="shared" si="15"/>
        <v>0</v>
      </c>
    </row>
    <row r="239" spans="1:18">
      <c r="A239" s="619"/>
      <c r="B239" s="620"/>
      <c r="C239" s="624"/>
      <c r="D239" s="624"/>
      <c r="E239" s="3"/>
      <c r="F239" s="274"/>
      <c r="G239" s="274"/>
      <c r="H239" s="8"/>
      <c r="I239" s="5"/>
      <c r="J239" s="411">
        <f t="shared" si="12"/>
        <v>0</v>
      </c>
      <c r="K239" s="2"/>
      <c r="L239" s="8"/>
      <c r="M239" s="7"/>
      <c r="N239" s="9" t="str">
        <f t="shared" si="13"/>
        <v/>
      </c>
      <c r="O239" s="20"/>
      <c r="Q239" s="637">
        <f t="shared" si="14"/>
        <v>0</v>
      </c>
      <c r="R239" s="637">
        <f t="shared" si="15"/>
        <v>0</v>
      </c>
    </row>
    <row r="240" spans="1:18">
      <c r="A240" s="619"/>
      <c r="B240" s="620"/>
      <c r="C240" s="624"/>
      <c r="D240" s="624"/>
      <c r="E240" s="3"/>
      <c r="F240" s="274"/>
      <c r="G240" s="274"/>
      <c r="H240" s="8"/>
      <c r="I240" s="5"/>
      <c r="J240" s="411">
        <f t="shared" si="12"/>
        <v>0</v>
      </c>
      <c r="K240" s="2"/>
      <c r="L240" s="8"/>
      <c r="M240" s="7"/>
      <c r="N240" s="9" t="str">
        <f t="shared" si="13"/>
        <v/>
      </c>
      <c r="O240" s="20"/>
      <c r="Q240" s="637">
        <f t="shared" si="14"/>
        <v>0</v>
      </c>
      <c r="R240" s="637">
        <f t="shared" si="15"/>
        <v>0</v>
      </c>
    </row>
    <row r="241" spans="1:18">
      <c r="A241" s="619"/>
      <c r="B241" s="620"/>
      <c r="C241" s="624"/>
      <c r="D241" s="624"/>
      <c r="E241" s="3"/>
      <c r="F241" s="274"/>
      <c r="G241" s="274"/>
      <c r="H241" s="8"/>
      <c r="I241" s="5"/>
      <c r="J241" s="411">
        <f t="shared" si="12"/>
        <v>0</v>
      </c>
      <c r="K241" s="2"/>
      <c r="L241" s="8"/>
      <c r="M241" s="7"/>
      <c r="N241" s="9" t="str">
        <f t="shared" si="13"/>
        <v/>
      </c>
      <c r="O241" s="20"/>
      <c r="Q241" s="637">
        <f t="shared" si="14"/>
        <v>0</v>
      </c>
      <c r="R241" s="637">
        <f t="shared" si="15"/>
        <v>0</v>
      </c>
    </row>
    <row r="242" spans="1:18">
      <c r="A242" s="619"/>
      <c r="B242" s="620"/>
      <c r="C242" s="624"/>
      <c r="D242" s="624"/>
      <c r="E242" s="3"/>
      <c r="F242" s="274"/>
      <c r="G242" s="274"/>
      <c r="H242" s="8"/>
      <c r="I242" s="5"/>
      <c r="J242" s="411">
        <f t="shared" si="12"/>
        <v>0</v>
      </c>
      <c r="K242" s="2"/>
      <c r="L242" s="8"/>
      <c r="M242" s="7"/>
      <c r="N242" s="9" t="str">
        <f t="shared" si="13"/>
        <v/>
      </c>
      <c r="O242" s="20"/>
      <c r="Q242" s="637">
        <f t="shared" si="14"/>
        <v>0</v>
      </c>
      <c r="R242" s="637">
        <f t="shared" si="15"/>
        <v>0</v>
      </c>
    </row>
    <row r="243" spans="1:18">
      <c r="A243" s="619"/>
      <c r="B243" s="620"/>
      <c r="C243" s="624"/>
      <c r="D243" s="624"/>
      <c r="E243" s="3"/>
      <c r="F243" s="274"/>
      <c r="G243" s="274"/>
      <c r="H243" s="8"/>
      <c r="I243" s="5"/>
      <c r="J243" s="411">
        <f t="shared" si="12"/>
        <v>0</v>
      </c>
      <c r="K243" s="2"/>
      <c r="L243" s="8"/>
      <c r="M243" s="7"/>
      <c r="N243" s="9" t="str">
        <f t="shared" si="13"/>
        <v/>
      </c>
      <c r="O243" s="20"/>
      <c r="Q243" s="637">
        <f t="shared" si="14"/>
        <v>0</v>
      </c>
      <c r="R243" s="637">
        <f t="shared" si="15"/>
        <v>0</v>
      </c>
    </row>
    <row r="244" spans="1:18">
      <c r="A244" s="619"/>
      <c r="B244" s="620"/>
      <c r="C244" s="624"/>
      <c r="D244" s="624"/>
      <c r="E244" s="3"/>
      <c r="F244" s="274"/>
      <c r="G244" s="274"/>
      <c r="H244" s="8"/>
      <c r="I244" s="5"/>
      <c r="J244" s="411">
        <f t="shared" si="12"/>
        <v>0</v>
      </c>
      <c r="K244" s="2"/>
      <c r="L244" s="8"/>
      <c r="M244" s="7"/>
      <c r="N244" s="9" t="str">
        <f t="shared" si="13"/>
        <v/>
      </c>
      <c r="O244" s="20"/>
      <c r="Q244" s="637">
        <f t="shared" si="14"/>
        <v>0</v>
      </c>
      <c r="R244" s="637">
        <f t="shared" si="15"/>
        <v>0</v>
      </c>
    </row>
    <row r="245" spans="1:18">
      <c r="A245" s="619"/>
      <c r="B245" s="620"/>
      <c r="C245" s="624"/>
      <c r="D245" s="624"/>
      <c r="E245" s="3"/>
      <c r="F245" s="274"/>
      <c r="G245" s="274"/>
      <c r="H245" s="8"/>
      <c r="I245" s="5"/>
      <c r="J245" s="411">
        <f t="shared" si="12"/>
        <v>0</v>
      </c>
      <c r="K245" s="2"/>
      <c r="L245" s="8"/>
      <c r="M245" s="7"/>
      <c r="N245" s="9" t="str">
        <f t="shared" si="13"/>
        <v/>
      </c>
      <c r="O245" s="20"/>
      <c r="Q245" s="637">
        <f t="shared" si="14"/>
        <v>0</v>
      </c>
      <c r="R245" s="637">
        <f t="shared" si="15"/>
        <v>0</v>
      </c>
    </row>
    <row r="246" spans="1:18">
      <c r="A246" s="619"/>
      <c r="B246" s="620"/>
      <c r="C246" s="624"/>
      <c r="D246" s="624"/>
      <c r="E246" s="3"/>
      <c r="F246" s="274"/>
      <c r="G246" s="274"/>
      <c r="H246" s="8"/>
      <c r="I246" s="5"/>
      <c r="J246" s="411">
        <f t="shared" si="12"/>
        <v>0</v>
      </c>
      <c r="K246" s="2"/>
      <c r="L246" s="8"/>
      <c r="M246" s="7"/>
      <c r="N246" s="9" t="str">
        <f t="shared" si="13"/>
        <v/>
      </c>
      <c r="O246" s="20"/>
      <c r="Q246" s="637">
        <f t="shared" si="14"/>
        <v>0</v>
      </c>
      <c r="R246" s="637">
        <f t="shared" si="15"/>
        <v>0</v>
      </c>
    </row>
    <row r="247" spans="1:18">
      <c r="A247" s="619"/>
      <c r="B247" s="620"/>
      <c r="C247" s="624"/>
      <c r="D247" s="624"/>
      <c r="E247" s="3"/>
      <c r="F247" s="274"/>
      <c r="G247" s="274"/>
      <c r="H247" s="8"/>
      <c r="I247" s="5"/>
      <c r="J247" s="411">
        <f t="shared" si="12"/>
        <v>0</v>
      </c>
      <c r="K247" s="2"/>
      <c r="L247" s="8"/>
      <c r="M247" s="7"/>
      <c r="N247" s="9" t="str">
        <f t="shared" si="13"/>
        <v/>
      </c>
      <c r="O247" s="20"/>
      <c r="Q247" s="637">
        <f t="shared" si="14"/>
        <v>0</v>
      </c>
      <c r="R247" s="637">
        <f t="shared" si="15"/>
        <v>0</v>
      </c>
    </row>
    <row r="248" spans="1:18">
      <c r="A248" s="619"/>
      <c r="B248" s="620"/>
      <c r="C248" s="624"/>
      <c r="D248" s="624"/>
      <c r="E248" s="3"/>
      <c r="F248" s="274"/>
      <c r="G248" s="274"/>
      <c r="H248" s="8"/>
      <c r="I248" s="5"/>
      <c r="J248" s="411">
        <f t="shared" si="12"/>
        <v>0</v>
      </c>
      <c r="K248" s="2"/>
      <c r="L248" s="8"/>
      <c r="M248" s="7"/>
      <c r="N248" s="9" t="str">
        <f t="shared" si="13"/>
        <v/>
      </c>
      <c r="O248" s="20"/>
      <c r="Q248" s="637">
        <f t="shared" si="14"/>
        <v>0</v>
      </c>
      <c r="R248" s="637">
        <f t="shared" si="15"/>
        <v>0</v>
      </c>
    </row>
    <row r="249" spans="1:18">
      <c r="A249" s="619"/>
      <c r="B249" s="620"/>
      <c r="C249" s="624"/>
      <c r="D249" s="624"/>
      <c r="E249" s="3"/>
      <c r="F249" s="274"/>
      <c r="G249" s="274"/>
      <c r="H249" s="8"/>
      <c r="I249" s="5"/>
      <c r="J249" s="411">
        <f t="shared" si="12"/>
        <v>0</v>
      </c>
      <c r="K249" s="2"/>
      <c r="L249" s="8"/>
      <c r="M249" s="7"/>
      <c r="N249" s="9" t="str">
        <f t="shared" si="13"/>
        <v/>
      </c>
      <c r="O249" s="20"/>
      <c r="Q249" s="637">
        <f t="shared" si="14"/>
        <v>0</v>
      </c>
      <c r="R249" s="637">
        <f t="shared" si="15"/>
        <v>0</v>
      </c>
    </row>
    <row r="250" spans="1:18">
      <c r="A250" s="619"/>
      <c r="B250" s="620"/>
      <c r="C250" s="624"/>
      <c r="D250" s="624"/>
      <c r="E250" s="3"/>
      <c r="F250" s="274"/>
      <c r="G250" s="274"/>
      <c r="H250" s="8"/>
      <c r="I250" s="5"/>
      <c r="J250" s="411">
        <f t="shared" si="12"/>
        <v>0</v>
      </c>
      <c r="K250" s="2"/>
      <c r="L250" s="8"/>
      <c r="M250" s="7"/>
      <c r="N250" s="9" t="str">
        <f t="shared" si="13"/>
        <v/>
      </c>
      <c r="O250" s="20"/>
      <c r="Q250" s="637">
        <f t="shared" si="14"/>
        <v>0</v>
      </c>
      <c r="R250" s="637">
        <f t="shared" si="15"/>
        <v>0</v>
      </c>
    </row>
    <row r="251" spans="1:18">
      <c r="A251" s="619"/>
      <c r="B251" s="620"/>
      <c r="C251" s="624"/>
      <c r="D251" s="624"/>
      <c r="E251" s="3"/>
      <c r="F251" s="274"/>
      <c r="G251" s="274"/>
      <c r="H251" s="8"/>
      <c r="I251" s="5"/>
      <c r="J251" s="411">
        <f t="shared" si="12"/>
        <v>0</v>
      </c>
      <c r="K251" s="2"/>
      <c r="L251" s="8"/>
      <c r="M251" s="7"/>
      <c r="N251" s="9" t="str">
        <f t="shared" si="13"/>
        <v/>
      </c>
      <c r="O251" s="20"/>
      <c r="Q251" s="637">
        <f t="shared" si="14"/>
        <v>0</v>
      </c>
      <c r="R251" s="637">
        <f t="shared" si="15"/>
        <v>0</v>
      </c>
    </row>
    <row r="252" spans="1:18">
      <c r="A252" s="628"/>
      <c r="B252" s="629"/>
      <c r="C252" s="630"/>
      <c r="D252" s="630"/>
      <c r="E252" s="3"/>
      <c r="F252" s="275"/>
      <c r="G252" s="275"/>
      <c r="H252" s="28"/>
      <c r="I252" s="272"/>
      <c r="J252" s="412">
        <f t="shared" si="12"/>
        <v>0</v>
      </c>
      <c r="K252" s="26"/>
      <c r="L252" s="28"/>
      <c r="M252" s="27"/>
      <c r="N252" s="29" t="str">
        <f t="shared" si="13"/>
        <v/>
      </c>
      <c r="O252" s="20"/>
      <c r="Q252" s="637">
        <f t="shared" si="14"/>
        <v>0</v>
      </c>
      <c r="R252" s="637">
        <f t="shared" si="15"/>
        <v>0</v>
      </c>
    </row>
    <row r="253" spans="1:18">
      <c r="A253" s="631"/>
      <c r="B253" s="632"/>
      <c r="C253" s="623"/>
      <c r="D253" s="623"/>
      <c r="E253" s="3"/>
      <c r="F253" s="274"/>
      <c r="G253" s="274"/>
      <c r="H253" s="8"/>
      <c r="I253" s="8"/>
      <c r="J253" s="413">
        <f t="shared" si="12"/>
        <v>0</v>
      </c>
      <c r="K253" s="35"/>
      <c r="L253" s="8"/>
      <c r="M253" s="7"/>
      <c r="N253" s="9" t="str">
        <f t="shared" si="13"/>
        <v/>
      </c>
      <c r="O253" s="20"/>
      <c r="Q253" s="637">
        <f t="shared" si="14"/>
        <v>0</v>
      </c>
      <c r="R253" s="637">
        <f t="shared" si="15"/>
        <v>0</v>
      </c>
    </row>
    <row r="254" spans="1:18">
      <c r="A254" s="631"/>
      <c r="B254" s="632"/>
      <c r="C254" s="623"/>
      <c r="D254" s="623"/>
      <c r="E254" s="3"/>
      <c r="F254" s="274"/>
      <c r="G254" s="274"/>
      <c r="H254" s="8"/>
      <c r="I254" s="8"/>
      <c r="J254" s="413">
        <f t="shared" si="12"/>
        <v>0</v>
      </c>
      <c r="K254" s="35"/>
      <c r="L254" s="8"/>
      <c r="M254" s="7"/>
      <c r="N254" s="9" t="str">
        <f t="shared" si="13"/>
        <v/>
      </c>
      <c r="O254" s="20"/>
      <c r="Q254" s="637">
        <f t="shared" si="14"/>
        <v>0</v>
      </c>
      <c r="R254" s="637">
        <f t="shared" si="15"/>
        <v>0</v>
      </c>
    </row>
    <row r="255" spans="1:18">
      <c r="A255" s="631"/>
      <c r="B255" s="632"/>
      <c r="C255" s="623"/>
      <c r="D255" s="623"/>
      <c r="E255" s="3"/>
      <c r="F255" s="274"/>
      <c r="G255" s="274"/>
      <c r="H255" s="8"/>
      <c r="I255" s="8"/>
      <c r="J255" s="413">
        <f t="shared" si="12"/>
        <v>0</v>
      </c>
      <c r="K255" s="35"/>
      <c r="L255" s="8"/>
      <c r="M255" s="7"/>
      <c r="N255" s="9" t="str">
        <f t="shared" si="13"/>
        <v/>
      </c>
      <c r="O255" s="20"/>
      <c r="Q255" s="637">
        <f t="shared" si="14"/>
        <v>0</v>
      </c>
      <c r="R255" s="637">
        <f t="shared" si="15"/>
        <v>0</v>
      </c>
    </row>
    <row r="256" spans="1:18">
      <c r="A256" s="631"/>
      <c r="B256" s="632"/>
      <c r="C256" s="623"/>
      <c r="D256" s="623"/>
      <c r="E256" s="3"/>
      <c r="F256" s="274"/>
      <c r="G256" s="274"/>
      <c r="H256" s="8"/>
      <c r="I256" s="8"/>
      <c r="J256" s="413">
        <f t="shared" si="12"/>
        <v>0</v>
      </c>
      <c r="K256" s="35"/>
      <c r="L256" s="8"/>
      <c r="M256" s="7"/>
      <c r="N256" s="9" t="str">
        <f t="shared" si="13"/>
        <v/>
      </c>
      <c r="O256" s="20"/>
      <c r="Q256" s="637">
        <f t="shared" si="14"/>
        <v>0</v>
      </c>
      <c r="R256" s="637">
        <f t="shared" si="15"/>
        <v>0</v>
      </c>
    </row>
    <row r="257" spans="1:18">
      <c r="A257" s="631"/>
      <c r="B257" s="632"/>
      <c r="C257" s="623"/>
      <c r="D257" s="623"/>
      <c r="E257" s="3"/>
      <c r="F257" s="274"/>
      <c r="G257" s="274"/>
      <c r="H257" s="8"/>
      <c r="I257" s="8"/>
      <c r="J257" s="413">
        <f t="shared" si="12"/>
        <v>0</v>
      </c>
      <c r="K257" s="35"/>
      <c r="L257" s="8"/>
      <c r="M257" s="7"/>
      <c r="N257" s="9" t="str">
        <f t="shared" si="13"/>
        <v/>
      </c>
      <c r="O257" s="20"/>
      <c r="Q257" s="637">
        <f t="shared" si="14"/>
        <v>0</v>
      </c>
      <c r="R257" s="637">
        <f t="shared" si="15"/>
        <v>0</v>
      </c>
    </row>
    <row r="258" spans="1:18">
      <c r="A258" s="631"/>
      <c r="B258" s="632"/>
      <c r="C258" s="623"/>
      <c r="D258" s="623"/>
      <c r="E258" s="3"/>
      <c r="F258" s="274"/>
      <c r="G258" s="274"/>
      <c r="H258" s="8"/>
      <c r="I258" s="8"/>
      <c r="J258" s="413">
        <f t="shared" si="12"/>
        <v>0</v>
      </c>
      <c r="K258" s="35"/>
      <c r="L258" s="8"/>
      <c r="M258" s="7"/>
      <c r="N258" s="9" t="str">
        <f t="shared" si="13"/>
        <v/>
      </c>
      <c r="O258" s="20"/>
      <c r="Q258" s="637">
        <f t="shared" si="14"/>
        <v>0</v>
      </c>
      <c r="R258" s="637">
        <f t="shared" si="15"/>
        <v>0</v>
      </c>
    </row>
    <row r="259" spans="1:18">
      <c r="A259" s="631"/>
      <c r="B259" s="632"/>
      <c r="C259" s="623"/>
      <c r="D259" s="623"/>
      <c r="E259" s="3"/>
      <c r="F259" s="274"/>
      <c r="G259" s="274"/>
      <c r="H259" s="8"/>
      <c r="I259" s="8"/>
      <c r="J259" s="413">
        <f t="shared" si="12"/>
        <v>0</v>
      </c>
      <c r="K259" s="35"/>
      <c r="L259" s="8"/>
      <c r="M259" s="7"/>
      <c r="N259" s="9" t="str">
        <f t="shared" si="13"/>
        <v/>
      </c>
      <c r="O259" s="20"/>
      <c r="Q259" s="637">
        <f t="shared" si="14"/>
        <v>0</v>
      </c>
      <c r="R259" s="637">
        <f t="shared" si="15"/>
        <v>0</v>
      </c>
    </row>
    <row r="260" spans="1:18">
      <c r="A260" s="631"/>
      <c r="B260" s="632"/>
      <c r="C260" s="623"/>
      <c r="D260" s="623"/>
      <c r="E260" s="3"/>
      <c r="F260" s="274"/>
      <c r="G260" s="274"/>
      <c r="H260" s="8"/>
      <c r="I260" s="8"/>
      <c r="J260" s="413">
        <f t="shared" si="12"/>
        <v>0</v>
      </c>
      <c r="K260" s="35"/>
      <c r="L260" s="8"/>
      <c r="M260" s="7"/>
      <c r="N260" s="9" t="str">
        <f t="shared" si="13"/>
        <v/>
      </c>
      <c r="O260" s="20"/>
      <c r="Q260" s="637">
        <f t="shared" si="14"/>
        <v>0</v>
      </c>
      <c r="R260" s="637">
        <f t="shared" si="15"/>
        <v>0</v>
      </c>
    </row>
    <row r="261" spans="1:18">
      <c r="A261" s="631"/>
      <c r="B261" s="632"/>
      <c r="C261" s="623"/>
      <c r="D261" s="623"/>
      <c r="E261" s="3"/>
      <c r="F261" s="274"/>
      <c r="G261" s="274"/>
      <c r="H261" s="8"/>
      <c r="I261" s="8"/>
      <c r="J261" s="413">
        <f t="shared" si="12"/>
        <v>0</v>
      </c>
      <c r="K261" s="35"/>
      <c r="L261" s="8"/>
      <c r="M261" s="7"/>
      <c r="N261" s="9" t="str">
        <f t="shared" si="13"/>
        <v/>
      </c>
      <c r="O261" s="20"/>
      <c r="Q261" s="637">
        <f t="shared" si="14"/>
        <v>0</v>
      </c>
      <c r="R261" s="637">
        <f t="shared" si="15"/>
        <v>0</v>
      </c>
    </row>
    <row r="262" spans="1:18">
      <c r="A262" s="631"/>
      <c r="B262" s="632"/>
      <c r="C262" s="623"/>
      <c r="D262" s="623"/>
      <c r="E262" s="3"/>
      <c r="F262" s="274"/>
      <c r="G262" s="274"/>
      <c r="H262" s="8"/>
      <c r="I262" s="8"/>
      <c r="J262" s="413">
        <f t="shared" ref="J262:J325" si="16">(+F262*G262+H262*I262)*E262</f>
        <v>0</v>
      </c>
      <c r="K262" s="35"/>
      <c r="L262" s="8"/>
      <c r="M262" s="7"/>
      <c r="N262" s="9" t="str">
        <f t="shared" ref="N262:N325" si="17">IF(K262=0,"",L262*M262*E262)</f>
        <v/>
      </c>
      <c r="O262" s="20"/>
      <c r="Q262" s="637">
        <f t="shared" ref="Q262:Q325" si="18">F262*G262*E262</f>
        <v>0</v>
      </c>
      <c r="R262" s="637">
        <f t="shared" ref="R262:R325" si="19">H262*E262*I262</f>
        <v>0</v>
      </c>
    </row>
    <row r="263" spans="1:18">
      <c r="A263" s="631"/>
      <c r="B263" s="632"/>
      <c r="C263" s="623"/>
      <c r="D263" s="623"/>
      <c r="E263" s="3"/>
      <c r="F263" s="274"/>
      <c r="G263" s="274"/>
      <c r="H263" s="8"/>
      <c r="I263" s="8"/>
      <c r="J263" s="413">
        <f t="shared" si="16"/>
        <v>0</v>
      </c>
      <c r="K263" s="35"/>
      <c r="L263" s="8"/>
      <c r="M263" s="7"/>
      <c r="N263" s="9" t="str">
        <f t="shared" si="17"/>
        <v/>
      </c>
      <c r="O263" s="20"/>
      <c r="Q263" s="637">
        <f t="shared" si="18"/>
        <v>0</v>
      </c>
      <c r="R263" s="637">
        <f t="shared" si="19"/>
        <v>0</v>
      </c>
    </row>
    <row r="264" spans="1:18">
      <c r="A264" s="631"/>
      <c r="B264" s="632"/>
      <c r="C264" s="623"/>
      <c r="D264" s="623"/>
      <c r="E264" s="3"/>
      <c r="F264" s="274"/>
      <c r="G264" s="274"/>
      <c r="H264" s="8"/>
      <c r="I264" s="8"/>
      <c r="J264" s="413">
        <f t="shared" si="16"/>
        <v>0</v>
      </c>
      <c r="K264" s="35"/>
      <c r="L264" s="8"/>
      <c r="M264" s="7"/>
      <c r="N264" s="9" t="str">
        <f t="shared" si="17"/>
        <v/>
      </c>
      <c r="O264" s="20"/>
      <c r="Q264" s="637">
        <f t="shared" si="18"/>
        <v>0</v>
      </c>
      <c r="R264" s="637">
        <f t="shared" si="19"/>
        <v>0</v>
      </c>
    </row>
    <row r="265" spans="1:18">
      <c r="A265" s="631"/>
      <c r="B265" s="632"/>
      <c r="C265" s="623"/>
      <c r="D265" s="623"/>
      <c r="E265" s="3"/>
      <c r="F265" s="274"/>
      <c r="G265" s="274"/>
      <c r="H265" s="8"/>
      <c r="I265" s="8"/>
      <c r="J265" s="413">
        <f t="shared" si="16"/>
        <v>0</v>
      </c>
      <c r="K265" s="35"/>
      <c r="L265" s="8"/>
      <c r="M265" s="7"/>
      <c r="N265" s="9" t="str">
        <f t="shared" si="17"/>
        <v/>
      </c>
      <c r="O265" s="20"/>
      <c r="Q265" s="637">
        <f t="shared" si="18"/>
        <v>0</v>
      </c>
      <c r="R265" s="637">
        <f t="shared" si="19"/>
        <v>0</v>
      </c>
    </row>
    <row r="266" spans="1:18">
      <c r="A266" s="631"/>
      <c r="B266" s="632"/>
      <c r="C266" s="623"/>
      <c r="D266" s="623"/>
      <c r="E266" s="3"/>
      <c r="F266" s="274"/>
      <c r="G266" s="274"/>
      <c r="H266" s="8"/>
      <c r="I266" s="8"/>
      <c r="J266" s="413">
        <f t="shared" si="16"/>
        <v>0</v>
      </c>
      <c r="K266" s="35"/>
      <c r="L266" s="8"/>
      <c r="M266" s="7"/>
      <c r="N266" s="9" t="str">
        <f t="shared" si="17"/>
        <v/>
      </c>
      <c r="O266" s="20"/>
      <c r="Q266" s="637">
        <f t="shared" si="18"/>
        <v>0</v>
      </c>
      <c r="R266" s="637">
        <f t="shared" si="19"/>
        <v>0</v>
      </c>
    </row>
    <row r="267" spans="1:18">
      <c r="A267" s="631"/>
      <c r="B267" s="632"/>
      <c r="C267" s="623"/>
      <c r="D267" s="623"/>
      <c r="E267" s="3"/>
      <c r="F267" s="274"/>
      <c r="G267" s="274"/>
      <c r="H267" s="8"/>
      <c r="I267" s="8"/>
      <c r="J267" s="413">
        <f t="shared" si="16"/>
        <v>0</v>
      </c>
      <c r="K267" s="35"/>
      <c r="L267" s="8"/>
      <c r="M267" s="7"/>
      <c r="N267" s="9" t="str">
        <f t="shared" si="17"/>
        <v/>
      </c>
      <c r="O267" s="20"/>
      <c r="Q267" s="637">
        <f t="shared" si="18"/>
        <v>0</v>
      </c>
      <c r="R267" s="637">
        <f t="shared" si="19"/>
        <v>0</v>
      </c>
    </row>
    <row r="268" spans="1:18">
      <c r="A268" s="631"/>
      <c r="B268" s="632"/>
      <c r="C268" s="623"/>
      <c r="D268" s="623"/>
      <c r="E268" s="3"/>
      <c r="F268" s="274"/>
      <c r="G268" s="274"/>
      <c r="H268" s="8"/>
      <c r="I268" s="8"/>
      <c r="J268" s="413">
        <f t="shared" si="16"/>
        <v>0</v>
      </c>
      <c r="K268" s="35"/>
      <c r="L268" s="8"/>
      <c r="M268" s="7"/>
      <c r="N268" s="9" t="str">
        <f t="shared" si="17"/>
        <v/>
      </c>
      <c r="O268" s="20"/>
      <c r="Q268" s="637">
        <f t="shared" si="18"/>
        <v>0</v>
      </c>
      <c r="R268" s="637">
        <f t="shared" si="19"/>
        <v>0</v>
      </c>
    </row>
    <row r="269" spans="1:18">
      <c r="A269" s="631"/>
      <c r="B269" s="632"/>
      <c r="C269" s="623"/>
      <c r="D269" s="623"/>
      <c r="E269" s="3"/>
      <c r="F269" s="274"/>
      <c r="G269" s="274"/>
      <c r="H269" s="8"/>
      <c r="I269" s="8"/>
      <c r="J269" s="413">
        <f t="shared" si="16"/>
        <v>0</v>
      </c>
      <c r="K269" s="35"/>
      <c r="L269" s="8"/>
      <c r="M269" s="7"/>
      <c r="N269" s="9" t="str">
        <f t="shared" si="17"/>
        <v/>
      </c>
      <c r="O269" s="20"/>
      <c r="Q269" s="637">
        <f t="shared" si="18"/>
        <v>0</v>
      </c>
      <c r="R269" s="637">
        <f t="shared" si="19"/>
        <v>0</v>
      </c>
    </row>
    <row r="270" spans="1:18">
      <c r="A270" s="631"/>
      <c r="B270" s="632"/>
      <c r="C270" s="623"/>
      <c r="D270" s="623"/>
      <c r="E270" s="3"/>
      <c r="F270" s="274"/>
      <c r="G270" s="274"/>
      <c r="H270" s="8"/>
      <c r="I270" s="8"/>
      <c r="J270" s="413">
        <f t="shared" si="16"/>
        <v>0</v>
      </c>
      <c r="K270" s="35"/>
      <c r="L270" s="8"/>
      <c r="M270" s="7"/>
      <c r="N270" s="9" t="str">
        <f t="shared" si="17"/>
        <v/>
      </c>
      <c r="O270" s="20"/>
      <c r="Q270" s="637">
        <f t="shared" si="18"/>
        <v>0</v>
      </c>
      <c r="R270" s="637">
        <f t="shared" si="19"/>
        <v>0</v>
      </c>
    </row>
    <row r="271" spans="1:18">
      <c r="A271" s="631"/>
      <c r="B271" s="632"/>
      <c r="C271" s="623"/>
      <c r="D271" s="623"/>
      <c r="E271" s="3"/>
      <c r="F271" s="274"/>
      <c r="G271" s="274"/>
      <c r="H271" s="8"/>
      <c r="I271" s="8"/>
      <c r="J271" s="413">
        <f t="shared" si="16"/>
        <v>0</v>
      </c>
      <c r="K271" s="35"/>
      <c r="L271" s="8"/>
      <c r="M271" s="7"/>
      <c r="N271" s="9" t="str">
        <f t="shared" si="17"/>
        <v/>
      </c>
      <c r="O271" s="20"/>
      <c r="Q271" s="637">
        <f t="shared" si="18"/>
        <v>0</v>
      </c>
      <c r="R271" s="637">
        <f t="shared" si="19"/>
        <v>0</v>
      </c>
    </row>
    <row r="272" spans="1:18">
      <c r="A272" s="631"/>
      <c r="B272" s="632"/>
      <c r="C272" s="623"/>
      <c r="D272" s="623"/>
      <c r="E272" s="3"/>
      <c r="F272" s="274"/>
      <c r="G272" s="274"/>
      <c r="H272" s="8"/>
      <c r="I272" s="8"/>
      <c r="J272" s="413">
        <f t="shared" si="16"/>
        <v>0</v>
      </c>
      <c r="K272" s="35"/>
      <c r="L272" s="8"/>
      <c r="M272" s="7"/>
      <c r="N272" s="9" t="str">
        <f t="shared" si="17"/>
        <v/>
      </c>
      <c r="O272" s="20"/>
      <c r="Q272" s="637">
        <f t="shared" si="18"/>
        <v>0</v>
      </c>
      <c r="R272" s="637">
        <f t="shared" si="19"/>
        <v>0</v>
      </c>
    </row>
    <row r="273" spans="1:18">
      <c r="A273" s="631"/>
      <c r="B273" s="632"/>
      <c r="C273" s="623"/>
      <c r="D273" s="623"/>
      <c r="E273" s="3"/>
      <c r="F273" s="274"/>
      <c r="G273" s="274"/>
      <c r="H273" s="8"/>
      <c r="I273" s="8"/>
      <c r="J273" s="413">
        <f t="shared" si="16"/>
        <v>0</v>
      </c>
      <c r="K273" s="35"/>
      <c r="L273" s="8"/>
      <c r="M273" s="7"/>
      <c r="N273" s="9" t="str">
        <f t="shared" si="17"/>
        <v/>
      </c>
      <c r="O273" s="20"/>
      <c r="Q273" s="637">
        <f t="shared" si="18"/>
        <v>0</v>
      </c>
      <c r="R273" s="637">
        <f t="shared" si="19"/>
        <v>0</v>
      </c>
    </row>
    <row r="274" spans="1:18">
      <c r="A274" s="631"/>
      <c r="B274" s="632"/>
      <c r="C274" s="623"/>
      <c r="D274" s="623"/>
      <c r="E274" s="3"/>
      <c r="F274" s="274"/>
      <c r="G274" s="274"/>
      <c r="H274" s="8"/>
      <c r="I274" s="8"/>
      <c r="J274" s="413">
        <f t="shared" si="16"/>
        <v>0</v>
      </c>
      <c r="K274" s="35"/>
      <c r="L274" s="8"/>
      <c r="M274" s="7"/>
      <c r="N274" s="9" t="str">
        <f t="shared" si="17"/>
        <v/>
      </c>
      <c r="O274" s="20"/>
      <c r="Q274" s="637">
        <f t="shared" si="18"/>
        <v>0</v>
      </c>
      <c r="R274" s="637">
        <f t="shared" si="19"/>
        <v>0</v>
      </c>
    </row>
    <row r="275" spans="1:18">
      <c r="A275" s="631"/>
      <c r="B275" s="632"/>
      <c r="C275" s="623"/>
      <c r="D275" s="623"/>
      <c r="E275" s="3"/>
      <c r="F275" s="274"/>
      <c r="G275" s="274"/>
      <c r="H275" s="8"/>
      <c r="I275" s="8"/>
      <c r="J275" s="413">
        <f t="shared" si="16"/>
        <v>0</v>
      </c>
      <c r="K275" s="35"/>
      <c r="L275" s="8"/>
      <c r="M275" s="7"/>
      <c r="N275" s="9" t="str">
        <f t="shared" si="17"/>
        <v/>
      </c>
      <c r="O275" s="20"/>
      <c r="Q275" s="637">
        <f t="shared" si="18"/>
        <v>0</v>
      </c>
      <c r="R275" s="637">
        <f t="shared" si="19"/>
        <v>0</v>
      </c>
    </row>
    <row r="276" spans="1:18">
      <c r="A276" s="631"/>
      <c r="B276" s="632"/>
      <c r="C276" s="623"/>
      <c r="D276" s="623"/>
      <c r="E276" s="3"/>
      <c r="F276" s="274"/>
      <c r="G276" s="274"/>
      <c r="H276" s="8"/>
      <c r="I276" s="8"/>
      <c r="J276" s="413">
        <f t="shared" si="16"/>
        <v>0</v>
      </c>
      <c r="K276" s="35"/>
      <c r="L276" s="8"/>
      <c r="M276" s="7"/>
      <c r="N276" s="9" t="str">
        <f t="shared" si="17"/>
        <v/>
      </c>
      <c r="O276" s="20"/>
      <c r="Q276" s="637">
        <f t="shared" si="18"/>
        <v>0</v>
      </c>
      <c r="R276" s="637">
        <f t="shared" si="19"/>
        <v>0</v>
      </c>
    </row>
    <row r="277" spans="1:18">
      <c r="A277" s="631"/>
      <c r="B277" s="632"/>
      <c r="C277" s="623"/>
      <c r="D277" s="623"/>
      <c r="E277" s="3"/>
      <c r="F277" s="274"/>
      <c r="G277" s="274"/>
      <c r="H277" s="8"/>
      <c r="I277" s="8"/>
      <c r="J277" s="413">
        <f t="shared" si="16"/>
        <v>0</v>
      </c>
      <c r="K277" s="35"/>
      <c r="L277" s="8"/>
      <c r="M277" s="7"/>
      <c r="N277" s="9" t="str">
        <f t="shared" si="17"/>
        <v/>
      </c>
      <c r="O277" s="20"/>
      <c r="Q277" s="637">
        <f t="shared" si="18"/>
        <v>0</v>
      </c>
      <c r="R277" s="637">
        <f t="shared" si="19"/>
        <v>0</v>
      </c>
    </row>
    <row r="278" spans="1:18">
      <c r="A278" s="631"/>
      <c r="B278" s="632"/>
      <c r="C278" s="623"/>
      <c r="D278" s="623"/>
      <c r="E278" s="3"/>
      <c r="F278" s="274"/>
      <c r="G278" s="274"/>
      <c r="H278" s="8"/>
      <c r="I278" s="8"/>
      <c r="J278" s="413">
        <f t="shared" si="16"/>
        <v>0</v>
      </c>
      <c r="K278" s="35"/>
      <c r="L278" s="8"/>
      <c r="M278" s="7"/>
      <c r="N278" s="9" t="str">
        <f t="shared" si="17"/>
        <v/>
      </c>
      <c r="O278" s="20"/>
      <c r="Q278" s="637">
        <f t="shared" si="18"/>
        <v>0</v>
      </c>
      <c r="R278" s="637">
        <f t="shared" si="19"/>
        <v>0</v>
      </c>
    </row>
    <row r="279" spans="1:18">
      <c r="A279" s="631"/>
      <c r="B279" s="632"/>
      <c r="C279" s="623"/>
      <c r="D279" s="623"/>
      <c r="E279" s="3"/>
      <c r="F279" s="274"/>
      <c r="G279" s="274"/>
      <c r="H279" s="8"/>
      <c r="I279" s="8"/>
      <c r="J279" s="413">
        <f t="shared" si="16"/>
        <v>0</v>
      </c>
      <c r="K279" s="35"/>
      <c r="L279" s="8"/>
      <c r="M279" s="7"/>
      <c r="N279" s="9" t="str">
        <f t="shared" si="17"/>
        <v/>
      </c>
      <c r="O279" s="20"/>
      <c r="Q279" s="637">
        <f t="shared" si="18"/>
        <v>0</v>
      </c>
      <c r="R279" s="637">
        <f t="shared" si="19"/>
        <v>0</v>
      </c>
    </row>
    <row r="280" spans="1:18">
      <c r="A280" s="631"/>
      <c r="B280" s="632"/>
      <c r="C280" s="623"/>
      <c r="D280" s="623"/>
      <c r="E280" s="3"/>
      <c r="F280" s="274"/>
      <c r="G280" s="274"/>
      <c r="H280" s="8"/>
      <c r="I280" s="8"/>
      <c r="J280" s="413">
        <f t="shared" si="16"/>
        <v>0</v>
      </c>
      <c r="K280" s="35"/>
      <c r="L280" s="8"/>
      <c r="M280" s="7"/>
      <c r="N280" s="9" t="str">
        <f t="shared" si="17"/>
        <v/>
      </c>
      <c r="O280" s="20"/>
      <c r="Q280" s="637">
        <f t="shared" si="18"/>
        <v>0</v>
      </c>
      <c r="R280" s="637">
        <f t="shared" si="19"/>
        <v>0</v>
      </c>
    </row>
    <row r="281" spans="1:18">
      <c r="A281" s="631"/>
      <c r="B281" s="632"/>
      <c r="C281" s="623"/>
      <c r="D281" s="623"/>
      <c r="E281" s="3"/>
      <c r="F281" s="274"/>
      <c r="G281" s="274"/>
      <c r="H281" s="8"/>
      <c r="I281" s="8"/>
      <c r="J281" s="413">
        <f t="shared" si="16"/>
        <v>0</v>
      </c>
      <c r="K281" s="35"/>
      <c r="L281" s="8"/>
      <c r="M281" s="7"/>
      <c r="N281" s="9" t="str">
        <f t="shared" si="17"/>
        <v/>
      </c>
      <c r="O281" s="20"/>
      <c r="Q281" s="637">
        <f t="shared" si="18"/>
        <v>0</v>
      </c>
      <c r="R281" s="637">
        <f t="shared" si="19"/>
        <v>0</v>
      </c>
    </row>
    <row r="282" spans="1:18">
      <c r="A282" s="631"/>
      <c r="B282" s="632"/>
      <c r="C282" s="623"/>
      <c r="D282" s="623"/>
      <c r="E282" s="3"/>
      <c r="F282" s="274"/>
      <c r="G282" s="274"/>
      <c r="H282" s="8"/>
      <c r="I282" s="8"/>
      <c r="J282" s="413">
        <f t="shared" si="16"/>
        <v>0</v>
      </c>
      <c r="K282" s="35"/>
      <c r="L282" s="8"/>
      <c r="M282" s="7"/>
      <c r="N282" s="9" t="str">
        <f t="shared" si="17"/>
        <v/>
      </c>
      <c r="O282" s="20"/>
      <c r="Q282" s="637">
        <f t="shared" si="18"/>
        <v>0</v>
      </c>
      <c r="R282" s="637">
        <f t="shared" si="19"/>
        <v>0</v>
      </c>
    </row>
    <row r="283" spans="1:18">
      <c r="A283" s="631"/>
      <c r="B283" s="632"/>
      <c r="C283" s="623"/>
      <c r="D283" s="623"/>
      <c r="E283" s="3"/>
      <c r="F283" s="274"/>
      <c r="G283" s="274"/>
      <c r="H283" s="8"/>
      <c r="I283" s="8"/>
      <c r="J283" s="413">
        <f t="shared" si="16"/>
        <v>0</v>
      </c>
      <c r="K283" s="35"/>
      <c r="L283" s="8"/>
      <c r="M283" s="7"/>
      <c r="N283" s="9" t="str">
        <f t="shared" si="17"/>
        <v/>
      </c>
      <c r="O283" s="20"/>
      <c r="Q283" s="637">
        <f t="shared" si="18"/>
        <v>0</v>
      </c>
      <c r="R283" s="637">
        <f t="shared" si="19"/>
        <v>0</v>
      </c>
    </row>
    <row r="284" spans="1:18">
      <c r="A284" s="631"/>
      <c r="B284" s="632"/>
      <c r="C284" s="623"/>
      <c r="D284" s="623"/>
      <c r="E284" s="3"/>
      <c r="F284" s="274"/>
      <c r="G284" s="274"/>
      <c r="H284" s="8"/>
      <c r="I284" s="8"/>
      <c r="J284" s="413">
        <f t="shared" si="16"/>
        <v>0</v>
      </c>
      <c r="K284" s="35"/>
      <c r="L284" s="8"/>
      <c r="M284" s="7"/>
      <c r="N284" s="9" t="str">
        <f t="shared" si="17"/>
        <v/>
      </c>
      <c r="O284" s="20"/>
      <c r="Q284" s="637">
        <f t="shared" si="18"/>
        <v>0</v>
      </c>
      <c r="R284" s="637">
        <f t="shared" si="19"/>
        <v>0</v>
      </c>
    </row>
    <row r="285" spans="1:18">
      <c r="A285" s="631"/>
      <c r="B285" s="632"/>
      <c r="C285" s="623"/>
      <c r="D285" s="623"/>
      <c r="E285" s="3"/>
      <c r="F285" s="274"/>
      <c r="G285" s="274"/>
      <c r="H285" s="8"/>
      <c r="I285" s="8"/>
      <c r="J285" s="413">
        <f t="shared" si="16"/>
        <v>0</v>
      </c>
      <c r="K285" s="35"/>
      <c r="L285" s="8"/>
      <c r="M285" s="7"/>
      <c r="N285" s="9" t="str">
        <f t="shared" si="17"/>
        <v/>
      </c>
      <c r="O285" s="20"/>
      <c r="Q285" s="637">
        <f t="shared" si="18"/>
        <v>0</v>
      </c>
      <c r="R285" s="637">
        <f t="shared" si="19"/>
        <v>0</v>
      </c>
    </row>
    <row r="286" spans="1:18">
      <c r="A286" s="631"/>
      <c r="B286" s="632"/>
      <c r="C286" s="623"/>
      <c r="D286" s="623"/>
      <c r="E286" s="3"/>
      <c r="F286" s="274"/>
      <c r="G286" s="274"/>
      <c r="H286" s="8"/>
      <c r="I286" s="8"/>
      <c r="J286" s="413">
        <f t="shared" si="16"/>
        <v>0</v>
      </c>
      <c r="K286" s="35"/>
      <c r="L286" s="8"/>
      <c r="M286" s="7"/>
      <c r="N286" s="9" t="str">
        <f t="shared" si="17"/>
        <v/>
      </c>
      <c r="O286" s="20"/>
      <c r="Q286" s="637">
        <f t="shared" si="18"/>
        <v>0</v>
      </c>
      <c r="R286" s="637">
        <f t="shared" si="19"/>
        <v>0</v>
      </c>
    </row>
    <row r="287" spans="1:18">
      <c r="A287" s="631"/>
      <c r="B287" s="632"/>
      <c r="C287" s="623"/>
      <c r="D287" s="623"/>
      <c r="E287" s="3"/>
      <c r="F287" s="274"/>
      <c r="G287" s="274"/>
      <c r="H287" s="8"/>
      <c r="I287" s="8"/>
      <c r="J287" s="413">
        <f t="shared" si="16"/>
        <v>0</v>
      </c>
      <c r="K287" s="35"/>
      <c r="L287" s="8"/>
      <c r="M287" s="7"/>
      <c r="N287" s="9" t="str">
        <f t="shared" si="17"/>
        <v/>
      </c>
      <c r="O287" s="20"/>
      <c r="Q287" s="637">
        <f t="shared" si="18"/>
        <v>0</v>
      </c>
      <c r="R287" s="637">
        <f t="shared" si="19"/>
        <v>0</v>
      </c>
    </row>
    <row r="288" spans="1:18">
      <c r="A288" s="631"/>
      <c r="B288" s="632"/>
      <c r="C288" s="623"/>
      <c r="D288" s="623"/>
      <c r="E288" s="3"/>
      <c r="F288" s="274"/>
      <c r="G288" s="274"/>
      <c r="H288" s="8"/>
      <c r="I288" s="8"/>
      <c r="J288" s="413">
        <f t="shared" si="16"/>
        <v>0</v>
      </c>
      <c r="K288" s="35"/>
      <c r="L288" s="8"/>
      <c r="M288" s="7"/>
      <c r="N288" s="9" t="str">
        <f t="shared" si="17"/>
        <v/>
      </c>
      <c r="O288" s="20"/>
      <c r="Q288" s="637">
        <f t="shared" si="18"/>
        <v>0</v>
      </c>
      <c r="R288" s="637">
        <f t="shared" si="19"/>
        <v>0</v>
      </c>
    </row>
    <row r="289" spans="1:18">
      <c r="A289" s="631"/>
      <c r="B289" s="632"/>
      <c r="C289" s="623"/>
      <c r="D289" s="623"/>
      <c r="E289" s="3"/>
      <c r="F289" s="274"/>
      <c r="G289" s="274"/>
      <c r="H289" s="8"/>
      <c r="I289" s="8"/>
      <c r="J289" s="413">
        <f t="shared" si="16"/>
        <v>0</v>
      </c>
      <c r="K289" s="35"/>
      <c r="L289" s="8"/>
      <c r="M289" s="7"/>
      <c r="N289" s="9" t="str">
        <f t="shared" si="17"/>
        <v/>
      </c>
      <c r="O289" s="20"/>
      <c r="Q289" s="637">
        <f t="shared" si="18"/>
        <v>0</v>
      </c>
      <c r="R289" s="637">
        <f t="shared" si="19"/>
        <v>0</v>
      </c>
    </row>
    <row r="290" spans="1:18">
      <c r="A290" s="631"/>
      <c r="B290" s="632"/>
      <c r="C290" s="623"/>
      <c r="D290" s="623"/>
      <c r="E290" s="3"/>
      <c r="F290" s="274"/>
      <c r="G290" s="274"/>
      <c r="H290" s="8"/>
      <c r="I290" s="8"/>
      <c r="J290" s="413">
        <f t="shared" si="16"/>
        <v>0</v>
      </c>
      <c r="K290" s="35"/>
      <c r="L290" s="8"/>
      <c r="M290" s="7"/>
      <c r="N290" s="9" t="str">
        <f t="shared" si="17"/>
        <v/>
      </c>
      <c r="O290" s="20"/>
      <c r="Q290" s="637">
        <f t="shared" si="18"/>
        <v>0</v>
      </c>
      <c r="R290" s="637">
        <f t="shared" si="19"/>
        <v>0</v>
      </c>
    </row>
    <row r="291" spans="1:18">
      <c r="A291" s="631"/>
      <c r="B291" s="632"/>
      <c r="C291" s="623"/>
      <c r="D291" s="623"/>
      <c r="E291" s="3"/>
      <c r="F291" s="274"/>
      <c r="G291" s="274"/>
      <c r="H291" s="8"/>
      <c r="I291" s="8"/>
      <c r="J291" s="413">
        <f t="shared" si="16"/>
        <v>0</v>
      </c>
      <c r="K291" s="35"/>
      <c r="L291" s="8"/>
      <c r="M291" s="7"/>
      <c r="N291" s="9" t="str">
        <f t="shared" si="17"/>
        <v/>
      </c>
      <c r="O291" s="20"/>
      <c r="Q291" s="637">
        <f t="shared" si="18"/>
        <v>0</v>
      </c>
      <c r="R291" s="637">
        <f t="shared" si="19"/>
        <v>0</v>
      </c>
    </row>
    <row r="292" spans="1:18">
      <c r="A292" s="631"/>
      <c r="B292" s="632"/>
      <c r="C292" s="623"/>
      <c r="D292" s="623"/>
      <c r="E292" s="3"/>
      <c r="F292" s="274"/>
      <c r="G292" s="274"/>
      <c r="H292" s="8"/>
      <c r="I292" s="8"/>
      <c r="J292" s="413">
        <f t="shared" si="16"/>
        <v>0</v>
      </c>
      <c r="K292" s="35"/>
      <c r="L292" s="8"/>
      <c r="M292" s="7"/>
      <c r="N292" s="9" t="str">
        <f t="shared" si="17"/>
        <v/>
      </c>
      <c r="O292" s="20"/>
      <c r="Q292" s="637">
        <f t="shared" si="18"/>
        <v>0</v>
      </c>
      <c r="R292" s="637">
        <f t="shared" si="19"/>
        <v>0</v>
      </c>
    </row>
    <row r="293" spans="1:18">
      <c r="A293" s="631"/>
      <c r="B293" s="632"/>
      <c r="C293" s="623"/>
      <c r="D293" s="623"/>
      <c r="E293" s="3"/>
      <c r="F293" s="274"/>
      <c r="G293" s="274"/>
      <c r="H293" s="8"/>
      <c r="I293" s="8"/>
      <c r="J293" s="413">
        <f t="shared" si="16"/>
        <v>0</v>
      </c>
      <c r="K293" s="35"/>
      <c r="L293" s="8"/>
      <c r="M293" s="7"/>
      <c r="N293" s="9" t="str">
        <f t="shared" si="17"/>
        <v/>
      </c>
      <c r="O293" s="20"/>
      <c r="Q293" s="637">
        <f t="shared" si="18"/>
        <v>0</v>
      </c>
      <c r="R293" s="637">
        <f t="shared" si="19"/>
        <v>0</v>
      </c>
    </row>
    <row r="294" spans="1:18">
      <c r="A294" s="631"/>
      <c r="B294" s="632"/>
      <c r="C294" s="623"/>
      <c r="D294" s="623"/>
      <c r="E294" s="3"/>
      <c r="F294" s="274"/>
      <c r="G294" s="274"/>
      <c r="H294" s="8"/>
      <c r="I294" s="8"/>
      <c r="J294" s="413">
        <f t="shared" si="16"/>
        <v>0</v>
      </c>
      <c r="K294" s="35"/>
      <c r="L294" s="8"/>
      <c r="M294" s="7"/>
      <c r="N294" s="9" t="str">
        <f t="shared" si="17"/>
        <v/>
      </c>
      <c r="O294" s="20"/>
      <c r="Q294" s="637">
        <f t="shared" si="18"/>
        <v>0</v>
      </c>
      <c r="R294" s="637">
        <f t="shared" si="19"/>
        <v>0</v>
      </c>
    </row>
    <row r="295" spans="1:18">
      <c r="A295" s="631"/>
      <c r="B295" s="632"/>
      <c r="C295" s="623"/>
      <c r="D295" s="623"/>
      <c r="E295" s="3"/>
      <c r="F295" s="274"/>
      <c r="G295" s="274"/>
      <c r="H295" s="8"/>
      <c r="I295" s="8"/>
      <c r="J295" s="413">
        <f t="shared" si="16"/>
        <v>0</v>
      </c>
      <c r="K295" s="35"/>
      <c r="L295" s="8"/>
      <c r="M295" s="7"/>
      <c r="N295" s="9" t="str">
        <f t="shared" si="17"/>
        <v/>
      </c>
      <c r="O295" s="20"/>
      <c r="Q295" s="637">
        <f t="shared" si="18"/>
        <v>0</v>
      </c>
      <c r="R295" s="637">
        <f t="shared" si="19"/>
        <v>0</v>
      </c>
    </row>
    <row r="296" spans="1:18">
      <c r="A296" s="631"/>
      <c r="B296" s="632"/>
      <c r="C296" s="623"/>
      <c r="D296" s="623"/>
      <c r="E296" s="3"/>
      <c r="F296" s="274"/>
      <c r="G296" s="274"/>
      <c r="H296" s="8"/>
      <c r="I296" s="8"/>
      <c r="J296" s="413">
        <f t="shared" si="16"/>
        <v>0</v>
      </c>
      <c r="K296" s="35"/>
      <c r="L296" s="8"/>
      <c r="M296" s="7"/>
      <c r="N296" s="9" t="str">
        <f t="shared" si="17"/>
        <v/>
      </c>
      <c r="O296" s="20"/>
      <c r="Q296" s="637">
        <f t="shared" si="18"/>
        <v>0</v>
      </c>
      <c r="R296" s="637">
        <f t="shared" si="19"/>
        <v>0</v>
      </c>
    </row>
    <row r="297" spans="1:18">
      <c r="A297" s="631"/>
      <c r="B297" s="632"/>
      <c r="C297" s="623"/>
      <c r="D297" s="623"/>
      <c r="E297" s="3"/>
      <c r="F297" s="274"/>
      <c r="G297" s="274"/>
      <c r="H297" s="8"/>
      <c r="I297" s="8"/>
      <c r="J297" s="413">
        <f t="shared" si="16"/>
        <v>0</v>
      </c>
      <c r="K297" s="35"/>
      <c r="L297" s="8"/>
      <c r="M297" s="7"/>
      <c r="N297" s="9" t="str">
        <f t="shared" si="17"/>
        <v/>
      </c>
      <c r="O297" s="20"/>
      <c r="Q297" s="637">
        <f t="shared" si="18"/>
        <v>0</v>
      </c>
      <c r="R297" s="637">
        <f t="shared" si="19"/>
        <v>0</v>
      </c>
    </row>
    <row r="298" spans="1:18">
      <c r="A298" s="631"/>
      <c r="B298" s="632"/>
      <c r="C298" s="623"/>
      <c r="D298" s="623"/>
      <c r="E298" s="3"/>
      <c r="F298" s="274"/>
      <c r="G298" s="274"/>
      <c r="H298" s="8"/>
      <c r="I298" s="8"/>
      <c r="J298" s="413">
        <f t="shared" si="16"/>
        <v>0</v>
      </c>
      <c r="K298" s="35"/>
      <c r="L298" s="8"/>
      <c r="M298" s="7"/>
      <c r="N298" s="9" t="str">
        <f t="shared" si="17"/>
        <v/>
      </c>
      <c r="O298" s="20"/>
      <c r="Q298" s="637">
        <f t="shared" si="18"/>
        <v>0</v>
      </c>
      <c r="R298" s="637">
        <f t="shared" si="19"/>
        <v>0</v>
      </c>
    </row>
    <row r="299" spans="1:18">
      <c r="A299" s="631"/>
      <c r="B299" s="632"/>
      <c r="C299" s="623"/>
      <c r="D299" s="623"/>
      <c r="E299" s="3"/>
      <c r="F299" s="274"/>
      <c r="G299" s="274"/>
      <c r="H299" s="8"/>
      <c r="I299" s="8"/>
      <c r="J299" s="413">
        <f t="shared" si="16"/>
        <v>0</v>
      </c>
      <c r="K299" s="35"/>
      <c r="L299" s="8"/>
      <c r="M299" s="7"/>
      <c r="N299" s="9" t="str">
        <f t="shared" si="17"/>
        <v/>
      </c>
      <c r="O299" s="20"/>
      <c r="Q299" s="637">
        <f t="shared" si="18"/>
        <v>0</v>
      </c>
      <c r="R299" s="637">
        <f t="shared" si="19"/>
        <v>0</v>
      </c>
    </row>
    <row r="300" spans="1:18">
      <c r="A300" s="631"/>
      <c r="B300" s="632"/>
      <c r="C300" s="623"/>
      <c r="D300" s="623"/>
      <c r="E300" s="3"/>
      <c r="F300" s="274"/>
      <c r="G300" s="274"/>
      <c r="H300" s="8"/>
      <c r="I300" s="8"/>
      <c r="J300" s="413">
        <f t="shared" si="16"/>
        <v>0</v>
      </c>
      <c r="K300" s="35"/>
      <c r="L300" s="8"/>
      <c r="M300" s="7"/>
      <c r="N300" s="9" t="str">
        <f t="shared" si="17"/>
        <v/>
      </c>
      <c r="O300" s="20"/>
      <c r="Q300" s="637">
        <f t="shared" si="18"/>
        <v>0</v>
      </c>
      <c r="R300" s="637">
        <f t="shared" si="19"/>
        <v>0</v>
      </c>
    </row>
    <row r="301" spans="1:18">
      <c r="A301" s="631"/>
      <c r="B301" s="632"/>
      <c r="C301" s="623"/>
      <c r="D301" s="623"/>
      <c r="E301" s="3"/>
      <c r="F301" s="274"/>
      <c r="G301" s="274"/>
      <c r="H301" s="8"/>
      <c r="I301" s="8"/>
      <c r="J301" s="413">
        <f t="shared" si="16"/>
        <v>0</v>
      </c>
      <c r="K301" s="35"/>
      <c r="L301" s="8"/>
      <c r="M301" s="7"/>
      <c r="N301" s="9" t="str">
        <f t="shared" si="17"/>
        <v/>
      </c>
      <c r="O301" s="20"/>
      <c r="Q301" s="637">
        <f t="shared" si="18"/>
        <v>0</v>
      </c>
      <c r="R301" s="637">
        <f t="shared" si="19"/>
        <v>0</v>
      </c>
    </row>
    <row r="302" spans="1:18">
      <c r="A302" s="631"/>
      <c r="B302" s="632"/>
      <c r="C302" s="623"/>
      <c r="D302" s="623"/>
      <c r="E302" s="3"/>
      <c r="F302" s="274"/>
      <c r="G302" s="274"/>
      <c r="H302" s="8"/>
      <c r="I302" s="8"/>
      <c r="J302" s="413">
        <f t="shared" si="16"/>
        <v>0</v>
      </c>
      <c r="K302" s="35"/>
      <c r="L302" s="8"/>
      <c r="M302" s="7"/>
      <c r="N302" s="9" t="str">
        <f t="shared" si="17"/>
        <v/>
      </c>
      <c r="O302" s="20"/>
      <c r="Q302" s="637">
        <f t="shared" si="18"/>
        <v>0</v>
      </c>
      <c r="R302" s="637">
        <f t="shared" si="19"/>
        <v>0</v>
      </c>
    </row>
    <row r="303" spans="1:18">
      <c r="A303" s="631"/>
      <c r="B303" s="632"/>
      <c r="C303" s="623"/>
      <c r="D303" s="623"/>
      <c r="E303" s="3"/>
      <c r="F303" s="274"/>
      <c r="G303" s="274"/>
      <c r="H303" s="8"/>
      <c r="I303" s="8"/>
      <c r="J303" s="413">
        <f t="shared" si="16"/>
        <v>0</v>
      </c>
      <c r="K303" s="35"/>
      <c r="L303" s="8"/>
      <c r="M303" s="7"/>
      <c r="N303" s="9" t="str">
        <f t="shared" si="17"/>
        <v/>
      </c>
      <c r="O303" s="20"/>
      <c r="Q303" s="637">
        <f t="shared" si="18"/>
        <v>0</v>
      </c>
      <c r="R303" s="637">
        <f t="shared" si="19"/>
        <v>0</v>
      </c>
    </row>
    <row r="304" spans="1:18">
      <c r="A304" s="631"/>
      <c r="B304" s="632"/>
      <c r="C304" s="623"/>
      <c r="D304" s="623"/>
      <c r="E304" s="3"/>
      <c r="F304" s="274"/>
      <c r="G304" s="274"/>
      <c r="H304" s="8"/>
      <c r="I304" s="8"/>
      <c r="J304" s="413">
        <f t="shared" si="16"/>
        <v>0</v>
      </c>
      <c r="K304" s="35"/>
      <c r="L304" s="8"/>
      <c r="M304" s="7"/>
      <c r="N304" s="9" t="str">
        <f t="shared" si="17"/>
        <v/>
      </c>
      <c r="O304" s="20"/>
      <c r="Q304" s="637">
        <f t="shared" si="18"/>
        <v>0</v>
      </c>
      <c r="R304" s="637">
        <f t="shared" si="19"/>
        <v>0</v>
      </c>
    </row>
    <row r="305" spans="1:18">
      <c r="A305" s="631"/>
      <c r="B305" s="632"/>
      <c r="C305" s="623"/>
      <c r="D305" s="623"/>
      <c r="E305" s="3"/>
      <c r="F305" s="274"/>
      <c r="G305" s="274"/>
      <c r="H305" s="8"/>
      <c r="I305" s="8"/>
      <c r="J305" s="413">
        <f t="shared" si="16"/>
        <v>0</v>
      </c>
      <c r="K305" s="35"/>
      <c r="L305" s="8"/>
      <c r="M305" s="7"/>
      <c r="N305" s="9" t="str">
        <f t="shared" si="17"/>
        <v/>
      </c>
      <c r="O305" s="20"/>
      <c r="Q305" s="637">
        <f t="shared" si="18"/>
        <v>0</v>
      </c>
      <c r="R305" s="637">
        <f t="shared" si="19"/>
        <v>0</v>
      </c>
    </row>
    <row r="306" spans="1:18">
      <c r="A306" s="631"/>
      <c r="B306" s="632"/>
      <c r="C306" s="623"/>
      <c r="D306" s="623"/>
      <c r="E306" s="3"/>
      <c r="F306" s="274"/>
      <c r="G306" s="274"/>
      <c r="H306" s="8"/>
      <c r="I306" s="8"/>
      <c r="J306" s="413">
        <f t="shared" si="16"/>
        <v>0</v>
      </c>
      <c r="K306" s="35"/>
      <c r="L306" s="8"/>
      <c r="M306" s="7"/>
      <c r="N306" s="9" t="str">
        <f t="shared" si="17"/>
        <v/>
      </c>
      <c r="O306" s="20"/>
      <c r="Q306" s="637">
        <f t="shared" si="18"/>
        <v>0</v>
      </c>
      <c r="R306" s="637">
        <f t="shared" si="19"/>
        <v>0</v>
      </c>
    </row>
    <row r="307" spans="1:18">
      <c r="A307" s="631"/>
      <c r="B307" s="632"/>
      <c r="C307" s="623"/>
      <c r="D307" s="623"/>
      <c r="E307" s="3"/>
      <c r="F307" s="274"/>
      <c r="G307" s="274"/>
      <c r="H307" s="8"/>
      <c r="I307" s="8"/>
      <c r="J307" s="413">
        <f t="shared" si="16"/>
        <v>0</v>
      </c>
      <c r="K307" s="35"/>
      <c r="L307" s="8"/>
      <c r="M307" s="7"/>
      <c r="N307" s="9" t="str">
        <f t="shared" si="17"/>
        <v/>
      </c>
      <c r="O307" s="20"/>
      <c r="Q307" s="637">
        <f t="shared" si="18"/>
        <v>0</v>
      </c>
      <c r="R307" s="637">
        <f t="shared" si="19"/>
        <v>0</v>
      </c>
    </row>
    <row r="308" spans="1:18">
      <c r="A308" s="631"/>
      <c r="B308" s="632"/>
      <c r="C308" s="623"/>
      <c r="D308" s="623"/>
      <c r="E308" s="3"/>
      <c r="F308" s="274"/>
      <c r="G308" s="274"/>
      <c r="H308" s="8"/>
      <c r="I308" s="8"/>
      <c r="J308" s="413">
        <f t="shared" si="16"/>
        <v>0</v>
      </c>
      <c r="K308" s="35"/>
      <c r="L308" s="8"/>
      <c r="M308" s="7"/>
      <c r="N308" s="9" t="str">
        <f t="shared" si="17"/>
        <v/>
      </c>
      <c r="O308" s="20"/>
      <c r="Q308" s="637">
        <f t="shared" si="18"/>
        <v>0</v>
      </c>
      <c r="R308" s="637">
        <f t="shared" si="19"/>
        <v>0</v>
      </c>
    </row>
    <row r="309" spans="1:18">
      <c r="A309" s="631"/>
      <c r="B309" s="632"/>
      <c r="C309" s="623"/>
      <c r="D309" s="623"/>
      <c r="E309" s="3"/>
      <c r="F309" s="274"/>
      <c r="G309" s="274"/>
      <c r="H309" s="8"/>
      <c r="I309" s="8"/>
      <c r="J309" s="413">
        <f t="shared" si="16"/>
        <v>0</v>
      </c>
      <c r="K309" s="35"/>
      <c r="L309" s="8"/>
      <c r="M309" s="7"/>
      <c r="N309" s="9" t="str">
        <f t="shared" si="17"/>
        <v/>
      </c>
      <c r="O309" s="20"/>
      <c r="Q309" s="637">
        <f t="shared" si="18"/>
        <v>0</v>
      </c>
      <c r="R309" s="637">
        <f t="shared" si="19"/>
        <v>0</v>
      </c>
    </row>
    <row r="310" spans="1:18">
      <c r="A310" s="631"/>
      <c r="B310" s="632"/>
      <c r="C310" s="623"/>
      <c r="D310" s="623"/>
      <c r="E310" s="3"/>
      <c r="F310" s="274"/>
      <c r="G310" s="274"/>
      <c r="H310" s="8"/>
      <c r="I310" s="8"/>
      <c r="J310" s="413">
        <f t="shared" si="16"/>
        <v>0</v>
      </c>
      <c r="K310" s="35"/>
      <c r="L310" s="8"/>
      <c r="M310" s="7"/>
      <c r="N310" s="9" t="str">
        <f t="shared" si="17"/>
        <v/>
      </c>
      <c r="O310" s="20"/>
      <c r="Q310" s="637">
        <f t="shared" si="18"/>
        <v>0</v>
      </c>
      <c r="R310" s="637">
        <f t="shared" si="19"/>
        <v>0</v>
      </c>
    </row>
    <row r="311" spans="1:18">
      <c r="A311" s="631"/>
      <c r="B311" s="632"/>
      <c r="C311" s="623"/>
      <c r="D311" s="623"/>
      <c r="E311" s="3"/>
      <c r="F311" s="274"/>
      <c r="G311" s="274"/>
      <c r="H311" s="8"/>
      <c r="I311" s="8"/>
      <c r="J311" s="413">
        <f t="shared" si="16"/>
        <v>0</v>
      </c>
      <c r="K311" s="35"/>
      <c r="L311" s="8"/>
      <c r="M311" s="7"/>
      <c r="N311" s="9" t="str">
        <f t="shared" si="17"/>
        <v/>
      </c>
      <c r="O311" s="20"/>
      <c r="Q311" s="637">
        <f t="shared" si="18"/>
        <v>0</v>
      </c>
      <c r="R311" s="637">
        <f t="shared" si="19"/>
        <v>0</v>
      </c>
    </row>
    <row r="312" spans="1:18">
      <c r="A312" s="631"/>
      <c r="B312" s="632"/>
      <c r="C312" s="623"/>
      <c r="D312" s="623"/>
      <c r="E312" s="3"/>
      <c r="F312" s="274"/>
      <c r="G312" s="274"/>
      <c r="H312" s="8"/>
      <c r="I312" s="8"/>
      <c r="J312" s="413">
        <f t="shared" si="16"/>
        <v>0</v>
      </c>
      <c r="K312" s="35"/>
      <c r="L312" s="8"/>
      <c r="M312" s="7"/>
      <c r="N312" s="9" t="str">
        <f t="shared" si="17"/>
        <v/>
      </c>
      <c r="O312" s="20"/>
      <c r="Q312" s="637">
        <f t="shared" si="18"/>
        <v>0</v>
      </c>
      <c r="R312" s="637">
        <f t="shared" si="19"/>
        <v>0</v>
      </c>
    </row>
    <row r="313" spans="1:18">
      <c r="A313" s="631"/>
      <c r="B313" s="632"/>
      <c r="C313" s="623"/>
      <c r="D313" s="623"/>
      <c r="E313" s="3"/>
      <c r="F313" s="274"/>
      <c r="G313" s="274"/>
      <c r="H313" s="8"/>
      <c r="I313" s="8"/>
      <c r="J313" s="413">
        <f t="shared" si="16"/>
        <v>0</v>
      </c>
      <c r="K313" s="35"/>
      <c r="L313" s="8"/>
      <c r="M313" s="7"/>
      <c r="N313" s="9" t="str">
        <f t="shared" si="17"/>
        <v/>
      </c>
      <c r="O313" s="20"/>
      <c r="Q313" s="637">
        <f t="shared" si="18"/>
        <v>0</v>
      </c>
      <c r="R313" s="637">
        <f t="shared" si="19"/>
        <v>0</v>
      </c>
    </row>
    <row r="314" spans="1:18">
      <c r="A314" s="631"/>
      <c r="B314" s="632"/>
      <c r="C314" s="623"/>
      <c r="D314" s="623"/>
      <c r="E314" s="3"/>
      <c r="F314" s="274"/>
      <c r="G314" s="274"/>
      <c r="H314" s="8"/>
      <c r="I314" s="8"/>
      <c r="J314" s="413">
        <f t="shared" si="16"/>
        <v>0</v>
      </c>
      <c r="K314" s="35"/>
      <c r="L314" s="8"/>
      <c r="M314" s="7"/>
      <c r="N314" s="9" t="str">
        <f t="shared" si="17"/>
        <v/>
      </c>
      <c r="O314" s="20"/>
      <c r="Q314" s="637">
        <f t="shared" si="18"/>
        <v>0</v>
      </c>
      <c r="R314" s="637">
        <f t="shared" si="19"/>
        <v>0</v>
      </c>
    </row>
    <row r="315" spans="1:18">
      <c r="A315" s="631"/>
      <c r="B315" s="632"/>
      <c r="C315" s="623"/>
      <c r="D315" s="623"/>
      <c r="E315" s="3"/>
      <c r="F315" s="274"/>
      <c r="G315" s="274"/>
      <c r="H315" s="8"/>
      <c r="I315" s="8"/>
      <c r="J315" s="413">
        <f t="shared" si="16"/>
        <v>0</v>
      </c>
      <c r="K315" s="35"/>
      <c r="L315" s="8"/>
      <c r="M315" s="7"/>
      <c r="N315" s="9" t="str">
        <f t="shared" si="17"/>
        <v/>
      </c>
      <c r="O315" s="20"/>
      <c r="Q315" s="637">
        <f t="shared" si="18"/>
        <v>0</v>
      </c>
      <c r="R315" s="637">
        <f t="shared" si="19"/>
        <v>0</v>
      </c>
    </row>
    <row r="316" spans="1:18">
      <c r="A316" s="631"/>
      <c r="B316" s="632"/>
      <c r="C316" s="623"/>
      <c r="D316" s="623"/>
      <c r="E316" s="3"/>
      <c r="F316" s="274"/>
      <c r="G316" s="274"/>
      <c r="H316" s="8"/>
      <c r="I316" s="8"/>
      <c r="J316" s="413">
        <f t="shared" si="16"/>
        <v>0</v>
      </c>
      <c r="K316" s="35"/>
      <c r="L316" s="8"/>
      <c r="M316" s="7"/>
      <c r="N316" s="9" t="str">
        <f t="shared" si="17"/>
        <v/>
      </c>
      <c r="O316" s="20"/>
      <c r="Q316" s="637">
        <f t="shared" si="18"/>
        <v>0</v>
      </c>
      <c r="R316" s="637">
        <f t="shared" si="19"/>
        <v>0</v>
      </c>
    </row>
    <row r="317" spans="1:18">
      <c r="A317" s="631"/>
      <c r="B317" s="632"/>
      <c r="C317" s="623"/>
      <c r="D317" s="623"/>
      <c r="E317" s="3"/>
      <c r="F317" s="274"/>
      <c r="G317" s="274"/>
      <c r="H317" s="8"/>
      <c r="I317" s="8"/>
      <c r="J317" s="413">
        <f t="shared" si="16"/>
        <v>0</v>
      </c>
      <c r="K317" s="35"/>
      <c r="L317" s="8"/>
      <c r="M317" s="7"/>
      <c r="N317" s="9" t="str">
        <f t="shared" si="17"/>
        <v/>
      </c>
      <c r="O317" s="20"/>
      <c r="Q317" s="637">
        <f t="shared" si="18"/>
        <v>0</v>
      </c>
      <c r="R317" s="637">
        <f t="shared" si="19"/>
        <v>0</v>
      </c>
    </row>
    <row r="318" spans="1:18">
      <c r="A318" s="631"/>
      <c r="B318" s="632"/>
      <c r="C318" s="623"/>
      <c r="D318" s="623"/>
      <c r="E318" s="3"/>
      <c r="F318" s="274"/>
      <c r="G318" s="274"/>
      <c r="H318" s="8"/>
      <c r="I318" s="8"/>
      <c r="J318" s="413">
        <f t="shared" si="16"/>
        <v>0</v>
      </c>
      <c r="K318" s="35"/>
      <c r="L318" s="8"/>
      <c r="M318" s="7"/>
      <c r="N318" s="9" t="str">
        <f t="shared" si="17"/>
        <v/>
      </c>
      <c r="O318" s="20"/>
      <c r="Q318" s="637">
        <f t="shared" si="18"/>
        <v>0</v>
      </c>
      <c r="R318" s="637">
        <f t="shared" si="19"/>
        <v>0</v>
      </c>
    </row>
    <row r="319" spans="1:18">
      <c r="A319" s="631"/>
      <c r="B319" s="632"/>
      <c r="C319" s="623"/>
      <c r="D319" s="623"/>
      <c r="E319" s="3"/>
      <c r="F319" s="274"/>
      <c r="G319" s="274"/>
      <c r="H319" s="8"/>
      <c r="I319" s="8"/>
      <c r="J319" s="413">
        <f t="shared" si="16"/>
        <v>0</v>
      </c>
      <c r="K319" s="35"/>
      <c r="L319" s="8"/>
      <c r="M319" s="7"/>
      <c r="N319" s="9" t="str">
        <f t="shared" si="17"/>
        <v/>
      </c>
      <c r="O319" s="20"/>
      <c r="Q319" s="637">
        <f t="shared" si="18"/>
        <v>0</v>
      </c>
      <c r="R319" s="637">
        <f t="shared" si="19"/>
        <v>0</v>
      </c>
    </row>
    <row r="320" spans="1:18">
      <c r="A320" s="631"/>
      <c r="B320" s="632"/>
      <c r="C320" s="623"/>
      <c r="D320" s="623"/>
      <c r="E320" s="3"/>
      <c r="F320" s="274"/>
      <c r="G320" s="274"/>
      <c r="H320" s="8"/>
      <c r="I320" s="8"/>
      <c r="J320" s="413">
        <f t="shared" si="16"/>
        <v>0</v>
      </c>
      <c r="K320" s="35"/>
      <c r="L320" s="8"/>
      <c r="M320" s="7"/>
      <c r="N320" s="9" t="str">
        <f t="shared" si="17"/>
        <v/>
      </c>
      <c r="O320" s="20"/>
      <c r="Q320" s="637">
        <f t="shared" si="18"/>
        <v>0</v>
      </c>
      <c r="R320" s="637">
        <f t="shared" si="19"/>
        <v>0</v>
      </c>
    </row>
    <row r="321" spans="1:18">
      <c r="A321" s="631"/>
      <c r="B321" s="632"/>
      <c r="C321" s="623"/>
      <c r="D321" s="623"/>
      <c r="E321" s="3"/>
      <c r="F321" s="274"/>
      <c r="G321" s="274"/>
      <c r="H321" s="8"/>
      <c r="I321" s="8"/>
      <c r="J321" s="413">
        <f t="shared" si="16"/>
        <v>0</v>
      </c>
      <c r="K321" s="35"/>
      <c r="L321" s="8"/>
      <c r="M321" s="7"/>
      <c r="N321" s="9" t="str">
        <f t="shared" si="17"/>
        <v/>
      </c>
      <c r="O321" s="20"/>
      <c r="Q321" s="637">
        <f t="shared" si="18"/>
        <v>0</v>
      </c>
      <c r="R321" s="637">
        <f t="shared" si="19"/>
        <v>0</v>
      </c>
    </row>
    <row r="322" spans="1:18">
      <c r="A322" s="631"/>
      <c r="B322" s="632"/>
      <c r="C322" s="623"/>
      <c r="D322" s="623"/>
      <c r="E322" s="3"/>
      <c r="F322" s="274"/>
      <c r="G322" s="274"/>
      <c r="H322" s="8"/>
      <c r="I322" s="8"/>
      <c r="J322" s="413">
        <f t="shared" si="16"/>
        <v>0</v>
      </c>
      <c r="K322" s="35"/>
      <c r="L322" s="8"/>
      <c r="M322" s="7"/>
      <c r="N322" s="9" t="str">
        <f t="shared" si="17"/>
        <v/>
      </c>
      <c r="O322" s="20"/>
      <c r="Q322" s="637">
        <f t="shared" si="18"/>
        <v>0</v>
      </c>
      <c r="R322" s="637">
        <f t="shared" si="19"/>
        <v>0</v>
      </c>
    </row>
    <row r="323" spans="1:18">
      <c r="A323" s="631"/>
      <c r="B323" s="632"/>
      <c r="C323" s="623"/>
      <c r="D323" s="623"/>
      <c r="E323" s="25"/>
      <c r="F323" s="274"/>
      <c r="G323" s="274"/>
      <c r="H323" s="8"/>
      <c r="I323" s="8"/>
      <c r="J323" s="413">
        <f t="shared" si="16"/>
        <v>0</v>
      </c>
      <c r="K323" s="35"/>
      <c r="L323" s="8"/>
      <c r="M323" s="7"/>
      <c r="N323" s="9" t="str">
        <f t="shared" si="17"/>
        <v/>
      </c>
      <c r="O323" s="20"/>
      <c r="Q323" s="637">
        <f t="shared" si="18"/>
        <v>0</v>
      </c>
      <c r="R323" s="637">
        <f t="shared" si="19"/>
        <v>0</v>
      </c>
    </row>
    <row r="324" spans="1:18">
      <c r="A324" s="631"/>
      <c r="B324" s="632"/>
      <c r="C324" s="623"/>
      <c r="D324" s="623"/>
      <c r="E324" s="25"/>
      <c r="F324" s="274"/>
      <c r="G324" s="274"/>
      <c r="H324" s="8"/>
      <c r="I324" s="8"/>
      <c r="J324" s="413">
        <f t="shared" si="16"/>
        <v>0</v>
      </c>
      <c r="K324" s="35"/>
      <c r="L324" s="8"/>
      <c r="M324" s="7"/>
      <c r="N324" s="9" t="str">
        <f t="shared" si="17"/>
        <v/>
      </c>
      <c r="O324" s="20"/>
      <c r="Q324" s="637">
        <f t="shared" si="18"/>
        <v>0</v>
      </c>
      <c r="R324" s="637">
        <f t="shared" si="19"/>
        <v>0</v>
      </c>
    </row>
    <row r="325" spans="1:18">
      <c r="A325" s="631"/>
      <c r="B325" s="632"/>
      <c r="C325" s="623"/>
      <c r="D325" s="623"/>
      <c r="E325" s="25"/>
      <c r="F325" s="274"/>
      <c r="G325" s="274"/>
      <c r="H325" s="8"/>
      <c r="I325" s="8"/>
      <c r="J325" s="413">
        <f t="shared" si="16"/>
        <v>0</v>
      </c>
      <c r="K325" s="35"/>
      <c r="L325" s="8"/>
      <c r="M325" s="7"/>
      <c r="N325" s="9" t="str">
        <f t="shared" si="17"/>
        <v/>
      </c>
      <c r="O325" s="20"/>
      <c r="Q325" s="637">
        <f t="shared" si="18"/>
        <v>0</v>
      </c>
      <c r="R325" s="637">
        <f t="shared" si="19"/>
        <v>0</v>
      </c>
    </row>
    <row r="326" spans="1:18">
      <c r="A326" s="631"/>
      <c r="B326" s="632"/>
      <c r="C326" s="623"/>
      <c r="D326" s="623"/>
      <c r="E326" s="25"/>
      <c r="F326" s="274"/>
      <c r="G326" s="274"/>
      <c r="H326" s="8"/>
      <c r="I326" s="8"/>
      <c r="J326" s="413">
        <f t="shared" ref="J326:J353" si="20">(+F326*G326+H326*I326)*E326</f>
        <v>0</v>
      </c>
      <c r="K326" s="35"/>
      <c r="L326" s="8"/>
      <c r="M326" s="7"/>
      <c r="N326" s="9" t="str">
        <f t="shared" ref="N326:N353" si="21">IF(K326=0,"",L326*M326*E326)</f>
        <v/>
      </c>
      <c r="O326" s="20"/>
      <c r="Q326" s="637">
        <f t="shared" ref="Q326:Q353" si="22">F326*G326*E326</f>
        <v>0</v>
      </c>
      <c r="R326" s="637">
        <f t="shared" ref="R326:R353" si="23">H326*E326*I326</f>
        <v>0</v>
      </c>
    </row>
    <row r="327" spans="1:18">
      <c r="A327" s="631"/>
      <c r="B327" s="632"/>
      <c r="C327" s="623"/>
      <c r="D327" s="623"/>
      <c r="E327" s="25"/>
      <c r="F327" s="274"/>
      <c r="G327" s="274"/>
      <c r="H327" s="8"/>
      <c r="I327" s="8"/>
      <c r="J327" s="413">
        <f t="shared" si="20"/>
        <v>0</v>
      </c>
      <c r="K327" s="35"/>
      <c r="L327" s="8"/>
      <c r="M327" s="7"/>
      <c r="N327" s="9" t="str">
        <f t="shared" si="21"/>
        <v/>
      </c>
      <c r="O327" s="20"/>
      <c r="Q327" s="637">
        <f t="shared" si="22"/>
        <v>0</v>
      </c>
      <c r="R327" s="637">
        <f t="shared" si="23"/>
        <v>0</v>
      </c>
    </row>
    <row r="328" spans="1:18">
      <c r="A328" s="631"/>
      <c r="B328" s="632"/>
      <c r="C328" s="623"/>
      <c r="D328" s="623"/>
      <c r="E328" s="25"/>
      <c r="F328" s="274"/>
      <c r="G328" s="274"/>
      <c r="H328" s="8"/>
      <c r="I328" s="8"/>
      <c r="J328" s="413">
        <f t="shared" si="20"/>
        <v>0</v>
      </c>
      <c r="K328" s="35"/>
      <c r="L328" s="8"/>
      <c r="M328" s="7"/>
      <c r="N328" s="9" t="str">
        <f t="shared" si="21"/>
        <v/>
      </c>
      <c r="O328" s="20"/>
      <c r="Q328" s="637">
        <f t="shared" si="22"/>
        <v>0</v>
      </c>
      <c r="R328" s="637">
        <f t="shared" si="23"/>
        <v>0</v>
      </c>
    </row>
    <row r="329" spans="1:18">
      <c r="A329" s="631"/>
      <c r="B329" s="632"/>
      <c r="C329" s="623"/>
      <c r="D329" s="623"/>
      <c r="E329" s="25"/>
      <c r="F329" s="274"/>
      <c r="G329" s="274"/>
      <c r="H329" s="8"/>
      <c r="I329" s="8"/>
      <c r="J329" s="413">
        <f t="shared" si="20"/>
        <v>0</v>
      </c>
      <c r="K329" s="35"/>
      <c r="L329" s="8"/>
      <c r="M329" s="7"/>
      <c r="N329" s="9" t="str">
        <f t="shared" si="21"/>
        <v/>
      </c>
      <c r="O329" s="20"/>
      <c r="Q329" s="637">
        <f t="shared" si="22"/>
        <v>0</v>
      </c>
      <c r="R329" s="637">
        <f t="shared" si="23"/>
        <v>0</v>
      </c>
    </row>
    <row r="330" spans="1:18">
      <c r="A330" s="631"/>
      <c r="B330" s="632"/>
      <c r="C330" s="623"/>
      <c r="D330" s="623"/>
      <c r="E330" s="25"/>
      <c r="F330" s="274"/>
      <c r="G330" s="274"/>
      <c r="H330" s="8"/>
      <c r="I330" s="8"/>
      <c r="J330" s="413">
        <f t="shared" si="20"/>
        <v>0</v>
      </c>
      <c r="K330" s="35"/>
      <c r="L330" s="8"/>
      <c r="M330" s="7"/>
      <c r="N330" s="9" t="str">
        <f t="shared" si="21"/>
        <v/>
      </c>
      <c r="O330" s="20"/>
      <c r="Q330" s="637">
        <f t="shared" si="22"/>
        <v>0</v>
      </c>
      <c r="R330" s="637">
        <f t="shared" si="23"/>
        <v>0</v>
      </c>
    </row>
    <row r="331" spans="1:18">
      <c r="A331" s="631"/>
      <c r="B331" s="632"/>
      <c r="C331" s="623"/>
      <c r="D331" s="623"/>
      <c r="E331" s="25"/>
      <c r="F331" s="274"/>
      <c r="G331" s="274"/>
      <c r="H331" s="8"/>
      <c r="I331" s="8"/>
      <c r="J331" s="413">
        <f t="shared" si="20"/>
        <v>0</v>
      </c>
      <c r="K331" s="35"/>
      <c r="L331" s="8"/>
      <c r="M331" s="7"/>
      <c r="N331" s="9" t="str">
        <f t="shared" si="21"/>
        <v/>
      </c>
      <c r="O331" s="20"/>
      <c r="Q331" s="637">
        <f t="shared" si="22"/>
        <v>0</v>
      </c>
      <c r="R331" s="637">
        <f t="shared" si="23"/>
        <v>0</v>
      </c>
    </row>
    <row r="332" spans="1:18">
      <c r="A332" s="631"/>
      <c r="B332" s="632"/>
      <c r="C332" s="623"/>
      <c r="D332" s="623"/>
      <c r="E332" s="25"/>
      <c r="F332" s="274"/>
      <c r="G332" s="274"/>
      <c r="H332" s="8"/>
      <c r="I332" s="8"/>
      <c r="J332" s="413">
        <f t="shared" si="20"/>
        <v>0</v>
      </c>
      <c r="K332" s="35"/>
      <c r="L332" s="8"/>
      <c r="M332" s="7"/>
      <c r="N332" s="9" t="str">
        <f t="shared" si="21"/>
        <v/>
      </c>
      <c r="O332" s="20"/>
      <c r="Q332" s="637">
        <f t="shared" si="22"/>
        <v>0</v>
      </c>
      <c r="R332" s="637">
        <f t="shared" si="23"/>
        <v>0</v>
      </c>
    </row>
    <row r="333" spans="1:18">
      <c r="A333" s="631"/>
      <c r="B333" s="632"/>
      <c r="C333" s="623"/>
      <c r="D333" s="623"/>
      <c r="E333" s="25"/>
      <c r="F333" s="274"/>
      <c r="G333" s="274"/>
      <c r="H333" s="8"/>
      <c r="I333" s="8"/>
      <c r="J333" s="413">
        <f t="shared" si="20"/>
        <v>0</v>
      </c>
      <c r="K333" s="35"/>
      <c r="L333" s="8"/>
      <c r="M333" s="7"/>
      <c r="N333" s="9" t="str">
        <f t="shared" si="21"/>
        <v/>
      </c>
      <c r="O333" s="20"/>
      <c r="Q333" s="637">
        <f t="shared" si="22"/>
        <v>0</v>
      </c>
      <c r="R333" s="637">
        <f t="shared" si="23"/>
        <v>0</v>
      </c>
    </row>
    <row r="334" spans="1:18">
      <c r="A334" s="631"/>
      <c r="B334" s="632"/>
      <c r="C334" s="623"/>
      <c r="D334" s="623"/>
      <c r="E334" s="25"/>
      <c r="F334" s="274"/>
      <c r="G334" s="274"/>
      <c r="H334" s="8"/>
      <c r="I334" s="8"/>
      <c r="J334" s="413">
        <f t="shared" si="20"/>
        <v>0</v>
      </c>
      <c r="K334" s="35"/>
      <c r="L334" s="8"/>
      <c r="M334" s="7"/>
      <c r="N334" s="9" t="str">
        <f t="shared" si="21"/>
        <v/>
      </c>
      <c r="O334" s="20"/>
      <c r="Q334" s="637">
        <f t="shared" si="22"/>
        <v>0</v>
      </c>
      <c r="R334" s="637">
        <f t="shared" si="23"/>
        <v>0</v>
      </c>
    </row>
    <row r="335" spans="1:18">
      <c r="A335" s="631"/>
      <c r="B335" s="632"/>
      <c r="C335" s="623"/>
      <c r="D335" s="623"/>
      <c r="E335" s="25"/>
      <c r="F335" s="274"/>
      <c r="G335" s="274"/>
      <c r="H335" s="8"/>
      <c r="I335" s="8"/>
      <c r="J335" s="413">
        <f t="shared" si="20"/>
        <v>0</v>
      </c>
      <c r="K335" s="35"/>
      <c r="L335" s="8"/>
      <c r="M335" s="7"/>
      <c r="N335" s="9" t="str">
        <f t="shared" si="21"/>
        <v/>
      </c>
      <c r="O335" s="20"/>
      <c r="Q335" s="637">
        <f t="shared" si="22"/>
        <v>0</v>
      </c>
      <c r="R335" s="637">
        <f t="shared" si="23"/>
        <v>0</v>
      </c>
    </row>
    <row r="336" spans="1:18">
      <c r="A336" s="631"/>
      <c r="B336" s="632"/>
      <c r="C336" s="623"/>
      <c r="D336" s="623"/>
      <c r="E336" s="25"/>
      <c r="F336" s="274"/>
      <c r="G336" s="274"/>
      <c r="H336" s="8"/>
      <c r="I336" s="8"/>
      <c r="J336" s="413">
        <f t="shared" si="20"/>
        <v>0</v>
      </c>
      <c r="K336" s="35"/>
      <c r="L336" s="8"/>
      <c r="M336" s="7"/>
      <c r="N336" s="9" t="str">
        <f t="shared" si="21"/>
        <v/>
      </c>
      <c r="O336" s="20"/>
      <c r="Q336" s="637">
        <f t="shared" si="22"/>
        <v>0</v>
      </c>
      <c r="R336" s="637">
        <f t="shared" si="23"/>
        <v>0</v>
      </c>
    </row>
    <row r="337" spans="1:18">
      <c r="A337" s="631"/>
      <c r="B337" s="632"/>
      <c r="C337" s="623"/>
      <c r="D337" s="623"/>
      <c r="E337" s="25"/>
      <c r="F337" s="274"/>
      <c r="G337" s="274"/>
      <c r="H337" s="8"/>
      <c r="I337" s="8"/>
      <c r="J337" s="413">
        <f t="shared" si="20"/>
        <v>0</v>
      </c>
      <c r="K337" s="35"/>
      <c r="L337" s="8"/>
      <c r="M337" s="7"/>
      <c r="N337" s="9" t="str">
        <f t="shared" si="21"/>
        <v/>
      </c>
      <c r="O337" s="20"/>
      <c r="Q337" s="637">
        <f t="shared" si="22"/>
        <v>0</v>
      </c>
      <c r="R337" s="637">
        <f t="shared" si="23"/>
        <v>0</v>
      </c>
    </row>
    <row r="338" spans="1:18">
      <c r="A338" s="631"/>
      <c r="B338" s="632"/>
      <c r="C338" s="623"/>
      <c r="D338" s="623"/>
      <c r="E338" s="25"/>
      <c r="F338" s="274"/>
      <c r="G338" s="274"/>
      <c r="H338" s="8"/>
      <c r="I338" s="8"/>
      <c r="J338" s="413">
        <f t="shared" si="20"/>
        <v>0</v>
      </c>
      <c r="K338" s="35"/>
      <c r="L338" s="8"/>
      <c r="M338" s="7"/>
      <c r="N338" s="9" t="str">
        <f t="shared" si="21"/>
        <v/>
      </c>
      <c r="O338" s="20"/>
      <c r="Q338" s="637">
        <f t="shared" si="22"/>
        <v>0</v>
      </c>
      <c r="R338" s="637">
        <f t="shared" si="23"/>
        <v>0</v>
      </c>
    </row>
    <row r="339" spans="1:18">
      <c r="A339" s="631"/>
      <c r="B339" s="632"/>
      <c r="C339" s="623"/>
      <c r="D339" s="623"/>
      <c r="E339" s="25"/>
      <c r="F339" s="274"/>
      <c r="G339" s="274"/>
      <c r="H339" s="8"/>
      <c r="I339" s="8"/>
      <c r="J339" s="413">
        <f t="shared" si="20"/>
        <v>0</v>
      </c>
      <c r="K339" s="35"/>
      <c r="L339" s="8"/>
      <c r="M339" s="7"/>
      <c r="N339" s="9" t="str">
        <f t="shared" si="21"/>
        <v/>
      </c>
      <c r="O339" s="20"/>
      <c r="Q339" s="637">
        <f t="shared" si="22"/>
        <v>0</v>
      </c>
      <c r="R339" s="637">
        <f t="shared" si="23"/>
        <v>0</v>
      </c>
    </row>
    <row r="340" spans="1:18">
      <c r="A340" s="631"/>
      <c r="B340" s="632"/>
      <c r="C340" s="623"/>
      <c r="D340" s="623"/>
      <c r="E340" s="25"/>
      <c r="F340" s="274"/>
      <c r="G340" s="274"/>
      <c r="H340" s="8"/>
      <c r="I340" s="8"/>
      <c r="J340" s="413">
        <f t="shared" si="20"/>
        <v>0</v>
      </c>
      <c r="K340" s="35"/>
      <c r="L340" s="8"/>
      <c r="M340" s="7"/>
      <c r="N340" s="9" t="str">
        <f t="shared" si="21"/>
        <v/>
      </c>
      <c r="O340" s="20"/>
      <c r="Q340" s="637">
        <f t="shared" si="22"/>
        <v>0</v>
      </c>
      <c r="R340" s="637">
        <f t="shared" si="23"/>
        <v>0</v>
      </c>
    </row>
    <row r="341" spans="1:18">
      <c r="A341" s="631"/>
      <c r="B341" s="632"/>
      <c r="C341" s="623"/>
      <c r="D341" s="623"/>
      <c r="E341" s="25"/>
      <c r="F341" s="274"/>
      <c r="G341" s="274"/>
      <c r="H341" s="8"/>
      <c r="I341" s="8"/>
      <c r="J341" s="413">
        <f t="shared" si="20"/>
        <v>0</v>
      </c>
      <c r="K341" s="35"/>
      <c r="L341" s="8"/>
      <c r="M341" s="7"/>
      <c r="N341" s="9" t="str">
        <f t="shared" si="21"/>
        <v/>
      </c>
      <c r="O341" s="20"/>
      <c r="Q341" s="637">
        <f t="shared" si="22"/>
        <v>0</v>
      </c>
      <c r="R341" s="637">
        <f t="shared" si="23"/>
        <v>0</v>
      </c>
    </row>
    <row r="342" spans="1:18">
      <c r="A342" s="631"/>
      <c r="B342" s="632"/>
      <c r="C342" s="623"/>
      <c r="D342" s="623"/>
      <c r="E342" s="25"/>
      <c r="F342" s="274"/>
      <c r="G342" s="274"/>
      <c r="H342" s="8"/>
      <c r="I342" s="8"/>
      <c r="J342" s="413">
        <f t="shared" si="20"/>
        <v>0</v>
      </c>
      <c r="K342" s="35"/>
      <c r="L342" s="8"/>
      <c r="M342" s="7"/>
      <c r="N342" s="9" t="str">
        <f t="shared" si="21"/>
        <v/>
      </c>
      <c r="O342" s="20"/>
      <c r="Q342" s="637">
        <f t="shared" si="22"/>
        <v>0</v>
      </c>
      <c r="R342" s="637">
        <f t="shared" si="23"/>
        <v>0</v>
      </c>
    </row>
    <row r="343" spans="1:18">
      <c r="A343" s="631"/>
      <c r="B343" s="632"/>
      <c r="C343" s="623"/>
      <c r="D343" s="623"/>
      <c r="E343" s="25"/>
      <c r="F343" s="274"/>
      <c r="G343" s="274"/>
      <c r="H343" s="8"/>
      <c r="I343" s="8"/>
      <c r="J343" s="413">
        <f t="shared" si="20"/>
        <v>0</v>
      </c>
      <c r="K343" s="35"/>
      <c r="L343" s="8"/>
      <c r="M343" s="7"/>
      <c r="N343" s="9" t="str">
        <f t="shared" si="21"/>
        <v/>
      </c>
      <c r="O343" s="20"/>
      <c r="Q343" s="637">
        <f t="shared" si="22"/>
        <v>0</v>
      </c>
      <c r="R343" s="637">
        <f t="shared" si="23"/>
        <v>0</v>
      </c>
    </row>
    <row r="344" spans="1:18">
      <c r="A344" s="631"/>
      <c r="B344" s="632"/>
      <c r="C344" s="623"/>
      <c r="D344" s="623"/>
      <c r="E344" s="25"/>
      <c r="F344" s="274"/>
      <c r="G344" s="274"/>
      <c r="H344" s="8"/>
      <c r="I344" s="8"/>
      <c r="J344" s="413">
        <f t="shared" si="20"/>
        <v>0</v>
      </c>
      <c r="K344" s="35"/>
      <c r="L344" s="8"/>
      <c r="M344" s="7"/>
      <c r="N344" s="9" t="str">
        <f t="shared" si="21"/>
        <v/>
      </c>
      <c r="O344" s="20"/>
      <c r="Q344" s="637">
        <f t="shared" si="22"/>
        <v>0</v>
      </c>
      <c r="R344" s="637">
        <f t="shared" si="23"/>
        <v>0</v>
      </c>
    </row>
    <row r="345" spans="1:18">
      <c r="A345" s="631"/>
      <c r="B345" s="632"/>
      <c r="C345" s="623"/>
      <c r="D345" s="623"/>
      <c r="E345" s="25"/>
      <c r="F345" s="274"/>
      <c r="G345" s="274"/>
      <c r="H345" s="8"/>
      <c r="I345" s="8"/>
      <c r="J345" s="413">
        <f t="shared" si="20"/>
        <v>0</v>
      </c>
      <c r="K345" s="35"/>
      <c r="L345" s="8"/>
      <c r="M345" s="7"/>
      <c r="N345" s="9" t="str">
        <f t="shared" si="21"/>
        <v/>
      </c>
      <c r="O345" s="20"/>
      <c r="Q345" s="637">
        <f t="shared" si="22"/>
        <v>0</v>
      </c>
      <c r="R345" s="637">
        <f t="shared" si="23"/>
        <v>0</v>
      </c>
    </row>
    <row r="346" spans="1:18">
      <c r="A346" s="631"/>
      <c r="B346" s="632"/>
      <c r="C346" s="623"/>
      <c r="D346" s="623"/>
      <c r="E346" s="25"/>
      <c r="F346" s="274"/>
      <c r="G346" s="274"/>
      <c r="H346" s="8"/>
      <c r="I346" s="8"/>
      <c r="J346" s="413">
        <f t="shared" si="20"/>
        <v>0</v>
      </c>
      <c r="K346" s="35"/>
      <c r="L346" s="8"/>
      <c r="M346" s="7"/>
      <c r="N346" s="9" t="str">
        <f t="shared" si="21"/>
        <v/>
      </c>
      <c r="O346" s="20"/>
      <c r="Q346" s="637">
        <f t="shared" si="22"/>
        <v>0</v>
      </c>
      <c r="R346" s="637">
        <f t="shared" si="23"/>
        <v>0</v>
      </c>
    </row>
    <row r="347" spans="1:18">
      <c r="A347" s="631"/>
      <c r="B347" s="632"/>
      <c r="C347" s="623"/>
      <c r="D347" s="623"/>
      <c r="E347" s="25"/>
      <c r="F347" s="274"/>
      <c r="G347" s="274"/>
      <c r="H347" s="8"/>
      <c r="I347" s="8"/>
      <c r="J347" s="413">
        <f t="shared" si="20"/>
        <v>0</v>
      </c>
      <c r="K347" s="35"/>
      <c r="L347" s="8"/>
      <c r="M347" s="7"/>
      <c r="N347" s="9" t="str">
        <f t="shared" si="21"/>
        <v/>
      </c>
      <c r="O347" s="20"/>
      <c r="Q347" s="637">
        <f t="shared" si="22"/>
        <v>0</v>
      </c>
      <c r="R347" s="637">
        <f t="shared" si="23"/>
        <v>0</v>
      </c>
    </row>
    <row r="348" spans="1:18">
      <c r="A348" s="631"/>
      <c r="B348" s="632"/>
      <c r="C348" s="623"/>
      <c r="D348" s="623"/>
      <c r="E348" s="25"/>
      <c r="F348" s="274"/>
      <c r="G348" s="274"/>
      <c r="H348" s="8"/>
      <c r="I348" s="8"/>
      <c r="J348" s="413">
        <f t="shared" si="20"/>
        <v>0</v>
      </c>
      <c r="K348" s="35"/>
      <c r="L348" s="8"/>
      <c r="M348" s="7"/>
      <c r="N348" s="9" t="str">
        <f t="shared" si="21"/>
        <v/>
      </c>
      <c r="O348" s="20"/>
      <c r="Q348" s="637">
        <f t="shared" si="22"/>
        <v>0</v>
      </c>
      <c r="R348" s="637">
        <f t="shared" si="23"/>
        <v>0</v>
      </c>
    </row>
    <row r="349" spans="1:18">
      <c r="A349" s="631"/>
      <c r="B349" s="632"/>
      <c r="C349" s="623"/>
      <c r="D349" s="623"/>
      <c r="E349" s="25"/>
      <c r="F349" s="274"/>
      <c r="G349" s="274"/>
      <c r="H349" s="8"/>
      <c r="I349" s="8"/>
      <c r="J349" s="413">
        <f t="shared" si="20"/>
        <v>0</v>
      </c>
      <c r="K349" s="35"/>
      <c r="L349" s="8"/>
      <c r="M349" s="7"/>
      <c r="N349" s="9" t="str">
        <f t="shared" si="21"/>
        <v/>
      </c>
      <c r="O349" s="20"/>
      <c r="Q349" s="637">
        <f t="shared" si="22"/>
        <v>0</v>
      </c>
      <c r="R349" s="637">
        <f t="shared" si="23"/>
        <v>0</v>
      </c>
    </row>
    <row r="350" spans="1:18">
      <c r="A350" s="631"/>
      <c r="B350" s="632"/>
      <c r="C350" s="623"/>
      <c r="D350" s="623"/>
      <c r="E350" s="25"/>
      <c r="F350" s="274"/>
      <c r="G350" s="274"/>
      <c r="H350" s="8"/>
      <c r="I350" s="8"/>
      <c r="J350" s="413">
        <f t="shared" si="20"/>
        <v>0</v>
      </c>
      <c r="K350" s="35"/>
      <c r="L350" s="8"/>
      <c r="M350" s="7"/>
      <c r="N350" s="9" t="str">
        <f t="shared" si="21"/>
        <v/>
      </c>
      <c r="O350" s="20"/>
      <c r="Q350" s="637">
        <f t="shared" si="22"/>
        <v>0</v>
      </c>
      <c r="R350" s="637">
        <f t="shared" si="23"/>
        <v>0</v>
      </c>
    </row>
    <row r="351" spans="1:18">
      <c r="A351" s="631"/>
      <c r="B351" s="632"/>
      <c r="C351" s="623"/>
      <c r="D351" s="623"/>
      <c r="E351" s="25"/>
      <c r="F351" s="274"/>
      <c r="G351" s="274"/>
      <c r="H351" s="8"/>
      <c r="I351" s="8"/>
      <c r="J351" s="413">
        <f t="shared" si="20"/>
        <v>0</v>
      </c>
      <c r="K351" s="35"/>
      <c r="L351" s="8"/>
      <c r="M351" s="7"/>
      <c r="N351" s="9" t="str">
        <f t="shared" si="21"/>
        <v/>
      </c>
      <c r="O351" s="20"/>
      <c r="Q351" s="637">
        <f t="shared" si="22"/>
        <v>0</v>
      </c>
      <c r="R351" s="637">
        <f t="shared" si="23"/>
        <v>0</v>
      </c>
    </row>
    <row r="352" spans="1:18">
      <c r="A352" s="631"/>
      <c r="B352" s="632"/>
      <c r="C352" s="623"/>
      <c r="D352" s="623"/>
      <c r="E352" s="25"/>
      <c r="F352" s="274"/>
      <c r="G352" s="274"/>
      <c r="H352" s="8"/>
      <c r="I352" s="8"/>
      <c r="J352" s="413">
        <f t="shared" si="20"/>
        <v>0</v>
      </c>
      <c r="K352" s="35"/>
      <c r="L352" s="8"/>
      <c r="M352" s="7"/>
      <c r="N352" s="9" t="str">
        <f t="shared" si="21"/>
        <v/>
      </c>
      <c r="O352" s="20"/>
      <c r="Q352" s="637">
        <f t="shared" si="22"/>
        <v>0</v>
      </c>
      <c r="R352" s="637">
        <f t="shared" si="23"/>
        <v>0</v>
      </c>
    </row>
    <row r="353" spans="1:18" ht="14.25" thickBot="1">
      <c r="A353" s="633"/>
      <c r="B353" s="634"/>
      <c r="C353" s="635"/>
      <c r="D353" s="635"/>
      <c r="E353" s="31"/>
      <c r="F353" s="276"/>
      <c r="G353" s="276"/>
      <c r="H353" s="33"/>
      <c r="I353" s="33"/>
      <c r="J353" s="414">
        <f t="shared" si="20"/>
        <v>0</v>
      </c>
      <c r="K353" s="30"/>
      <c r="L353" s="33"/>
      <c r="M353" s="32"/>
      <c r="N353" s="34" t="str">
        <f t="shared" si="21"/>
        <v/>
      </c>
      <c r="O353" s="21"/>
      <c r="Q353" s="637">
        <f t="shared" si="22"/>
        <v>0</v>
      </c>
      <c r="R353" s="637">
        <f t="shared" si="23"/>
        <v>0</v>
      </c>
    </row>
  </sheetData>
  <sheetProtection sheet="1" objects="1" scenarios="1" selectLockedCells="1"/>
  <mergeCells count="15">
    <mergeCell ref="O2:O4"/>
    <mergeCell ref="F3:G3"/>
    <mergeCell ref="H3:I3"/>
    <mergeCell ref="J3:J4"/>
    <mergeCell ref="K3:K4"/>
    <mergeCell ref="L3:L4"/>
    <mergeCell ref="M3:M4"/>
    <mergeCell ref="N3:N4"/>
    <mergeCell ref="F2:J2"/>
    <mergeCell ref="K2:N2"/>
    <mergeCell ref="A2:A4"/>
    <mergeCell ref="B2:B4"/>
    <mergeCell ref="C2:C4"/>
    <mergeCell ref="D2:D4"/>
    <mergeCell ref="E2:E4"/>
  </mergeCells>
  <phoneticPr fontId="14"/>
  <dataValidations count="5">
    <dataValidation type="list" allowBlank="1" showErrorMessage="1" sqref="K5:K353">
      <formula1>燃料種類</formula1>
      <formula2>0</formula2>
    </dataValidation>
    <dataValidation type="list" allowBlank="1" showErrorMessage="1" sqref="B5:B353">
      <formula1>月旬</formula1>
      <formula2>0</formula2>
    </dataValidation>
    <dataValidation type="list" allowBlank="1" showErrorMessage="1" sqref="A5:A353">
      <formula1>作業名</formula1>
      <formula2>0</formula2>
    </dataValidation>
    <dataValidation type="list" allowBlank="1" showInputMessage="1" showErrorMessage="1" sqref="C5:C353">
      <formula1>機械</formula1>
    </dataValidation>
    <dataValidation type="list" allowBlank="1" showInputMessage="1" showErrorMessage="1" sqref="D5:D353">
      <formula1>機械能力</formula1>
    </dataValidation>
  </dataValidations>
  <printOptions horizontalCentered="1"/>
  <pageMargins left="0.23622047244094491" right="0.23622047244094491" top="0.74803149606299213" bottom="0.74803149606299213" header="0.31496062992125984" footer="0.31496062992125984"/>
  <pageSetup paperSize="9" scale="86" firstPageNumber="0" fitToHeight="0" orientation="landscape" cellComments="asDisplayed" verticalDpi="300" r:id="rId1"/>
  <headerFooter alignWithMargins="0">
    <oddHeader>&amp;L&amp;D&amp;F &amp;A</oddHeader>
    <oddFooter>&amp;C&amp;14&amp;P/&amp;N</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22"/>
  <sheetViews>
    <sheetView workbookViewId="0">
      <pane xSplit="1" ySplit="7" topLeftCell="B8" activePane="bottomRight" state="frozen"/>
      <selection pane="topRight" activeCell="B1" sqref="B1"/>
      <selection pane="bottomLeft" activeCell="A8" sqref="A8"/>
      <selection pane="bottomRight" activeCell="H20" sqref="H20"/>
    </sheetView>
  </sheetViews>
  <sheetFormatPr defaultRowHeight="13.5"/>
  <cols>
    <col min="1" max="1" width="9" style="307"/>
    <col min="2" max="7" width="12.625" style="307" customWidth="1"/>
    <col min="8" max="8" width="48.5" style="307" customWidth="1"/>
    <col min="9" max="9" width="9" style="307"/>
    <col min="10" max="10" width="24.125" style="307" customWidth="1"/>
    <col min="11" max="13" width="9" style="307"/>
    <col min="14" max="14" width="13.125" style="307" customWidth="1"/>
    <col min="15" max="15" width="12.625" style="307" bestFit="1" customWidth="1"/>
    <col min="16" max="16" width="13.125" style="307" bestFit="1" customWidth="1"/>
    <col min="17" max="17" width="15.5" style="307" bestFit="1" customWidth="1"/>
    <col min="18" max="16384" width="9" style="307"/>
  </cols>
  <sheetData>
    <row r="1" spans="1:17" ht="17.25">
      <c r="A1" s="311"/>
    </row>
    <row r="2" spans="1:17" ht="14.25" thickBot="1">
      <c r="A2" s="87"/>
      <c r="B2" s="642" t="s">
        <v>660</v>
      </c>
      <c r="C2" s="643"/>
      <c r="D2" s="643"/>
      <c r="E2" s="310"/>
      <c r="F2" s="646" t="s">
        <v>661</v>
      </c>
    </row>
    <row r="3" spans="1:17" ht="14.25" thickBot="1">
      <c r="A3" s="87"/>
      <c r="B3" s="644" t="s">
        <v>655</v>
      </c>
      <c r="C3" s="645">
        <v>0.2</v>
      </c>
      <c r="D3" s="644" t="s">
        <v>634</v>
      </c>
      <c r="E3" s="310"/>
      <c r="F3" s="647">
        <v>0.8</v>
      </c>
    </row>
    <row r="5" spans="1:17" ht="14.25" thickBot="1"/>
    <row r="6" spans="1:17" ht="18" customHeight="1">
      <c r="A6" s="506"/>
      <c r="B6" s="830" t="s">
        <v>405</v>
      </c>
      <c r="C6" s="831"/>
      <c r="D6" s="832"/>
      <c r="E6" s="828" t="s">
        <v>407</v>
      </c>
      <c r="F6" s="833" t="s">
        <v>408</v>
      </c>
      <c r="G6" s="828" t="s">
        <v>639</v>
      </c>
      <c r="H6" s="835" t="s">
        <v>663</v>
      </c>
      <c r="I6" s="308"/>
    </row>
    <row r="7" spans="1:17" ht="18" customHeight="1" thickBot="1">
      <c r="A7" s="507" t="s">
        <v>381</v>
      </c>
      <c r="B7" s="618" t="s">
        <v>645</v>
      </c>
      <c r="C7" s="616" t="s">
        <v>640</v>
      </c>
      <c r="D7" s="617" t="s">
        <v>382</v>
      </c>
      <c r="E7" s="829"/>
      <c r="F7" s="834"/>
      <c r="G7" s="829"/>
      <c r="H7" s="836"/>
      <c r="I7" s="309"/>
    </row>
    <row r="8" spans="1:17" ht="18" customHeight="1">
      <c r="A8" s="508">
        <v>1</v>
      </c>
      <c r="B8" s="534"/>
      <c r="C8" s="535"/>
      <c r="D8" s="536">
        <f>B8*C8</f>
        <v>0</v>
      </c>
      <c r="E8" s="550"/>
      <c r="F8" s="551"/>
      <c r="G8" s="552">
        <f>SUM(D8:F8)</f>
        <v>0</v>
      </c>
      <c r="H8" s="673"/>
      <c r="I8" s="310"/>
      <c r="Q8" s="90"/>
    </row>
    <row r="9" spans="1:17" ht="18" customHeight="1">
      <c r="A9" s="509">
        <v>2</v>
      </c>
      <c r="B9" s="537"/>
      <c r="C9" s="538"/>
      <c r="D9" s="539">
        <f t="shared" ref="D9:D13" si="0">B9*C9</f>
        <v>0</v>
      </c>
      <c r="E9" s="553"/>
      <c r="F9" s="554"/>
      <c r="G9" s="555">
        <f t="shared" ref="G9:G20" si="1">SUM(D9:F9)</f>
        <v>0</v>
      </c>
      <c r="H9" s="674"/>
      <c r="I9" s="310"/>
      <c r="Q9" s="90"/>
    </row>
    <row r="10" spans="1:17" ht="18" customHeight="1">
      <c r="A10" s="509">
        <v>3</v>
      </c>
      <c r="B10" s="537"/>
      <c r="C10" s="538"/>
      <c r="D10" s="539">
        <f t="shared" si="0"/>
        <v>0</v>
      </c>
      <c r="E10" s="553"/>
      <c r="F10" s="554"/>
      <c r="G10" s="555">
        <f t="shared" si="1"/>
        <v>0</v>
      </c>
      <c r="H10" s="674"/>
      <c r="I10" s="310"/>
    </row>
    <row r="11" spans="1:17" ht="18" customHeight="1">
      <c r="A11" s="509">
        <v>4</v>
      </c>
      <c r="B11" s="537"/>
      <c r="C11" s="538"/>
      <c r="D11" s="539">
        <f t="shared" si="0"/>
        <v>0</v>
      </c>
      <c r="E11" s="553"/>
      <c r="F11" s="554"/>
      <c r="G11" s="555">
        <f t="shared" si="1"/>
        <v>0</v>
      </c>
      <c r="H11" s="674"/>
      <c r="I11" s="310"/>
    </row>
    <row r="12" spans="1:17" ht="18" customHeight="1">
      <c r="A12" s="509">
        <v>5</v>
      </c>
      <c r="B12" s="537"/>
      <c r="C12" s="538"/>
      <c r="D12" s="539">
        <f t="shared" si="0"/>
        <v>0</v>
      </c>
      <c r="E12" s="553"/>
      <c r="F12" s="554"/>
      <c r="G12" s="555">
        <f t="shared" si="1"/>
        <v>0</v>
      </c>
      <c r="H12" s="674"/>
      <c r="I12" s="310"/>
    </row>
    <row r="13" spans="1:17" ht="18" customHeight="1">
      <c r="A13" s="509">
        <v>6</v>
      </c>
      <c r="B13" s="537"/>
      <c r="C13" s="538"/>
      <c r="D13" s="539">
        <f t="shared" si="0"/>
        <v>0</v>
      </c>
      <c r="E13" s="553"/>
      <c r="F13" s="554"/>
      <c r="G13" s="555">
        <f t="shared" si="1"/>
        <v>0</v>
      </c>
      <c r="H13" s="674"/>
      <c r="I13" s="310"/>
    </row>
    <row r="14" spans="1:17" ht="18" customHeight="1">
      <c r="A14" s="509">
        <v>7</v>
      </c>
      <c r="B14" s="537"/>
      <c r="C14" s="538"/>
      <c r="D14" s="540">
        <f t="shared" ref="D14:D19" si="2">B14*C14</f>
        <v>0</v>
      </c>
      <c r="E14" s="553"/>
      <c r="F14" s="554"/>
      <c r="G14" s="555">
        <f t="shared" si="1"/>
        <v>0</v>
      </c>
      <c r="H14" s="674"/>
      <c r="I14" s="310"/>
    </row>
    <row r="15" spans="1:17" ht="18" customHeight="1">
      <c r="A15" s="509">
        <v>8</v>
      </c>
      <c r="B15" s="537"/>
      <c r="C15" s="538"/>
      <c r="D15" s="540">
        <f t="shared" si="2"/>
        <v>0</v>
      </c>
      <c r="E15" s="553"/>
      <c r="F15" s="554"/>
      <c r="G15" s="555">
        <f t="shared" si="1"/>
        <v>0</v>
      </c>
      <c r="H15" s="674"/>
      <c r="I15" s="310"/>
    </row>
    <row r="16" spans="1:17" ht="18" customHeight="1">
      <c r="A16" s="509">
        <v>9</v>
      </c>
      <c r="B16" s="537"/>
      <c r="C16" s="538"/>
      <c r="D16" s="540">
        <f t="shared" si="2"/>
        <v>0</v>
      </c>
      <c r="E16" s="553"/>
      <c r="F16" s="554"/>
      <c r="G16" s="555">
        <f t="shared" si="1"/>
        <v>0</v>
      </c>
      <c r="H16" s="674"/>
      <c r="I16" s="310"/>
    </row>
    <row r="17" spans="1:9" ht="18" customHeight="1">
      <c r="A17" s="509">
        <v>10</v>
      </c>
      <c r="B17" s="537"/>
      <c r="C17" s="538"/>
      <c r="D17" s="540">
        <f t="shared" si="2"/>
        <v>0</v>
      </c>
      <c r="E17" s="553"/>
      <c r="F17" s="554"/>
      <c r="G17" s="555">
        <f t="shared" si="1"/>
        <v>0</v>
      </c>
      <c r="H17" s="674"/>
      <c r="I17" s="310"/>
    </row>
    <row r="18" spans="1:9" ht="18" customHeight="1">
      <c r="A18" s="509">
        <v>11</v>
      </c>
      <c r="B18" s="537"/>
      <c r="C18" s="538"/>
      <c r="D18" s="540">
        <f t="shared" si="2"/>
        <v>0</v>
      </c>
      <c r="E18" s="553"/>
      <c r="F18" s="554"/>
      <c r="G18" s="555">
        <f t="shared" si="1"/>
        <v>0</v>
      </c>
      <c r="H18" s="674"/>
      <c r="I18" s="310"/>
    </row>
    <row r="19" spans="1:9" ht="18" customHeight="1" thickBot="1">
      <c r="A19" s="510">
        <v>12</v>
      </c>
      <c r="B19" s="541"/>
      <c r="C19" s="542"/>
      <c r="D19" s="543">
        <f t="shared" si="2"/>
        <v>0</v>
      </c>
      <c r="E19" s="556"/>
      <c r="F19" s="557"/>
      <c r="G19" s="558">
        <f t="shared" si="1"/>
        <v>0</v>
      </c>
      <c r="H19" s="675"/>
      <c r="I19" s="310"/>
    </row>
    <row r="20" spans="1:9" ht="18" customHeight="1" thickBot="1">
      <c r="A20" s="512" t="s">
        <v>406</v>
      </c>
      <c r="B20" s="564">
        <v>0.2</v>
      </c>
      <c r="C20" s="544">
        <v>256000</v>
      </c>
      <c r="D20" s="545">
        <f>B20*C20</f>
        <v>51200</v>
      </c>
      <c r="E20" s="559"/>
      <c r="F20" s="560"/>
      <c r="G20" s="561">
        <f t="shared" si="1"/>
        <v>51200</v>
      </c>
      <c r="H20" s="676" t="s">
        <v>503</v>
      </c>
      <c r="I20" s="310"/>
    </row>
    <row r="21" spans="1:9" ht="18" customHeight="1" thickTop="1" thickBot="1">
      <c r="A21" s="511" t="s">
        <v>383</v>
      </c>
      <c r="B21" s="565">
        <f>SUM(B8:B20)</f>
        <v>0.2</v>
      </c>
      <c r="C21" s="546">
        <f>D21/B21</f>
        <v>256000</v>
      </c>
      <c r="D21" s="547">
        <f>SUM(D8:D20)</f>
        <v>51200</v>
      </c>
      <c r="E21" s="548">
        <f t="shared" ref="E21:G21" si="3">SUM(E8:E20)</f>
        <v>0</v>
      </c>
      <c r="F21" s="549">
        <f t="shared" si="3"/>
        <v>0</v>
      </c>
      <c r="G21" s="548">
        <f t="shared" si="3"/>
        <v>51200</v>
      </c>
      <c r="H21" s="677"/>
      <c r="I21" s="310"/>
    </row>
    <row r="22" spans="1:9" ht="18" customHeight="1"/>
  </sheetData>
  <sheetProtection sheet="1" objects="1" scenarios="1" selectLockedCells="1"/>
  <mergeCells count="5">
    <mergeCell ref="G6:G7"/>
    <mergeCell ref="B6:D6"/>
    <mergeCell ref="E6:E7"/>
    <mergeCell ref="F6:F7"/>
    <mergeCell ref="H6:H7"/>
  </mergeCells>
  <phoneticPr fontId="14"/>
  <dataValidations count="2">
    <dataValidation type="list" allowBlank="1" showInputMessage="1" showErrorMessage="1" sqref="B3">
      <formula1>植付本数</formula1>
    </dataValidation>
    <dataValidation type="list" allowBlank="1" showInputMessage="1" showErrorMessage="1" sqref="D3">
      <formula1>本</formula1>
    </dataValidation>
  </dataValidations>
  <pageMargins left="0.70866141732283472" right="0.70866141732283472" top="0.94488188976377963" bottom="0.74803149606299213" header="0.31496062992125984" footer="0.31496062992125984"/>
  <pageSetup paperSize="9" orientation="landscape" verticalDpi="0" r:id="rId1"/>
  <headerFooter>
    <oddHeader>&amp;L&amp;D&amp;F&amp;A</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sheetPr>
  <dimension ref="B1:W430"/>
  <sheetViews>
    <sheetView showGridLines="0" zoomScalePageLayoutView="75" workbookViewId="0">
      <pane ySplit="2" topLeftCell="A143" activePane="bottomLeft" state="frozen"/>
      <selection activeCell="I22" sqref="I22"/>
      <selection pane="bottomLeft" activeCell="H4" sqref="H4"/>
    </sheetView>
  </sheetViews>
  <sheetFormatPr defaultRowHeight="12" zeroHeight="1" outlineLevelRow="1"/>
  <cols>
    <col min="1" max="1" width="2.125" style="200" customWidth="1"/>
    <col min="2" max="2" width="5.125" style="200" customWidth="1"/>
    <col min="3" max="3" width="18.875" style="200" bestFit="1" customWidth="1"/>
    <col min="4" max="4" width="9.625" style="200" bestFit="1" customWidth="1"/>
    <col min="5" max="5" width="6.625" style="200" customWidth="1"/>
    <col min="6" max="6" width="10.625" style="464" customWidth="1"/>
    <col min="7" max="7" width="7" style="200" customWidth="1"/>
    <col min="8" max="8" width="7.375" style="200" bestFit="1" customWidth="1"/>
    <col min="9" max="9" width="9.625" style="468" bestFit="1" customWidth="1"/>
    <col min="10" max="10" width="11.25" style="468" customWidth="1"/>
    <col min="11" max="12" width="11.25" style="465" hidden="1" customWidth="1"/>
    <col min="13" max="13" width="6.625" style="466" hidden="1" customWidth="1"/>
    <col min="14" max="16" width="11.25" style="465" hidden="1" customWidth="1"/>
    <col min="17" max="19" width="11.25" style="467" hidden="1" customWidth="1"/>
    <col min="20" max="22" width="11.25" style="200" hidden="1" customWidth="1"/>
    <col min="23" max="23" width="24.25" style="200" customWidth="1"/>
    <col min="24" max="16384" width="9" style="200"/>
  </cols>
  <sheetData>
    <row r="1" spans="2:23" ht="18" customHeight="1" thickBot="1">
      <c r="B1" s="350" t="s">
        <v>277</v>
      </c>
      <c r="C1" s="351"/>
      <c r="D1" s="851" t="s">
        <v>76</v>
      </c>
      <c r="E1" s="851"/>
      <c r="F1" s="422"/>
      <c r="G1" s="352"/>
      <c r="H1" s="353">
        <v>10</v>
      </c>
      <c r="I1" s="516"/>
      <c r="J1" s="517"/>
      <c r="K1" s="354"/>
      <c r="L1" s="354"/>
      <c r="M1" s="355"/>
      <c r="N1" s="354"/>
      <c r="O1" s="354"/>
      <c r="P1" s="354"/>
      <c r="Q1" s="356"/>
      <c r="R1" s="356"/>
      <c r="S1" s="356"/>
      <c r="T1" s="160"/>
      <c r="U1" s="160"/>
      <c r="V1" s="160"/>
      <c r="W1" s="357" t="str">
        <f>①技術体系!A2</f>
        <v>放牧牛肉</v>
      </c>
    </row>
    <row r="2" spans="2:23" s="358" customFormat="1" ht="18" customHeight="1" thickBot="1">
      <c r="B2" s="599" t="s">
        <v>77</v>
      </c>
      <c r="C2" s="600" t="s">
        <v>78</v>
      </c>
      <c r="D2" s="601" t="s">
        <v>79</v>
      </c>
      <c r="E2" s="602" t="s">
        <v>80</v>
      </c>
      <c r="F2" s="603" t="s">
        <v>19</v>
      </c>
      <c r="G2" s="604" t="s">
        <v>81</v>
      </c>
      <c r="H2" s="601" t="s">
        <v>24</v>
      </c>
      <c r="I2" s="605" t="s">
        <v>82</v>
      </c>
      <c r="J2" s="605" t="s">
        <v>83</v>
      </c>
      <c r="K2" s="606" t="s">
        <v>84</v>
      </c>
      <c r="L2" s="606" t="s">
        <v>85</v>
      </c>
      <c r="M2" s="607" t="s">
        <v>80</v>
      </c>
      <c r="N2" s="606" t="s">
        <v>86</v>
      </c>
      <c r="O2" s="608" t="s">
        <v>87</v>
      </c>
      <c r="P2" s="609" t="s">
        <v>80</v>
      </c>
      <c r="Q2" s="610" t="s">
        <v>88</v>
      </c>
      <c r="R2" s="611" t="s">
        <v>89</v>
      </c>
      <c r="S2" s="612" t="s">
        <v>90</v>
      </c>
      <c r="T2" s="613" t="s">
        <v>91</v>
      </c>
      <c r="U2" s="614" t="s">
        <v>92</v>
      </c>
      <c r="V2" s="614" t="s">
        <v>93</v>
      </c>
      <c r="W2" s="615" t="s">
        <v>94</v>
      </c>
    </row>
    <row r="3" spans="2:23" s="358" customFormat="1" ht="12.95" customHeight="1">
      <c r="B3" s="852" t="s">
        <v>98</v>
      </c>
      <c r="C3" s="261"/>
      <c r="D3" s="220"/>
      <c r="E3" s="262"/>
      <c r="F3" s="423"/>
      <c r="G3" s="222"/>
      <c r="H3" s="223"/>
      <c r="I3" s="360" t="str">
        <f>IF(C3=0,"",D3*1/G3*H3)</f>
        <v/>
      </c>
      <c r="J3" s="520" t="str">
        <f>IF(C3=0,"",ROUND(F3*I3,0))</f>
        <v/>
      </c>
      <c r="K3" s="224"/>
      <c r="L3" s="224"/>
      <c r="M3" s="225"/>
      <c r="N3" s="224"/>
      <c r="O3" s="226">
        <v>0</v>
      </c>
      <c r="P3" s="227"/>
      <c r="Q3" s="228"/>
      <c r="R3" s="229"/>
      <c r="S3" s="230"/>
      <c r="T3" s="231" t="s">
        <v>288</v>
      </c>
      <c r="U3" s="232" t="s">
        <v>288</v>
      </c>
      <c r="V3" s="233" t="s">
        <v>288</v>
      </c>
      <c r="W3" s="263"/>
    </row>
    <row r="4" spans="2:23" s="358" customFormat="1" ht="12.95" customHeight="1">
      <c r="B4" s="844"/>
      <c r="C4" s="197"/>
      <c r="D4" s="178"/>
      <c r="E4" s="196"/>
      <c r="F4" s="424"/>
      <c r="G4" s="181"/>
      <c r="H4" s="182"/>
      <c r="I4" s="362" t="str">
        <f t="shared" ref="I4:I7" si="0">IF(C4=0,"",D4*1/G4*H4)</f>
        <v/>
      </c>
      <c r="J4" s="521" t="str">
        <f t="shared" ref="J4:J7" si="1">IF(C4=0,"",ROUND(F4*I4,0))</f>
        <v/>
      </c>
      <c r="K4" s="183"/>
      <c r="L4" s="183"/>
      <c r="M4" s="184"/>
      <c r="N4" s="183"/>
      <c r="O4" s="185"/>
      <c r="P4" s="186"/>
      <c r="Q4" s="187"/>
      <c r="R4" s="188"/>
      <c r="S4" s="189"/>
      <c r="T4" s="190"/>
      <c r="U4" s="191"/>
      <c r="V4" s="192"/>
      <c r="W4" s="264"/>
    </row>
    <row r="5" spans="2:23" s="358" customFormat="1" ht="12.95" customHeight="1">
      <c r="B5" s="844"/>
      <c r="C5" s="197"/>
      <c r="D5" s="178"/>
      <c r="E5" s="196"/>
      <c r="F5" s="424"/>
      <c r="G5" s="181"/>
      <c r="H5" s="182"/>
      <c r="I5" s="362" t="str">
        <f t="shared" si="0"/>
        <v/>
      </c>
      <c r="J5" s="521" t="str">
        <f t="shared" si="1"/>
        <v/>
      </c>
      <c r="K5" s="183"/>
      <c r="L5" s="183"/>
      <c r="M5" s="184"/>
      <c r="N5" s="183"/>
      <c r="O5" s="185"/>
      <c r="P5" s="186"/>
      <c r="Q5" s="187"/>
      <c r="R5" s="188"/>
      <c r="S5" s="189"/>
      <c r="T5" s="190"/>
      <c r="U5" s="191"/>
      <c r="V5" s="192"/>
      <c r="W5" s="264"/>
    </row>
    <row r="6" spans="2:23" s="358" customFormat="1" ht="12.95" customHeight="1">
      <c r="B6" s="844"/>
      <c r="C6" s="197"/>
      <c r="D6" s="178"/>
      <c r="E6" s="196"/>
      <c r="F6" s="424"/>
      <c r="G6" s="181"/>
      <c r="H6" s="182"/>
      <c r="I6" s="362" t="str">
        <f t="shared" si="0"/>
        <v/>
      </c>
      <c r="J6" s="521" t="str">
        <f t="shared" si="1"/>
        <v/>
      </c>
      <c r="K6" s="183"/>
      <c r="L6" s="183"/>
      <c r="M6" s="184"/>
      <c r="N6" s="183"/>
      <c r="O6" s="185"/>
      <c r="P6" s="186"/>
      <c r="Q6" s="187"/>
      <c r="R6" s="188"/>
      <c r="S6" s="189"/>
      <c r="T6" s="190"/>
      <c r="U6" s="191"/>
      <c r="V6" s="192"/>
      <c r="W6" s="264"/>
    </row>
    <row r="7" spans="2:23" s="358" customFormat="1" ht="12.95" customHeight="1" thickBot="1">
      <c r="B7" s="844"/>
      <c r="C7" s="265"/>
      <c r="D7" s="237"/>
      <c r="E7" s="258"/>
      <c r="F7" s="425"/>
      <c r="G7" s="239"/>
      <c r="H7" s="240"/>
      <c r="I7" s="363" t="str">
        <f t="shared" si="0"/>
        <v/>
      </c>
      <c r="J7" s="522" t="str">
        <f t="shared" si="1"/>
        <v/>
      </c>
      <c r="K7" s="241"/>
      <c r="L7" s="241"/>
      <c r="M7" s="242"/>
      <c r="N7" s="241"/>
      <c r="O7" s="243"/>
      <c r="P7" s="244"/>
      <c r="Q7" s="245"/>
      <c r="R7" s="246"/>
      <c r="S7" s="247"/>
      <c r="T7" s="248"/>
      <c r="U7" s="249"/>
      <c r="V7" s="250"/>
      <c r="W7" s="266"/>
    </row>
    <row r="8" spans="2:23" s="358" customFormat="1" ht="12.95" customHeight="1" thickTop="1" thickBot="1">
      <c r="B8" s="845"/>
      <c r="C8" s="514" t="s">
        <v>289</v>
      </c>
      <c r="D8" s="236"/>
      <c r="E8" s="336"/>
      <c r="F8" s="426"/>
      <c r="G8" s="337"/>
      <c r="H8" s="338"/>
      <c r="I8" s="347"/>
      <c r="J8" s="519">
        <f>SUM(J3:J7)</f>
        <v>0</v>
      </c>
      <c r="K8" s="339"/>
      <c r="L8" s="339"/>
      <c r="M8" s="340"/>
      <c r="N8" s="339"/>
      <c r="O8" s="341"/>
      <c r="P8" s="342"/>
      <c r="Q8" s="343"/>
      <c r="R8" s="344"/>
      <c r="S8" s="345"/>
      <c r="T8" s="515"/>
      <c r="U8" s="347"/>
      <c r="V8" s="348"/>
      <c r="W8" s="349"/>
    </row>
    <row r="9" spans="2:23" ht="12.95" customHeight="1">
      <c r="B9" s="846" t="s">
        <v>95</v>
      </c>
      <c r="C9" s="252"/>
      <c r="D9" s="220"/>
      <c r="E9" s="221"/>
      <c r="F9" s="423"/>
      <c r="G9" s="222"/>
      <c r="H9" s="223"/>
      <c r="I9" s="360" t="str">
        <f t="shared" ref="I9:I19" si="2">IF(C9=0,"",D9*1/G9*H9)</f>
        <v/>
      </c>
      <c r="J9" s="520" t="str">
        <f t="shared" ref="J9:J75" si="3">IF(C9=0,"",ROUND(F9*I9,0))</f>
        <v/>
      </c>
      <c r="K9" s="224"/>
      <c r="L9" s="224"/>
      <c r="M9" s="225"/>
      <c r="N9" s="224"/>
      <c r="O9" s="226">
        <v>0</v>
      </c>
      <c r="P9" s="227"/>
      <c r="Q9" s="228"/>
      <c r="R9" s="229"/>
      <c r="S9" s="230"/>
      <c r="T9" s="231" t="s">
        <v>288</v>
      </c>
      <c r="U9" s="232" t="s">
        <v>288</v>
      </c>
      <c r="V9" s="233" t="s">
        <v>288</v>
      </c>
      <c r="W9" s="234"/>
    </row>
    <row r="10" spans="2:23" ht="12.95" customHeight="1">
      <c r="B10" s="847"/>
      <c r="C10" s="253"/>
      <c r="D10" s="161"/>
      <c r="E10" s="162"/>
      <c r="F10" s="427"/>
      <c r="G10" s="163"/>
      <c r="H10" s="164"/>
      <c r="I10" s="523" t="str">
        <f t="shared" si="2"/>
        <v/>
      </c>
      <c r="J10" s="524" t="str">
        <f t="shared" si="3"/>
        <v/>
      </c>
      <c r="K10" s="165"/>
      <c r="L10" s="165"/>
      <c r="M10" s="166"/>
      <c r="N10" s="165"/>
      <c r="O10" s="167">
        <v>0</v>
      </c>
      <c r="P10" s="168"/>
      <c r="Q10" s="169"/>
      <c r="R10" s="170"/>
      <c r="S10" s="171"/>
      <c r="T10" s="172" t="s">
        <v>288</v>
      </c>
      <c r="U10" s="173" t="s">
        <v>288</v>
      </c>
      <c r="V10" s="174" t="s">
        <v>288</v>
      </c>
      <c r="W10" s="235"/>
    </row>
    <row r="11" spans="2:23" ht="12.95" customHeight="1">
      <c r="B11" s="847"/>
      <c r="C11" s="254"/>
      <c r="D11" s="161"/>
      <c r="E11" s="162"/>
      <c r="F11" s="427"/>
      <c r="G11" s="163"/>
      <c r="H11" s="164"/>
      <c r="I11" s="523" t="str">
        <f t="shared" si="2"/>
        <v/>
      </c>
      <c r="J11" s="524" t="str">
        <f t="shared" si="3"/>
        <v/>
      </c>
      <c r="K11" s="165"/>
      <c r="L11" s="165"/>
      <c r="M11" s="166"/>
      <c r="N11" s="165"/>
      <c r="O11" s="167">
        <v>0</v>
      </c>
      <c r="P11" s="168"/>
      <c r="Q11" s="169"/>
      <c r="R11" s="170"/>
      <c r="S11" s="171"/>
      <c r="T11" s="172" t="s">
        <v>288</v>
      </c>
      <c r="U11" s="173" t="s">
        <v>288</v>
      </c>
      <c r="V11" s="174" t="s">
        <v>288</v>
      </c>
      <c r="W11" s="235"/>
    </row>
    <row r="12" spans="2:23" ht="12.95" hidden="1" customHeight="1" outlineLevel="1">
      <c r="B12" s="847"/>
      <c r="C12" s="255"/>
      <c r="D12" s="161"/>
      <c r="E12" s="162"/>
      <c r="F12" s="427"/>
      <c r="G12" s="163"/>
      <c r="H12" s="164"/>
      <c r="I12" s="523" t="str">
        <f t="shared" si="2"/>
        <v/>
      </c>
      <c r="J12" s="524" t="str">
        <f t="shared" si="3"/>
        <v/>
      </c>
      <c r="K12" s="165"/>
      <c r="L12" s="165"/>
      <c r="M12" s="166"/>
      <c r="N12" s="165"/>
      <c r="O12" s="167"/>
      <c r="P12" s="168"/>
      <c r="Q12" s="169"/>
      <c r="R12" s="170"/>
      <c r="S12" s="171"/>
      <c r="T12" s="172"/>
      <c r="U12" s="173"/>
      <c r="V12" s="174"/>
      <c r="W12" s="235"/>
    </row>
    <row r="13" spans="2:23" ht="12.95" hidden="1" customHeight="1" outlineLevel="1">
      <c r="B13" s="847"/>
      <c r="C13" s="255"/>
      <c r="D13" s="161"/>
      <c r="E13" s="162"/>
      <c r="F13" s="427"/>
      <c r="G13" s="163"/>
      <c r="H13" s="164"/>
      <c r="I13" s="523" t="str">
        <f t="shared" si="2"/>
        <v/>
      </c>
      <c r="J13" s="524" t="str">
        <f t="shared" si="3"/>
        <v/>
      </c>
      <c r="K13" s="165"/>
      <c r="L13" s="165"/>
      <c r="M13" s="166"/>
      <c r="N13" s="165"/>
      <c r="O13" s="167"/>
      <c r="P13" s="168"/>
      <c r="Q13" s="169"/>
      <c r="R13" s="170"/>
      <c r="S13" s="171"/>
      <c r="T13" s="172"/>
      <c r="U13" s="173"/>
      <c r="V13" s="174"/>
      <c r="W13" s="235"/>
    </row>
    <row r="14" spans="2:23" ht="12.95" hidden="1" customHeight="1" outlineLevel="1">
      <c r="B14" s="847"/>
      <c r="C14" s="255"/>
      <c r="D14" s="161"/>
      <c r="E14" s="162"/>
      <c r="F14" s="427"/>
      <c r="G14" s="163"/>
      <c r="H14" s="164"/>
      <c r="I14" s="523" t="str">
        <f t="shared" si="2"/>
        <v/>
      </c>
      <c r="J14" s="524" t="str">
        <f t="shared" si="3"/>
        <v/>
      </c>
      <c r="K14" s="165"/>
      <c r="L14" s="165"/>
      <c r="M14" s="166"/>
      <c r="N14" s="165"/>
      <c r="O14" s="167"/>
      <c r="P14" s="168"/>
      <c r="Q14" s="169"/>
      <c r="R14" s="170"/>
      <c r="S14" s="171"/>
      <c r="T14" s="172"/>
      <c r="U14" s="173"/>
      <c r="V14" s="174"/>
      <c r="W14" s="235"/>
    </row>
    <row r="15" spans="2:23" ht="12.95" hidden="1" customHeight="1" outlineLevel="1">
      <c r="B15" s="847"/>
      <c r="C15" s="255"/>
      <c r="D15" s="161"/>
      <c r="E15" s="162"/>
      <c r="F15" s="427"/>
      <c r="G15" s="163"/>
      <c r="H15" s="164"/>
      <c r="I15" s="523" t="str">
        <f t="shared" si="2"/>
        <v/>
      </c>
      <c r="J15" s="524" t="str">
        <f t="shared" si="3"/>
        <v/>
      </c>
      <c r="K15" s="165"/>
      <c r="L15" s="165"/>
      <c r="M15" s="166"/>
      <c r="N15" s="165"/>
      <c r="O15" s="167"/>
      <c r="P15" s="168"/>
      <c r="Q15" s="169"/>
      <c r="R15" s="170"/>
      <c r="S15" s="171"/>
      <c r="T15" s="172"/>
      <c r="U15" s="173"/>
      <c r="V15" s="174"/>
      <c r="W15" s="235"/>
    </row>
    <row r="16" spans="2:23" ht="12.95" hidden="1" customHeight="1" outlineLevel="1">
      <c r="B16" s="847"/>
      <c r="C16" s="255"/>
      <c r="D16" s="161"/>
      <c r="E16" s="162"/>
      <c r="F16" s="427"/>
      <c r="G16" s="163"/>
      <c r="H16" s="164"/>
      <c r="I16" s="523" t="str">
        <f t="shared" si="2"/>
        <v/>
      </c>
      <c r="J16" s="524" t="str">
        <f t="shared" si="3"/>
        <v/>
      </c>
      <c r="K16" s="165"/>
      <c r="L16" s="165"/>
      <c r="M16" s="166"/>
      <c r="N16" s="165"/>
      <c r="O16" s="167"/>
      <c r="P16" s="168"/>
      <c r="Q16" s="169"/>
      <c r="R16" s="170"/>
      <c r="S16" s="171"/>
      <c r="T16" s="172"/>
      <c r="U16" s="173"/>
      <c r="V16" s="174"/>
      <c r="W16" s="235"/>
    </row>
    <row r="17" spans="2:23" ht="12.95" hidden="1" customHeight="1" outlineLevel="1">
      <c r="B17" s="847"/>
      <c r="C17" s="255"/>
      <c r="D17" s="161"/>
      <c r="E17" s="162"/>
      <c r="F17" s="427"/>
      <c r="G17" s="163"/>
      <c r="H17" s="164"/>
      <c r="I17" s="523" t="str">
        <f t="shared" si="2"/>
        <v/>
      </c>
      <c r="J17" s="524" t="str">
        <f t="shared" si="3"/>
        <v/>
      </c>
      <c r="K17" s="165"/>
      <c r="L17" s="165"/>
      <c r="M17" s="166"/>
      <c r="N17" s="165"/>
      <c r="O17" s="167"/>
      <c r="P17" s="168"/>
      <c r="Q17" s="169"/>
      <c r="R17" s="170"/>
      <c r="S17" s="171"/>
      <c r="T17" s="172"/>
      <c r="U17" s="173"/>
      <c r="V17" s="174"/>
      <c r="W17" s="235"/>
    </row>
    <row r="18" spans="2:23" ht="12.95" hidden="1" customHeight="1" outlineLevel="1">
      <c r="B18" s="847"/>
      <c r="C18" s="255"/>
      <c r="D18" s="161"/>
      <c r="E18" s="162"/>
      <c r="F18" s="427"/>
      <c r="G18" s="163"/>
      <c r="H18" s="164"/>
      <c r="I18" s="523" t="str">
        <f t="shared" si="2"/>
        <v/>
      </c>
      <c r="J18" s="524" t="str">
        <f t="shared" si="3"/>
        <v/>
      </c>
      <c r="K18" s="165"/>
      <c r="L18" s="165"/>
      <c r="M18" s="166"/>
      <c r="N18" s="165"/>
      <c r="O18" s="167"/>
      <c r="P18" s="168"/>
      <c r="Q18" s="169"/>
      <c r="R18" s="170"/>
      <c r="S18" s="171"/>
      <c r="T18" s="172"/>
      <c r="U18" s="173"/>
      <c r="V18" s="174"/>
      <c r="W18" s="235"/>
    </row>
    <row r="19" spans="2:23" ht="12.95" hidden="1" customHeight="1" outlineLevel="1" thickBot="1">
      <c r="B19" s="847"/>
      <c r="C19" s="256"/>
      <c r="D19" s="237"/>
      <c r="E19" s="238"/>
      <c r="F19" s="425"/>
      <c r="G19" s="239"/>
      <c r="H19" s="240"/>
      <c r="I19" s="363" t="str">
        <f t="shared" si="2"/>
        <v/>
      </c>
      <c r="J19" s="522" t="str">
        <f t="shared" si="3"/>
        <v/>
      </c>
      <c r="K19" s="241"/>
      <c r="L19" s="241"/>
      <c r="M19" s="242"/>
      <c r="N19" s="241"/>
      <c r="O19" s="243"/>
      <c r="P19" s="244"/>
      <c r="Q19" s="245"/>
      <c r="R19" s="246"/>
      <c r="S19" s="247"/>
      <c r="T19" s="248"/>
      <c r="U19" s="249"/>
      <c r="V19" s="250"/>
      <c r="W19" s="251"/>
    </row>
    <row r="20" spans="2:23" ht="12.95" customHeight="1" collapsed="1" thickBot="1">
      <c r="B20" s="848"/>
      <c r="C20" s="514" t="s">
        <v>289</v>
      </c>
      <c r="D20" s="236"/>
      <c r="E20" s="336"/>
      <c r="F20" s="426"/>
      <c r="G20" s="337"/>
      <c r="H20" s="338"/>
      <c r="I20" s="347"/>
      <c r="J20" s="519">
        <f>SUM(J9:J19)</f>
        <v>0</v>
      </c>
      <c r="K20" s="339"/>
      <c r="L20" s="339"/>
      <c r="M20" s="340"/>
      <c r="N20" s="339"/>
      <c r="O20" s="341"/>
      <c r="P20" s="342"/>
      <c r="Q20" s="343"/>
      <c r="R20" s="344"/>
      <c r="S20" s="345"/>
      <c r="T20" s="515"/>
      <c r="U20" s="347"/>
      <c r="V20" s="348"/>
      <c r="W20" s="349"/>
    </row>
    <row r="21" spans="2:23" ht="12.95" customHeight="1">
      <c r="B21" s="843" t="s">
        <v>101</v>
      </c>
      <c r="C21" s="219"/>
      <c r="D21" s="220"/>
      <c r="E21" s="221"/>
      <c r="F21" s="423"/>
      <c r="G21" s="222"/>
      <c r="H21" s="223"/>
      <c r="I21" s="360" t="str">
        <f t="shared" ref="I21:I60" si="4">IF(C21=0,"",D21*1/G21*H21)</f>
        <v/>
      </c>
      <c r="J21" s="520" t="str">
        <f t="shared" si="3"/>
        <v/>
      </c>
      <c r="K21" s="224"/>
      <c r="L21" s="224"/>
      <c r="M21" s="225"/>
      <c r="N21" s="224"/>
      <c r="O21" s="226">
        <v>0</v>
      </c>
      <c r="P21" s="227"/>
      <c r="Q21" s="228"/>
      <c r="R21" s="229"/>
      <c r="S21" s="230"/>
      <c r="T21" s="231" t="s">
        <v>288</v>
      </c>
      <c r="U21" s="232" t="s">
        <v>288</v>
      </c>
      <c r="V21" s="233" t="s">
        <v>288</v>
      </c>
      <c r="W21" s="234"/>
    </row>
    <row r="22" spans="2:23" ht="12.95" customHeight="1">
      <c r="B22" s="844"/>
      <c r="C22" s="176"/>
      <c r="D22" s="161"/>
      <c r="E22" s="162"/>
      <c r="F22" s="427"/>
      <c r="G22" s="163"/>
      <c r="H22" s="164"/>
      <c r="I22" s="523" t="str">
        <f t="shared" si="4"/>
        <v/>
      </c>
      <c r="J22" s="524" t="str">
        <f t="shared" si="3"/>
        <v/>
      </c>
      <c r="K22" s="165"/>
      <c r="L22" s="165"/>
      <c r="M22" s="166"/>
      <c r="N22" s="165"/>
      <c r="O22" s="167">
        <v>0</v>
      </c>
      <c r="P22" s="168"/>
      <c r="Q22" s="169"/>
      <c r="R22" s="170"/>
      <c r="S22" s="171"/>
      <c r="T22" s="172" t="s">
        <v>288</v>
      </c>
      <c r="U22" s="173" t="s">
        <v>288</v>
      </c>
      <c r="V22" s="174" t="s">
        <v>288</v>
      </c>
      <c r="W22" s="235"/>
    </row>
    <row r="23" spans="2:23" ht="12.95" customHeight="1">
      <c r="B23" s="844"/>
      <c r="C23" s="176"/>
      <c r="D23" s="161"/>
      <c r="E23" s="162"/>
      <c r="F23" s="427"/>
      <c r="G23" s="163"/>
      <c r="H23" s="164"/>
      <c r="I23" s="523" t="str">
        <f t="shared" si="4"/>
        <v/>
      </c>
      <c r="J23" s="524" t="str">
        <f t="shared" si="3"/>
        <v/>
      </c>
      <c r="K23" s="165"/>
      <c r="L23" s="165"/>
      <c r="M23" s="166"/>
      <c r="N23" s="165"/>
      <c r="O23" s="167">
        <v>0</v>
      </c>
      <c r="P23" s="168"/>
      <c r="Q23" s="169"/>
      <c r="R23" s="170"/>
      <c r="S23" s="171"/>
      <c r="T23" s="172" t="s">
        <v>288</v>
      </c>
      <c r="U23" s="173" t="s">
        <v>288</v>
      </c>
      <c r="V23" s="174" t="s">
        <v>288</v>
      </c>
      <c r="W23" s="235"/>
    </row>
    <row r="24" spans="2:23" ht="12.95" customHeight="1">
      <c r="B24" s="844"/>
      <c r="C24" s="176"/>
      <c r="D24" s="161"/>
      <c r="E24" s="162"/>
      <c r="F24" s="427"/>
      <c r="G24" s="163"/>
      <c r="H24" s="164"/>
      <c r="I24" s="523" t="str">
        <f t="shared" si="4"/>
        <v/>
      </c>
      <c r="J24" s="524" t="str">
        <f t="shared" si="3"/>
        <v/>
      </c>
      <c r="K24" s="165"/>
      <c r="L24" s="165"/>
      <c r="M24" s="166"/>
      <c r="N24" s="165"/>
      <c r="O24" s="167">
        <v>0</v>
      </c>
      <c r="P24" s="168"/>
      <c r="Q24" s="169"/>
      <c r="R24" s="170"/>
      <c r="S24" s="171"/>
      <c r="T24" s="172" t="s">
        <v>288</v>
      </c>
      <c r="U24" s="173" t="s">
        <v>288</v>
      </c>
      <c r="V24" s="174" t="s">
        <v>288</v>
      </c>
      <c r="W24" s="235"/>
    </row>
    <row r="25" spans="2:23" ht="12.95" customHeight="1">
      <c r="B25" s="844"/>
      <c r="C25" s="176"/>
      <c r="D25" s="161"/>
      <c r="E25" s="162"/>
      <c r="F25" s="427"/>
      <c r="G25" s="163"/>
      <c r="H25" s="164"/>
      <c r="I25" s="523" t="str">
        <f t="shared" si="4"/>
        <v/>
      </c>
      <c r="J25" s="524" t="str">
        <f t="shared" si="3"/>
        <v/>
      </c>
      <c r="K25" s="165"/>
      <c r="L25" s="165"/>
      <c r="M25" s="166"/>
      <c r="N25" s="165"/>
      <c r="O25" s="167">
        <v>0</v>
      </c>
      <c r="P25" s="168"/>
      <c r="Q25" s="169"/>
      <c r="R25" s="170"/>
      <c r="S25" s="171"/>
      <c r="T25" s="172" t="s">
        <v>288</v>
      </c>
      <c r="U25" s="173" t="s">
        <v>288</v>
      </c>
      <c r="V25" s="174" t="s">
        <v>288</v>
      </c>
      <c r="W25" s="235"/>
    </row>
    <row r="26" spans="2:23" ht="12.95" customHeight="1">
      <c r="B26" s="844"/>
      <c r="C26" s="176"/>
      <c r="D26" s="161"/>
      <c r="E26" s="162"/>
      <c r="F26" s="427"/>
      <c r="G26" s="163"/>
      <c r="H26" s="164"/>
      <c r="I26" s="523" t="str">
        <f t="shared" si="4"/>
        <v/>
      </c>
      <c r="J26" s="524" t="str">
        <f t="shared" si="3"/>
        <v/>
      </c>
      <c r="K26" s="165"/>
      <c r="L26" s="165"/>
      <c r="M26" s="166"/>
      <c r="N26" s="165"/>
      <c r="O26" s="167">
        <v>0</v>
      </c>
      <c r="P26" s="168"/>
      <c r="Q26" s="169"/>
      <c r="R26" s="170"/>
      <c r="S26" s="171"/>
      <c r="T26" s="172" t="s">
        <v>288</v>
      </c>
      <c r="U26" s="173" t="s">
        <v>288</v>
      </c>
      <c r="V26" s="174" t="s">
        <v>288</v>
      </c>
      <c r="W26" s="235"/>
    </row>
    <row r="27" spans="2:23" ht="12.95" customHeight="1">
      <c r="B27" s="844"/>
      <c r="C27" s="176"/>
      <c r="D27" s="161"/>
      <c r="E27" s="162"/>
      <c r="F27" s="427"/>
      <c r="G27" s="163"/>
      <c r="H27" s="164"/>
      <c r="I27" s="523" t="str">
        <f t="shared" si="4"/>
        <v/>
      </c>
      <c r="J27" s="524" t="str">
        <f t="shared" si="3"/>
        <v/>
      </c>
      <c r="K27" s="165"/>
      <c r="L27" s="165"/>
      <c r="M27" s="166"/>
      <c r="N27" s="165"/>
      <c r="O27" s="167">
        <v>0</v>
      </c>
      <c r="P27" s="168"/>
      <c r="Q27" s="169"/>
      <c r="R27" s="170"/>
      <c r="S27" s="171"/>
      <c r="T27" s="172" t="s">
        <v>288</v>
      </c>
      <c r="U27" s="173" t="s">
        <v>288</v>
      </c>
      <c r="V27" s="174" t="s">
        <v>288</v>
      </c>
      <c r="W27" s="259"/>
    </row>
    <row r="28" spans="2:23" ht="12.95" hidden="1" customHeight="1" outlineLevel="1">
      <c r="B28" s="844"/>
      <c r="C28" s="176"/>
      <c r="D28" s="161"/>
      <c r="E28" s="162"/>
      <c r="F28" s="427"/>
      <c r="G28" s="163"/>
      <c r="H28" s="164"/>
      <c r="I28" s="523" t="str">
        <f t="shared" si="4"/>
        <v/>
      </c>
      <c r="J28" s="524" t="str">
        <f t="shared" si="3"/>
        <v/>
      </c>
      <c r="K28" s="165"/>
      <c r="L28" s="165"/>
      <c r="M28" s="166"/>
      <c r="N28" s="165"/>
      <c r="O28" s="167">
        <v>0</v>
      </c>
      <c r="P28" s="168"/>
      <c r="Q28" s="169"/>
      <c r="R28" s="170"/>
      <c r="S28" s="171"/>
      <c r="T28" s="172" t="s">
        <v>288</v>
      </c>
      <c r="U28" s="173" t="s">
        <v>288</v>
      </c>
      <c r="V28" s="174" t="s">
        <v>288</v>
      </c>
      <c r="W28" s="259"/>
    </row>
    <row r="29" spans="2:23" ht="12.95" hidden="1" customHeight="1" outlineLevel="1">
      <c r="B29" s="844"/>
      <c r="C29" s="176"/>
      <c r="D29" s="161"/>
      <c r="E29" s="162"/>
      <c r="F29" s="427"/>
      <c r="G29" s="163"/>
      <c r="H29" s="164"/>
      <c r="I29" s="523" t="str">
        <f t="shared" si="4"/>
        <v/>
      </c>
      <c r="J29" s="524" t="str">
        <f t="shared" si="3"/>
        <v/>
      </c>
      <c r="K29" s="165"/>
      <c r="L29" s="165"/>
      <c r="M29" s="166"/>
      <c r="N29" s="165"/>
      <c r="O29" s="167">
        <v>0</v>
      </c>
      <c r="P29" s="168"/>
      <c r="Q29" s="169"/>
      <c r="R29" s="170"/>
      <c r="S29" s="171"/>
      <c r="T29" s="172" t="s">
        <v>288</v>
      </c>
      <c r="U29" s="173" t="s">
        <v>288</v>
      </c>
      <c r="V29" s="174" t="s">
        <v>288</v>
      </c>
      <c r="W29" s="259"/>
    </row>
    <row r="30" spans="2:23" ht="12.95" hidden="1" customHeight="1" outlineLevel="1">
      <c r="B30" s="844"/>
      <c r="C30" s="176"/>
      <c r="D30" s="161"/>
      <c r="E30" s="162"/>
      <c r="F30" s="427"/>
      <c r="G30" s="163"/>
      <c r="H30" s="164"/>
      <c r="I30" s="523" t="str">
        <f t="shared" si="4"/>
        <v/>
      </c>
      <c r="J30" s="524" t="str">
        <f t="shared" si="3"/>
        <v/>
      </c>
      <c r="K30" s="165"/>
      <c r="L30" s="165"/>
      <c r="M30" s="166"/>
      <c r="N30" s="165"/>
      <c r="O30" s="167">
        <v>0</v>
      </c>
      <c r="P30" s="168"/>
      <c r="Q30" s="169"/>
      <c r="R30" s="170"/>
      <c r="S30" s="171"/>
      <c r="T30" s="172" t="s">
        <v>288</v>
      </c>
      <c r="U30" s="173" t="s">
        <v>288</v>
      </c>
      <c r="V30" s="174" t="s">
        <v>288</v>
      </c>
      <c r="W30" s="259"/>
    </row>
    <row r="31" spans="2:23" ht="12.95" hidden="1" customHeight="1" outlineLevel="1">
      <c r="B31" s="844"/>
      <c r="C31" s="176"/>
      <c r="D31" s="161"/>
      <c r="E31" s="162"/>
      <c r="F31" s="427"/>
      <c r="G31" s="163"/>
      <c r="H31" s="164"/>
      <c r="I31" s="523" t="str">
        <f t="shared" si="4"/>
        <v/>
      </c>
      <c r="J31" s="524" t="str">
        <f t="shared" si="3"/>
        <v/>
      </c>
      <c r="K31" s="165"/>
      <c r="L31" s="165"/>
      <c r="M31" s="166"/>
      <c r="N31" s="165"/>
      <c r="O31" s="167">
        <v>0</v>
      </c>
      <c r="P31" s="168"/>
      <c r="Q31" s="169"/>
      <c r="R31" s="170"/>
      <c r="S31" s="171"/>
      <c r="T31" s="172" t="s">
        <v>288</v>
      </c>
      <c r="U31" s="173" t="s">
        <v>288</v>
      </c>
      <c r="V31" s="174" t="s">
        <v>288</v>
      </c>
      <c r="W31" s="259"/>
    </row>
    <row r="32" spans="2:23" ht="12.95" hidden="1" customHeight="1" outlineLevel="1">
      <c r="B32" s="844"/>
      <c r="C32" s="176"/>
      <c r="D32" s="161"/>
      <c r="E32" s="162"/>
      <c r="F32" s="427"/>
      <c r="G32" s="163"/>
      <c r="H32" s="164"/>
      <c r="I32" s="523" t="str">
        <f t="shared" si="4"/>
        <v/>
      </c>
      <c r="J32" s="524" t="str">
        <f t="shared" si="3"/>
        <v/>
      </c>
      <c r="K32" s="165"/>
      <c r="L32" s="165"/>
      <c r="M32" s="166"/>
      <c r="N32" s="165"/>
      <c r="O32" s="167">
        <v>0</v>
      </c>
      <c r="P32" s="168"/>
      <c r="Q32" s="169"/>
      <c r="R32" s="170"/>
      <c r="S32" s="171"/>
      <c r="T32" s="172" t="s">
        <v>288</v>
      </c>
      <c r="U32" s="173" t="s">
        <v>288</v>
      </c>
      <c r="V32" s="174" t="s">
        <v>288</v>
      </c>
      <c r="W32" s="259"/>
    </row>
    <row r="33" spans="2:23" ht="12.95" hidden="1" customHeight="1" outlineLevel="1">
      <c r="B33" s="844"/>
      <c r="C33" s="176"/>
      <c r="D33" s="161"/>
      <c r="E33" s="162"/>
      <c r="F33" s="427"/>
      <c r="G33" s="163"/>
      <c r="H33" s="164"/>
      <c r="I33" s="523" t="str">
        <f t="shared" si="4"/>
        <v/>
      </c>
      <c r="J33" s="524" t="str">
        <f t="shared" si="3"/>
        <v/>
      </c>
      <c r="K33" s="165"/>
      <c r="L33" s="165"/>
      <c r="M33" s="166"/>
      <c r="N33" s="165"/>
      <c r="O33" s="167">
        <v>0</v>
      </c>
      <c r="P33" s="168"/>
      <c r="Q33" s="169"/>
      <c r="R33" s="170"/>
      <c r="S33" s="171"/>
      <c r="T33" s="172" t="s">
        <v>288</v>
      </c>
      <c r="U33" s="173" t="s">
        <v>288</v>
      </c>
      <c r="V33" s="174" t="s">
        <v>288</v>
      </c>
      <c r="W33" s="235"/>
    </row>
    <row r="34" spans="2:23" ht="12.95" hidden="1" customHeight="1" outlineLevel="1">
      <c r="B34" s="844"/>
      <c r="C34" s="176"/>
      <c r="D34" s="161"/>
      <c r="E34" s="162"/>
      <c r="F34" s="427"/>
      <c r="G34" s="163"/>
      <c r="H34" s="164"/>
      <c r="I34" s="523" t="str">
        <f t="shared" si="4"/>
        <v/>
      </c>
      <c r="J34" s="524" t="str">
        <f t="shared" si="3"/>
        <v/>
      </c>
      <c r="K34" s="165"/>
      <c r="L34" s="165"/>
      <c r="M34" s="166"/>
      <c r="N34" s="165"/>
      <c r="O34" s="167">
        <v>0</v>
      </c>
      <c r="P34" s="168"/>
      <c r="Q34" s="169"/>
      <c r="R34" s="170"/>
      <c r="S34" s="171"/>
      <c r="T34" s="172" t="s">
        <v>288</v>
      </c>
      <c r="U34" s="173" t="s">
        <v>288</v>
      </c>
      <c r="V34" s="174" t="s">
        <v>288</v>
      </c>
      <c r="W34" s="235"/>
    </row>
    <row r="35" spans="2:23" ht="12.95" hidden="1" customHeight="1" outlineLevel="1">
      <c r="B35" s="844"/>
      <c r="C35" s="176"/>
      <c r="D35" s="161"/>
      <c r="E35" s="162"/>
      <c r="F35" s="427"/>
      <c r="G35" s="163"/>
      <c r="H35" s="164"/>
      <c r="I35" s="523" t="str">
        <f t="shared" si="4"/>
        <v/>
      </c>
      <c r="J35" s="524" t="str">
        <f t="shared" si="3"/>
        <v/>
      </c>
      <c r="K35" s="165"/>
      <c r="L35" s="165"/>
      <c r="M35" s="166"/>
      <c r="N35" s="165"/>
      <c r="O35" s="167">
        <v>0</v>
      </c>
      <c r="P35" s="168"/>
      <c r="Q35" s="169"/>
      <c r="R35" s="170"/>
      <c r="S35" s="171"/>
      <c r="T35" s="172" t="s">
        <v>288</v>
      </c>
      <c r="U35" s="173" t="s">
        <v>288</v>
      </c>
      <c r="V35" s="174" t="s">
        <v>288</v>
      </c>
      <c r="W35" s="235"/>
    </row>
    <row r="36" spans="2:23" ht="12.95" hidden="1" customHeight="1" outlineLevel="1">
      <c r="B36" s="844"/>
      <c r="C36" s="176"/>
      <c r="D36" s="161"/>
      <c r="E36" s="162"/>
      <c r="F36" s="427"/>
      <c r="G36" s="163"/>
      <c r="H36" s="164"/>
      <c r="I36" s="523" t="str">
        <f t="shared" si="4"/>
        <v/>
      </c>
      <c r="J36" s="524" t="str">
        <f t="shared" si="3"/>
        <v/>
      </c>
      <c r="K36" s="165"/>
      <c r="L36" s="165"/>
      <c r="M36" s="166"/>
      <c r="N36" s="165"/>
      <c r="O36" s="167"/>
      <c r="P36" s="168"/>
      <c r="Q36" s="169"/>
      <c r="R36" s="170"/>
      <c r="S36" s="171"/>
      <c r="T36" s="172"/>
      <c r="U36" s="173"/>
      <c r="V36" s="174"/>
      <c r="W36" s="235"/>
    </row>
    <row r="37" spans="2:23" ht="12.95" hidden="1" customHeight="1" outlineLevel="1">
      <c r="B37" s="844"/>
      <c r="C37" s="176"/>
      <c r="D37" s="161"/>
      <c r="E37" s="162"/>
      <c r="F37" s="427"/>
      <c r="G37" s="163"/>
      <c r="H37" s="164"/>
      <c r="I37" s="523" t="str">
        <f t="shared" si="4"/>
        <v/>
      </c>
      <c r="J37" s="524" t="str">
        <f t="shared" si="3"/>
        <v/>
      </c>
      <c r="K37" s="165"/>
      <c r="L37" s="165"/>
      <c r="M37" s="166"/>
      <c r="N37" s="165"/>
      <c r="O37" s="167"/>
      <c r="P37" s="168"/>
      <c r="Q37" s="169"/>
      <c r="R37" s="170"/>
      <c r="S37" s="171"/>
      <c r="T37" s="172"/>
      <c r="U37" s="173"/>
      <c r="V37" s="174"/>
      <c r="W37" s="235"/>
    </row>
    <row r="38" spans="2:23" ht="12.95" hidden="1" customHeight="1" outlineLevel="1">
      <c r="B38" s="844"/>
      <c r="C38" s="176"/>
      <c r="D38" s="161"/>
      <c r="E38" s="162"/>
      <c r="F38" s="427"/>
      <c r="G38" s="163"/>
      <c r="H38" s="164"/>
      <c r="I38" s="523" t="str">
        <f t="shared" si="4"/>
        <v/>
      </c>
      <c r="J38" s="524" t="str">
        <f t="shared" si="3"/>
        <v/>
      </c>
      <c r="K38" s="165"/>
      <c r="L38" s="165"/>
      <c r="M38" s="166"/>
      <c r="N38" s="165"/>
      <c r="O38" s="167"/>
      <c r="P38" s="168"/>
      <c r="Q38" s="169"/>
      <c r="R38" s="170"/>
      <c r="S38" s="171"/>
      <c r="T38" s="172"/>
      <c r="U38" s="173"/>
      <c r="V38" s="174"/>
      <c r="W38" s="235"/>
    </row>
    <row r="39" spans="2:23" ht="12.95" hidden="1" customHeight="1" outlineLevel="1">
      <c r="B39" s="844"/>
      <c r="C39" s="177"/>
      <c r="D39" s="178"/>
      <c r="E39" s="179"/>
      <c r="F39" s="424"/>
      <c r="G39" s="181"/>
      <c r="H39" s="182"/>
      <c r="I39" s="362" t="str">
        <f t="shared" si="4"/>
        <v/>
      </c>
      <c r="J39" s="521" t="str">
        <f t="shared" si="3"/>
        <v/>
      </c>
      <c r="K39" s="183"/>
      <c r="L39" s="183"/>
      <c r="M39" s="184"/>
      <c r="N39" s="183"/>
      <c r="O39" s="185"/>
      <c r="P39" s="186"/>
      <c r="Q39" s="187"/>
      <c r="R39" s="188"/>
      <c r="S39" s="189"/>
      <c r="T39" s="190"/>
      <c r="U39" s="191"/>
      <c r="V39" s="192"/>
      <c r="W39" s="235"/>
    </row>
    <row r="40" spans="2:23" ht="12.95" hidden="1" customHeight="1" outlineLevel="1">
      <c r="B40" s="844"/>
      <c r="C40" s="175"/>
      <c r="D40" s="178"/>
      <c r="E40" s="179"/>
      <c r="F40" s="424"/>
      <c r="G40" s="181"/>
      <c r="H40" s="182"/>
      <c r="I40" s="362" t="str">
        <f t="shared" si="4"/>
        <v/>
      </c>
      <c r="J40" s="521" t="str">
        <f t="shared" si="3"/>
        <v/>
      </c>
      <c r="K40" s="183"/>
      <c r="L40" s="183"/>
      <c r="M40" s="184"/>
      <c r="N40" s="183"/>
      <c r="O40" s="185"/>
      <c r="P40" s="186"/>
      <c r="Q40" s="187"/>
      <c r="R40" s="188"/>
      <c r="S40" s="189"/>
      <c r="T40" s="190"/>
      <c r="U40" s="191"/>
      <c r="V40" s="192"/>
      <c r="W40" s="235"/>
    </row>
    <row r="41" spans="2:23" ht="12.95" hidden="1" customHeight="1" outlineLevel="1">
      <c r="B41" s="844"/>
      <c r="C41" s="175"/>
      <c r="D41" s="178"/>
      <c r="E41" s="179"/>
      <c r="F41" s="424"/>
      <c r="G41" s="181"/>
      <c r="H41" s="182"/>
      <c r="I41" s="362" t="str">
        <f t="shared" si="4"/>
        <v/>
      </c>
      <c r="J41" s="521" t="str">
        <f t="shared" si="3"/>
        <v/>
      </c>
      <c r="K41" s="183"/>
      <c r="L41" s="183"/>
      <c r="M41" s="184"/>
      <c r="N41" s="183"/>
      <c r="O41" s="185"/>
      <c r="P41" s="186"/>
      <c r="Q41" s="187"/>
      <c r="R41" s="188"/>
      <c r="S41" s="189"/>
      <c r="T41" s="190"/>
      <c r="U41" s="191"/>
      <c r="V41" s="192"/>
      <c r="W41" s="259"/>
    </row>
    <row r="42" spans="2:23" ht="12.95" hidden="1" customHeight="1" outlineLevel="1">
      <c r="B42" s="844"/>
      <c r="C42" s="175"/>
      <c r="D42" s="178"/>
      <c r="E42" s="179"/>
      <c r="F42" s="424"/>
      <c r="G42" s="181"/>
      <c r="H42" s="182"/>
      <c r="I42" s="362" t="str">
        <f t="shared" si="4"/>
        <v/>
      </c>
      <c r="J42" s="521" t="str">
        <f t="shared" si="3"/>
        <v/>
      </c>
      <c r="K42" s="183"/>
      <c r="L42" s="183"/>
      <c r="M42" s="184"/>
      <c r="N42" s="183"/>
      <c r="O42" s="185"/>
      <c r="P42" s="186"/>
      <c r="Q42" s="187"/>
      <c r="R42" s="188"/>
      <c r="S42" s="189"/>
      <c r="T42" s="190"/>
      <c r="U42" s="191"/>
      <c r="V42" s="192"/>
      <c r="W42" s="259"/>
    </row>
    <row r="43" spans="2:23" ht="12.95" hidden="1" customHeight="1" outlineLevel="1">
      <c r="B43" s="844"/>
      <c r="C43" s="193"/>
      <c r="D43" s="178"/>
      <c r="E43" s="194"/>
      <c r="F43" s="424"/>
      <c r="G43" s="181"/>
      <c r="H43" s="182"/>
      <c r="I43" s="362" t="str">
        <f t="shared" si="4"/>
        <v/>
      </c>
      <c r="J43" s="521" t="str">
        <f t="shared" si="3"/>
        <v/>
      </c>
      <c r="K43" s="183"/>
      <c r="L43" s="183"/>
      <c r="M43" s="184"/>
      <c r="N43" s="183"/>
      <c r="O43" s="185"/>
      <c r="P43" s="186"/>
      <c r="Q43" s="187"/>
      <c r="R43" s="188"/>
      <c r="S43" s="189"/>
      <c r="T43" s="190"/>
      <c r="U43" s="191"/>
      <c r="V43" s="192"/>
      <c r="W43" s="259"/>
    </row>
    <row r="44" spans="2:23" ht="12.95" hidden="1" customHeight="1" outlineLevel="1">
      <c r="B44" s="844"/>
      <c r="C44" s="216"/>
      <c r="D44" s="180"/>
      <c r="E44" s="206"/>
      <c r="F44" s="428"/>
      <c r="G44" s="217"/>
      <c r="H44" s="218"/>
      <c r="I44" s="525" t="str">
        <f t="shared" si="4"/>
        <v/>
      </c>
      <c r="J44" s="526" t="str">
        <f t="shared" si="3"/>
        <v/>
      </c>
      <c r="K44" s="183"/>
      <c r="L44" s="183"/>
      <c r="M44" s="184"/>
      <c r="N44" s="183"/>
      <c r="O44" s="185"/>
      <c r="P44" s="186"/>
      <c r="Q44" s="187"/>
      <c r="R44" s="188"/>
      <c r="S44" s="189"/>
      <c r="T44" s="190"/>
      <c r="U44" s="191"/>
      <c r="V44" s="192"/>
      <c r="W44" s="260"/>
    </row>
    <row r="45" spans="2:23" ht="12.95" hidden="1" customHeight="1" outlineLevel="1">
      <c r="B45" s="844"/>
      <c r="C45" s="193"/>
      <c r="D45" s="178"/>
      <c r="E45" s="179"/>
      <c r="F45" s="424"/>
      <c r="G45" s="181"/>
      <c r="H45" s="182"/>
      <c r="I45" s="362" t="str">
        <f t="shared" si="4"/>
        <v/>
      </c>
      <c r="J45" s="521" t="str">
        <f t="shared" si="3"/>
        <v/>
      </c>
      <c r="K45" s="183"/>
      <c r="L45" s="183"/>
      <c r="M45" s="184"/>
      <c r="N45" s="183"/>
      <c r="O45" s="185"/>
      <c r="P45" s="186"/>
      <c r="Q45" s="187"/>
      <c r="R45" s="188"/>
      <c r="S45" s="189"/>
      <c r="T45" s="190"/>
      <c r="U45" s="191"/>
      <c r="V45" s="192"/>
      <c r="W45" s="259"/>
    </row>
    <row r="46" spans="2:23" ht="12.95" hidden="1" customHeight="1" outlineLevel="1">
      <c r="B46" s="844"/>
      <c r="C46" s="193"/>
      <c r="D46" s="178"/>
      <c r="E46" s="194"/>
      <c r="F46" s="424"/>
      <c r="G46" s="181"/>
      <c r="H46" s="182"/>
      <c r="I46" s="362" t="str">
        <f t="shared" si="4"/>
        <v/>
      </c>
      <c r="J46" s="521" t="str">
        <f t="shared" si="3"/>
        <v/>
      </c>
      <c r="K46" s="183"/>
      <c r="L46" s="183"/>
      <c r="M46" s="184"/>
      <c r="N46" s="183"/>
      <c r="O46" s="185"/>
      <c r="P46" s="186"/>
      <c r="Q46" s="187"/>
      <c r="R46" s="188"/>
      <c r="S46" s="189"/>
      <c r="T46" s="190"/>
      <c r="U46" s="191"/>
      <c r="V46" s="192"/>
      <c r="W46" s="235"/>
    </row>
    <row r="47" spans="2:23" ht="12.95" hidden="1" customHeight="1" outlineLevel="1">
      <c r="B47" s="844"/>
      <c r="C47" s="193"/>
      <c r="D47" s="178"/>
      <c r="E47" s="194"/>
      <c r="F47" s="424"/>
      <c r="G47" s="181"/>
      <c r="H47" s="182"/>
      <c r="I47" s="362" t="str">
        <f t="shared" si="4"/>
        <v/>
      </c>
      <c r="J47" s="521" t="str">
        <f t="shared" si="3"/>
        <v/>
      </c>
      <c r="K47" s="183"/>
      <c r="L47" s="183"/>
      <c r="M47" s="184"/>
      <c r="N47" s="183"/>
      <c r="O47" s="185"/>
      <c r="P47" s="186"/>
      <c r="Q47" s="187"/>
      <c r="R47" s="188"/>
      <c r="S47" s="189"/>
      <c r="T47" s="190"/>
      <c r="U47" s="191"/>
      <c r="V47" s="192"/>
      <c r="W47" s="235"/>
    </row>
    <row r="48" spans="2:23" ht="12.95" hidden="1" customHeight="1" outlineLevel="1">
      <c r="B48" s="844"/>
      <c r="C48" s="193"/>
      <c r="D48" s="178"/>
      <c r="E48" s="194"/>
      <c r="F48" s="424"/>
      <c r="G48" s="181"/>
      <c r="H48" s="182"/>
      <c r="I48" s="362" t="str">
        <f t="shared" si="4"/>
        <v/>
      </c>
      <c r="J48" s="521" t="str">
        <f t="shared" si="3"/>
        <v/>
      </c>
      <c r="K48" s="183"/>
      <c r="L48" s="183"/>
      <c r="M48" s="184"/>
      <c r="N48" s="183"/>
      <c r="O48" s="185"/>
      <c r="P48" s="186"/>
      <c r="Q48" s="187"/>
      <c r="R48" s="188"/>
      <c r="S48" s="189"/>
      <c r="T48" s="190"/>
      <c r="U48" s="191"/>
      <c r="V48" s="192"/>
      <c r="W48" s="235"/>
    </row>
    <row r="49" spans="2:23" ht="12.95" hidden="1" customHeight="1" outlineLevel="1">
      <c r="B49" s="844"/>
      <c r="C49" s="193"/>
      <c r="D49" s="178"/>
      <c r="E49" s="179"/>
      <c r="F49" s="424"/>
      <c r="G49" s="181"/>
      <c r="H49" s="182"/>
      <c r="I49" s="362" t="str">
        <f t="shared" si="4"/>
        <v/>
      </c>
      <c r="J49" s="521" t="str">
        <f t="shared" si="3"/>
        <v/>
      </c>
      <c r="K49" s="183"/>
      <c r="L49" s="183"/>
      <c r="M49" s="184"/>
      <c r="N49" s="183"/>
      <c r="O49" s="185"/>
      <c r="P49" s="186"/>
      <c r="Q49" s="187"/>
      <c r="R49" s="188"/>
      <c r="S49" s="189"/>
      <c r="T49" s="190"/>
      <c r="U49" s="191"/>
      <c r="V49" s="192"/>
      <c r="W49" s="259"/>
    </row>
    <row r="50" spans="2:23" ht="12.95" hidden="1" customHeight="1" outlineLevel="1">
      <c r="B50" s="844"/>
      <c r="C50" s="193"/>
      <c r="D50" s="178"/>
      <c r="E50" s="194"/>
      <c r="F50" s="424"/>
      <c r="G50" s="181"/>
      <c r="H50" s="182"/>
      <c r="I50" s="362" t="str">
        <f t="shared" si="4"/>
        <v/>
      </c>
      <c r="J50" s="521" t="str">
        <f t="shared" si="3"/>
        <v/>
      </c>
      <c r="K50" s="183"/>
      <c r="L50" s="183"/>
      <c r="M50" s="184"/>
      <c r="N50" s="183"/>
      <c r="O50" s="185"/>
      <c r="P50" s="186"/>
      <c r="Q50" s="187"/>
      <c r="R50" s="188"/>
      <c r="S50" s="189"/>
      <c r="T50" s="190"/>
      <c r="U50" s="191"/>
      <c r="V50" s="192"/>
      <c r="W50" s="259"/>
    </row>
    <row r="51" spans="2:23" ht="12.95" hidden="1" customHeight="1" outlineLevel="1">
      <c r="B51" s="844"/>
      <c r="C51" s="193"/>
      <c r="D51" s="178"/>
      <c r="E51" s="194"/>
      <c r="F51" s="424"/>
      <c r="G51" s="181"/>
      <c r="H51" s="182"/>
      <c r="I51" s="362" t="str">
        <f t="shared" si="4"/>
        <v/>
      </c>
      <c r="J51" s="521" t="str">
        <f t="shared" si="3"/>
        <v/>
      </c>
      <c r="K51" s="183"/>
      <c r="L51" s="183"/>
      <c r="M51" s="184"/>
      <c r="N51" s="183"/>
      <c r="O51" s="185"/>
      <c r="P51" s="186"/>
      <c r="Q51" s="187"/>
      <c r="R51" s="188"/>
      <c r="S51" s="189"/>
      <c r="T51" s="190"/>
      <c r="U51" s="191"/>
      <c r="V51" s="192"/>
      <c r="W51" s="259"/>
    </row>
    <row r="52" spans="2:23" ht="12.95" hidden="1" customHeight="1" outlineLevel="1">
      <c r="B52" s="844"/>
      <c r="C52" s="193"/>
      <c r="D52" s="178"/>
      <c r="E52" s="206"/>
      <c r="F52" s="428"/>
      <c r="G52" s="181"/>
      <c r="H52" s="182"/>
      <c r="I52" s="362" t="str">
        <f t="shared" si="4"/>
        <v/>
      </c>
      <c r="J52" s="521" t="str">
        <f t="shared" si="3"/>
        <v/>
      </c>
      <c r="K52" s="183"/>
      <c r="L52" s="183"/>
      <c r="M52" s="184"/>
      <c r="N52" s="183"/>
      <c r="O52" s="185"/>
      <c r="P52" s="186"/>
      <c r="Q52" s="187"/>
      <c r="R52" s="188"/>
      <c r="S52" s="189"/>
      <c r="T52" s="190"/>
      <c r="U52" s="191"/>
      <c r="V52" s="192"/>
      <c r="W52" s="259"/>
    </row>
    <row r="53" spans="2:23" ht="12.95" hidden="1" customHeight="1" outlineLevel="1">
      <c r="B53" s="844"/>
      <c r="C53" s="175"/>
      <c r="D53" s="178"/>
      <c r="E53" s="206"/>
      <c r="F53" s="424"/>
      <c r="G53" s="181"/>
      <c r="H53" s="182"/>
      <c r="I53" s="362" t="str">
        <f t="shared" si="4"/>
        <v/>
      </c>
      <c r="J53" s="521" t="str">
        <f t="shared" si="3"/>
        <v/>
      </c>
      <c r="K53" s="183"/>
      <c r="L53" s="183"/>
      <c r="M53" s="184"/>
      <c r="N53" s="183"/>
      <c r="O53" s="185"/>
      <c r="P53" s="186"/>
      <c r="Q53" s="187"/>
      <c r="R53" s="188"/>
      <c r="S53" s="189"/>
      <c r="T53" s="190"/>
      <c r="U53" s="191"/>
      <c r="V53" s="192"/>
      <c r="W53" s="259"/>
    </row>
    <row r="54" spans="2:23" ht="12.95" hidden="1" customHeight="1" outlineLevel="1">
      <c r="B54" s="844"/>
      <c r="C54" s="175"/>
      <c r="D54" s="178"/>
      <c r="E54" s="206"/>
      <c r="F54" s="424"/>
      <c r="G54" s="181"/>
      <c r="H54" s="182"/>
      <c r="I54" s="362" t="str">
        <f t="shared" si="4"/>
        <v/>
      </c>
      <c r="J54" s="521" t="str">
        <f t="shared" si="3"/>
        <v/>
      </c>
      <c r="K54" s="183"/>
      <c r="L54" s="183"/>
      <c r="M54" s="184"/>
      <c r="N54" s="183"/>
      <c r="O54" s="185"/>
      <c r="P54" s="186"/>
      <c r="Q54" s="187"/>
      <c r="R54" s="188"/>
      <c r="S54" s="189"/>
      <c r="T54" s="190"/>
      <c r="U54" s="191"/>
      <c r="V54" s="192"/>
      <c r="W54" s="259"/>
    </row>
    <row r="55" spans="2:23" ht="12.95" hidden="1" customHeight="1" outlineLevel="1">
      <c r="B55" s="844"/>
      <c r="C55" s="175"/>
      <c r="D55" s="178"/>
      <c r="E55" s="194"/>
      <c r="F55" s="424"/>
      <c r="G55" s="181"/>
      <c r="H55" s="182"/>
      <c r="I55" s="362" t="str">
        <f t="shared" si="4"/>
        <v/>
      </c>
      <c r="J55" s="521" t="str">
        <f t="shared" si="3"/>
        <v/>
      </c>
      <c r="K55" s="183"/>
      <c r="L55" s="183"/>
      <c r="M55" s="184"/>
      <c r="N55" s="183"/>
      <c r="O55" s="185"/>
      <c r="P55" s="186"/>
      <c r="Q55" s="187"/>
      <c r="R55" s="188"/>
      <c r="S55" s="189"/>
      <c r="T55" s="190"/>
      <c r="U55" s="191"/>
      <c r="V55" s="192"/>
      <c r="W55" s="259"/>
    </row>
    <row r="56" spans="2:23" ht="12.95" hidden="1" customHeight="1" outlineLevel="1">
      <c r="B56" s="844"/>
      <c r="C56" s="175"/>
      <c r="D56" s="178"/>
      <c r="E56" s="206"/>
      <c r="F56" s="424"/>
      <c r="G56" s="181"/>
      <c r="H56" s="182"/>
      <c r="I56" s="362" t="str">
        <f t="shared" si="4"/>
        <v/>
      </c>
      <c r="J56" s="521" t="str">
        <f t="shared" si="3"/>
        <v/>
      </c>
      <c r="K56" s="183"/>
      <c r="L56" s="183"/>
      <c r="M56" s="184"/>
      <c r="N56" s="183"/>
      <c r="O56" s="185"/>
      <c r="P56" s="186"/>
      <c r="Q56" s="187"/>
      <c r="R56" s="188"/>
      <c r="S56" s="189"/>
      <c r="T56" s="190"/>
      <c r="U56" s="191"/>
      <c r="V56" s="192"/>
      <c r="W56" s="259"/>
    </row>
    <row r="57" spans="2:23" ht="12.95" hidden="1" customHeight="1" outlineLevel="1">
      <c r="B57" s="844"/>
      <c r="C57" s="195"/>
      <c r="D57" s="178"/>
      <c r="E57" s="196"/>
      <c r="F57" s="424"/>
      <c r="G57" s="181"/>
      <c r="H57" s="182"/>
      <c r="I57" s="362" t="str">
        <f t="shared" si="4"/>
        <v/>
      </c>
      <c r="J57" s="521" t="str">
        <f t="shared" si="3"/>
        <v/>
      </c>
      <c r="K57" s="183"/>
      <c r="L57" s="183"/>
      <c r="M57" s="184"/>
      <c r="N57" s="183"/>
      <c r="O57" s="185"/>
      <c r="P57" s="186"/>
      <c r="Q57" s="187"/>
      <c r="R57" s="188"/>
      <c r="S57" s="189"/>
      <c r="T57" s="190"/>
      <c r="U57" s="191"/>
      <c r="V57" s="192"/>
      <c r="W57" s="259"/>
    </row>
    <row r="58" spans="2:23" ht="12.95" hidden="1" customHeight="1" outlineLevel="1">
      <c r="B58" s="844"/>
      <c r="C58" s="195"/>
      <c r="D58" s="178"/>
      <c r="E58" s="196"/>
      <c r="F58" s="428"/>
      <c r="G58" s="181"/>
      <c r="H58" s="182"/>
      <c r="I58" s="362" t="str">
        <f t="shared" si="4"/>
        <v/>
      </c>
      <c r="J58" s="521" t="str">
        <f t="shared" si="3"/>
        <v/>
      </c>
      <c r="K58" s="183"/>
      <c r="L58" s="183"/>
      <c r="M58" s="184"/>
      <c r="N58" s="183"/>
      <c r="O58" s="185"/>
      <c r="P58" s="186"/>
      <c r="Q58" s="187"/>
      <c r="R58" s="188"/>
      <c r="S58" s="189"/>
      <c r="T58" s="190"/>
      <c r="U58" s="191"/>
      <c r="V58" s="192"/>
      <c r="W58" s="259"/>
    </row>
    <row r="59" spans="2:23" ht="12.95" hidden="1" customHeight="1" outlineLevel="1">
      <c r="B59" s="844"/>
      <c r="C59" s="195"/>
      <c r="D59" s="178"/>
      <c r="E59" s="196"/>
      <c r="F59" s="424"/>
      <c r="G59" s="181"/>
      <c r="H59" s="182"/>
      <c r="I59" s="362" t="str">
        <f t="shared" si="4"/>
        <v/>
      </c>
      <c r="J59" s="521" t="str">
        <f t="shared" si="3"/>
        <v/>
      </c>
      <c r="K59" s="183"/>
      <c r="L59" s="183"/>
      <c r="M59" s="184"/>
      <c r="N59" s="183"/>
      <c r="O59" s="185">
        <f t="shared" ref="O59:O99" si="5">IF(K59*L59*N59=0,0,(L59*N59)/K59)</f>
        <v>0</v>
      </c>
      <c r="P59" s="186"/>
      <c r="Q59" s="187"/>
      <c r="R59" s="188"/>
      <c r="S59" s="189"/>
      <c r="T59" s="190" t="str">
        <f t="shared" ref="T59:V60" si="6">IF(Q59="","",Q59*$D59)</f>
        <v/>
      </c>
      <c r="U59" s="191" t="str">
        <f t="shared" si="6"/>
        <v/>
      </c>
      <c r="V59" s="192" t="str">
        <f t="shared" si="6"/>
        <v/>
      </c>
      <c r="W59" s="259"/>
    </row>
    <row r="60" spans="2:23" ht="12.95" hidden="1" customHeight="1" outlineLevel="1" thickBot="1">
      <c r="B60" s="844"/>
      <c r="C60" s="257"/>
      <c r="D60" s="237"/>
      <c r="E60" s="258"/>
      <c r="F60" s="425"/>
      <c r="G60" s="239"/>
      <c r="H60" s="240"/>
      <c r="I60" s="363" t="str">
        <f t="shared" si="4"/>
        <v/>
      </c>
      <c r="J60" s="522" t="str">
        <f t="shared" si="3"/>
        <v/>
      </c>
      <c r="K60" s="241"/>
      <c r="L60" s="241"/>
      <c r="M60" s="242"/>
      <c r="N60" s="241"/>
      <c r="O60" s="243">
        <f t="shared" si="5"/>
        <v>0</v>
      </c>
      <c r="P60" s="244"/>
      <c r="Q60" s="245"/>
      <c r="R60" s="246"/>
      <c r="S60" s="247"/>
      <c r="T60" s="248" t="str">
        <f t="shared" si="6"/>
        <v/>
      </c>
      <c r="U60" s="249" t="str">
        <f t="shared" si="6"/>
        <v/>
      </c>
      <c r="V60" s="250" t="str">
        <f t="shared" si="6"/>
        <v/>
      </c>
      <c r="W60" s="251"/>
    </row>
    <row r="61" spans="2:23" ht="12.95" customHeight="1" collapsed="1" thickBot="1">
      <c r="B61" s="845"/>
      <c r="C61" s="335" t="s">
        <v>289</v>
      </c>
      <c r="D61" s="236"/>
      <c r="E61" s="336"/>
      <c r="F61" s="426"/>
      <c r="G61" s="337"/>
      <c r="H61" s="338"/>
      <c r="I61" s="347"/>
      <c r="J61" s="519">
        <f>SUM(J21:J60)</f>
        <v>0</v>
      </c>
      <c r="K61" s="339"/>
      <c r="L61" s="339"/>
      <c r="M61" s="340"/>
      <c r="N61" s="339"/>
      <c r="O61" s="341"/>
      <c r="P61" s="342"/>
      <c r="Q61" s="343"/>
      <c r="R61" s="344"/>
      <c r="S61" s="345"/>
      <c r="T61" s="346"/>
      <c r="U61" s="347"/>
      <c r="V61" s="348"/>
      <c r="W61" s="349"/>
    </row>
    <row r="62" spans="2:23" ht="12.95" customHeight="1">
      <c r="B62" s="843" t="s">
        <v>148</v>
      </c>
      <c r="C62" s="359" t="str">
        <f>科目設定!G2</f>
        <v>ガソリン</v>
      </c>
      <c r="D62" s="360">
        <f>SUMIF(③労働時間!$K$5:$K$353,$C62,③労働時間!$N$5:$N$353)</f>
        <v>0</v>
      </c>
      <c r="E62" s="364" t="s">
        <v>204</v>
      </c>
      <c r="F62" s="423">
        <v>137</v>
      </c>
      <c r="G62" s="222">
        <v>1</v>
      </c>
      <c r="H62" s="223">
        <v>1</v>
      </c>
      <c r="I62" s="528" t="str">
        <f>IF(D62=0,"",D62*1/G62*H62)</f>
        <v/>
      </c>
      <c r="J62" s="520">
        <f>IF(D62=0,0,ROUND(F62*I62,0))</f>
        <v>0</v>
      </c>
      <c r="K62" s="224"/>
      <c r="L62" s="224"/>
      <c r="M62" s="225"/>
      <c r="N62" s="224"/>
      <c r="O62" s="226">
        <v>0</v>
      </c>
      <c r="P62" s="227"/>
      <c r="Q62" s="228"/>
      <c r="R62" s="229"/>
      <c r="S62" s="230"/>
      <c r="T62" s="231" t="s">
        <v>288</v>
      </c>
      <c r="U62" s="232" t="s">
        <v>288</v>
      </c>
      <c r="V62" s="233" t="s">
        <v>288</v>
      </c>
      <c r="W62" s="234" t="s">
        <v>666</v>
      </c>
    </row>
    <row r="63" spans="2:23" ht="12.95" customHeight="1">
      <c r="B63" s="844"/>
      <c r="C63" s="361" t="str">
        <f>科目設定!G3</f>
        <v>軽油</v>
      </c>
      <c r="D63" s="362">
        <f>SUMIF(③労働時間!$K$5:$K$353,$C63,③労働時間!$N$5:$N$353)</f>
        <v>0</v>
      </c>
      <c r="E63" s="365" t="s">
        <v>204</v>
      </c>
      <c r="F63" s="424">
        <v>93.8</v>
      </c>
      <c r="G63" s="181">
        <v>1</v>
      </c>
      <c r="H63" s="182">
        <v>1</v>
      </c>
      <c r="I63" s="529" t="str">
        <f t="shared" ref="I63" si="7">IF(D63=0,"",D63*1/G63*H63)</f>
        <v/>
      </c>
      <c r="J63" s="521">
        <f>IF(D63=0,0,ROUND(F63*I63,0))</f>
        <v>0</v>
      </c>
      <c r="K63" s="183"/>
      <c r="L63" s="183"/>
      <c r="M63" s="184"/>
      <c r="N63" s="183"/>
      <c r="O63" s="185">
        <v>0</v>
      </c>
      <c r="P63" s="186"/>
      <c r="Q63" s="187"/>
      <c r="R63" s="188"/>
      <c r="S63" s="189"/>
      <c r="T63" s="190" t="s">
        <v>288</v>
      </c>
      <c r="U63" s="191" t="s">
        <v>288</v>
      </c>
      <c r="V63" s="192" t="s">
        <v>288</v>
      </c>
      <c r="W63" s="259" t="s">
        <v>666</v>
      </c>
    </row>
    <row r="64" spans="2:23" ht="12.95" customHeight="1">
      <c r="B64" s="844"/>
      <c r="C64" s="361" t="str">
        <f>科目設定!G4</f>
        <v>Ａ重油</v>
      </c>
      <c r="D64" s="362">
        <f>SUMIF(③労働時間!$K$5:$K$353,$C64,③労働時間!$N$5:$N$353)</f>
        <v>0</v>
      </c>
      <c r="E64" s="365" t="s">
        <v>204</v>
      </c>
      <c r="F64" s="424">
        <v>75.900000000000006</v>
      </c>
      <c r="G64" s="181">
        <v>1</v>
      </c>
      <c r="H64" s="182">
        <v>1</v>
      </c>
      <c r="I64" s="529" t="str">
        <f t="shared" ref="I64:I70" si="8">IF(D64=0,"",D64*1/G64*H64)</f>
        <v/>
      </c>
      <c r="J64" s="521" t="str">
        <f t="shared" ref="J64:J70" si="9">IF(D64=0,"",ROUND(F64*I64,0))</f>
        <v/>
      </c>
      <c r="K64" s="183"/>
      <c r="L64" s="183"/>
      <c r="M64" s="184"/>
      <c r="N64" s="183"/>
      <c r="O64" s="185">
        <v>0</v>
      </c>
      <c r="P64" s="186"/>
      <c r="Q64" s="187"/>
      <c r="R64" s="188"/>
      <c r="S64" s="189"/>
      <c r="T64" s="190" t="s">
        <v>288</v>
      </c>
      <c r="U64" s="191" t="s">
        <v>288</v>
      </c>
      <c r="V64" s="192" t="s">
        <v>288</v>
      </c>
      <c r="W64" s="259" t="s">
        <v>666</v>
      </c>
    </row>
    <row r="65" spans="2:23" ht="12.95" customHeight="1">
      <c r="B65" s="844"/>
      <c r="C65" s="361" t="str">
        <f>科目設定!G5</f>
        <v>電気料</v>
      </c>
      <c r="D65" s="362">
        <f>SUMIF(③労働時間!$K$5:$K$353,$C65,③労働時間!$N$5:$N$353)</f>
        <v>0</v>
      </c>
      <c r="E65" s="365" t="s">
        <v>204</v>
      </c>
      <c r="F65" s="424"/>
      <c r="G65" s="181"/>
      <c r="H65" s="182"/>
      <c r="I65" s="529" t="str">
        <f t="shared" si="8"/>
        <v/>
      </c>
      <c r="J65" s="521" t="str">
        <f t="shared" si="9"/>
        <v/>
      </c>
      <c r="K65" s="183"/>
      <c r="L65" s="183"/>
      <c r="M65" s="184"/>
      <c r="N65" s="183"/>
      <c r="O65" s="185"/>
      <c r="P65" s="186"/>
      <c r="Q65" s="187"/>
      <c r="R65" s="188"/>
      <c r="S65" s="189"/>
      <c r="T65" s="190" t="s">
        <v>288</v>
      </c>
      <c r="U65" s="191" t="s">
        <v>288</v>
      </c>
      <c r="V65" s="192" t="s">
        <v>288</v>
      </c>
      <c r="W65" s="259"/>
    </row>
    <row r="66" spans="2:23" ht="12.95" customHeight="1">
      <c r="B66" s="844"/>
      <c r="C66" s="361" t="str">
        <f>科目設定!G6</f>
        <v>水道</v>
      </c>
      <c r="D66" s="362">
        <f>SUMIF(③労働時間!$K$5:$K$353,$C66,③労働時間!$N$5:$N$353)</f>
        <v>0</v>
      </c>
      <c r="E66" s="365" t="s">
        <v>204</v>
      </c>
      <c r="F66" s="424"/>
      <c r="G66" s="181"/>
      <c r="H66" s="182"/>
      <c r="I66" s="529" t="str">
        <f t="shared" si="8"/>
        <v/>
      </c>
      <c r="J66" s="521" t="str">
        <f t="shared" si="9"/>
        <v/>
      </c>
      <c r="K66" s="183"/>
      <c r="L66" s="183"/>
      <c r="M66" s="184"/>
      <c r="N66" s="183"/>
      <c r="O66" s="185"/>
      <c r="P66" s="186"/>
      <c r="Q66" s="187"/>
      <c r="R66" s="188"/>
      <c r="S66" s="189"/>
      <c r="T66" s="190"/>
      <c r="U66" s="191"/>
      <c r="V66" s="192"/>
      <c r="W66" s="259"/>
    </row>
    <row r="67" spans="2:23" ht="12.95" customHeight="1">
      <c r="B67" s="844"/>
      <c r="C67" s="361" t="str">
        <f>科目設定!G7</f>
        <v>灯油</v>
      </c>
      <c r="D67" s="362">
        <f>SUMIF(③労働時間!$K$5:$K$353,$C67,③労働時間!$N$5:$N$353)</f>
        <v>0</v>
      </c>
      <c r="E67" s="365" t="s">
        <v>204</v>
      </c>
      <c r="F67" s="424">
        <v>95</v>
      </c>
      <c r="G67" s="181"/>
      <c r="H67" s="182"/>
      <c r="I67" s="529" t="str">
        <f t="shared" si="8"/>
        <v/>
      </c>
      <c r="J67" s="521" t="str">
        <f t="shared" si="9"/>
        <v/>
      </c>
      <c r="K67" s="183"/>
      <c r="L67" s="183"/>
      <c r="M67" s="184"/>
      <c r="N67" s="183"/>
      <c r="O67" s="185"/>
      <c r="P67" s="186"/>
      <c r="Q67" s="187"/>
      <c r="R67" s="188"/>
      <c r="S67" s="189"/>
      <c r="T67" s="190"/>
      <c r="U67" s="191"/>
      <c r="V67" s="192"/>
      <c r="W67" s="259" t="s">
        <v>666</v>
      </c>
    </row>
    <row r="68" spans="2:23" ht="12.95" customHeight="1">
      <c r="B68" s="844"/>
      <c r="C68" s="361" t="str">
        <f>科目設定!G8</f>
        <v>混合油</v>
      </c>
      <c r="D68" s="362">
        <f>SUMIF(③労働時間!$K$5:$K$353,$C68,③労働時間!$N$5:$N$353)</f>
        <v>0.70001120017920293</v>
      </c>
      <c r="E68" s="365" t="s">
        <v>204</v>
      </c>
      <c r="F68" s="424">
        <f>F62*1.5</f>
        <v>205.5</v>
      </c>
      <c r="G68" s="181">
        <v>1</v>
      </c>
      <c r="H68" s="182">
        <v>1</v>
      </c>
      <c r="I68" s="529">
        <f t="shared" si="8"/>
        <v>0.70001120017920293</v>
      </c>
      <c r="J68" s="521">
        <f t="shared" si="9"/>
        <v>144</v>
      </c>
      <c r="K68" s="183"/>
      <c r="L68" s="183"/>
      <c r="M68" s="184"/>
      <c r="N68" s="183"/>
      <c r="O68" s="185"/>
      <c r="P68" s="186"/>
      <c r="Q68" s="187"/>
      <c r="R68" s="188"/>
      <c r="S68" s="189"/>
      <c r="T68" s="190"/>
      <c r="U68" s="191"/>
      <c r="V68" s="192"/>
      <c r="W68" s="259"/>
    </row>
    <row r="69" spans="2:23" ht="12.95" customHeight="1">
      <c r="B69" s="844"/>
      <c r="C69" s="361" t="str">
        <f>科目設定!G9</f>
        <v>オイル(自動計算)</v>
      </c>
      <c r="D69" s="678">
        <v>0</v>
      </c>
      <c r="E69" s="679" t="s">
        <v>496</v>
      </c>
      <c r="F69" s="680"/>
      <c r="G69" s="681">
        <v>1</v>
      </c>
      <c r="H69" s="682">
        <v>1</v>
      </c>
      <c r="I69" s="683"/>
      <c r="J69" s="521" t="str">
        <f>IF(D69=0,"",ROUND((J63+J64)*0.3,0))</f>
        <v/>
      </c>
      <c r="K69" s="183"/>
      <c r="L69" s="183"/>
      <c r="M69" s="184"/>
      <c r="N69" s="183"/>
      <c r="O69" s="185">
        <f t="shared" si="5"/>
        <v>0</v>
      </c>
      <c r="P69" s="186"/>
      <c r="Q69" s="187"/>
      <c r="R69" s="188"/>
      <c r="S69" s="189"/>
      <c r="T69" s="190" t="str">
        <f t="shared" ref="T69:V71" si="10">IF(Q69="","",Q69*$D69)</f>
        <v/>
      </c>
      <c r="U69" s="191" t="str">
        <f t="shared" si="10"/>
        <v/>
      </c>
      <c r="V69" s="192" t="str">
        <f t="shared" si="10"/>
        <v/>
      </c>
      <c r="W69" s="259"/>
    </row>
    <row r="70" spans="2:23" ht="12.95" customHeight="1">
      <c r="B70" s="844"/>
      <c r="C70" s="690" t="s">
        <v>667</v>
      </c>
      <c r="D70" s="691"/>
      <c r="E70" s="692"/>
      <c r="F70" s="424"/>
      <c r="G70" s="181"/>
      <c r="H70" s="182"/>
      <c r="I70" s="529" t="str">
        <f t="shared" si="8"/>
        <v/>
      </c>
      <c r="J70" s="521" t="str">
        <f t="shared" si="9"/>
        <v/>
      </c>
      <c r="K70" s="183"/>
      <c r="L70" s="183"/>
      <c r="M70" s="184"/>
      <c r="N70" s="183"/>
      <c r="O70" s="185">
        <f t="shared" si="5"/>
        <v>0</v>
      </c>
      <c r="P70" s="186"/>
      <c r="Q70" s="187"/>
      <c r="R70" s="188"/>
      <c r="S70" s="189"/>
      <c r="T70" s="190" t="str">
        <f t="shared" si="10"/>
        <v/>
      </c>
      <c r="U70" s="191" t="str">
        <f t="shared" si="10"/>
        <v/>
      </c>
      <c r="V70" s="192" t="str">
        <f t="shared" si="10"/>
        <v/>
      </c>
      <c r="W70" s="259"/>
    </row>
    <row r="71" spans="2:23" ht="12.95" customHeight="1" thickBot="1">
      <c r="B71" s="844"/>
      <c r="C71" s="684"/>
      <c r="D71" s="685"/>
      <c r="E71" s="686"/>
      <c r="F71" s="687"/>
      <c r="G71" s="688"/>
      <c r="H71" s="689"/>
      <c r="I71" s="530"/>
      <c r="J71" s="522"/>
      <c r="K71" s="241"/>
      <c r="L71" s="241"/>
      <c r="M71" s="242"/>
      <c r="N71" s="241"/>
      <c r="O71" s="243">
        <f t="shared" si="5"/>
        <v>0</v>
      </c>
      <c r="P71" s="244"/>
      <c r="Q71" s="245"/>
      <c r="R71" s="246"/>
      <c r="S71" s="247"/>
      <c r="T71" s="248" t="str">
        <f t="shared" si="10"/>
        <v/>
      </c>
      <c r="U71" s="249" t="str">
        <f t="shared" si="10"/>
        <v/>
      </c>
      <c r="V71" s="250" t="str">
        <f t="shared" si="10"/>
        <v/>
      </c>
      <c r="W71" s="251"/>
    </row>
    <row r="72" spans="2:23" ht="12.95" customHeight="1" thickTop="1" thickBot="1">
      <c r="B72" s="845"/>
      <c r="C72" s="335" t="s">
        <v>289</v>
      </c>
      <c r="D72" s="236"/>
      <c r="E72" s="336"/>
      <c r="F72" s="426"/>
      <c r="G72" s="337"/>
      <c r="H72" s="338"/>
      <c r="I72" s="347"/>
      <c r="J72" s="519">
        <f>SUM(J62:J71)</f>
        <v>144</v>
      </c>
      <c r="K72" s="339"/>
      <c r="L72" s="339"/>
      <c r="M72" s="340"/>
      <c r="N72" s="339"/>
      <c r="O72" s="341"/>
      <c r="P72" s="342"/>
      <c r="Q72" s="343"/>
      <c r="R72" s="344"/>
      <c r="S72" s="345"/>
      <c r="T72" s="346"/>
      <c r="U72" s="347"/>
      <c r="V72" s="348"/>
      <c r="W72" s="349"/>
    </row>
    <row r="73" spans="2:23" ht="12.95" customHeight="1">
      <c r="B73" s="843" t="s">
        <v>115</v>
      </c>
      <c r="C73" s="261" t="s">
        <v>500</v>
      </c>
      <c r="D73" s="220">
        <v>0.2</v>
      </c>
      <c r="E73" s="262" t="s">
        <v>501</v>
      </c>
      <c r="F73" s="423">
        <v>272500</v>
      </c>
      <c r="G73" s="222">
        <v>1</v>
      </c>
      <c r="H73" s="223">
        <v>1</v>
      </c>
      <c r="I73" s="360">
        <f t="shared" ref="I73:I109" si="11">IF(C73=0,"",D73*1/G73*H73)</f>
        <v>0.2</v>
      </c>
      <c r="J73" s="520">
        <f t="shared" si="3"/>
        <v>54500</v>
      </c>
      <c r="K73" s="224"/>
      <c r="L73" s="224"/>
      <c r="M73" s="225"/>
      <c r="N73" s="224"/>
      <c r="O73" s="226">
        <v>0</v>
      </c>
      <c r="P73" s="227"/>
      <c r="Q73" s="228"/>
      <c r="R73" s="229"/>
      <c r="S73" s="230"/>
      <c r="T73" s="231" t="s">
        <v>288</v>
      </c>
      <c r="U73" s="232" t="s">
        <v>288</v>
      </c>
      <c r="V73" s="233" t="s">
        <v>288</v>
      </c>
      <c r="W73" s="234" t="s">
        <v>503</v>
      </c>
    </row>
    <row r="74" spans="2:23" ht="12.95" customHeight="1">
      <c r="B74" s="844"/>
      <c r="C74" s="197" t="s">
        <v>502</v>
      </c>
      <c r="D74" s="178">
        <v>0.2</v>
      </c>
      <c r="E74" s="196" t="s">
        <v>501</v>
      </c>
      <c r="F74" s="424">
        <v>3240</v>
      </c>
      <c r="G74" s="181">
        <v>1</v>
      </c>
      <c r="H74" s="182">
        <v>1</v>
      </c>
      <c r="I74" s="362">
        <f t="shared" si="11"/>
        <v>0.2</v>
      </c>
      <c r="J74" s="521">
        <f t="shared" si="3"/>
        <v>648</v>
      </c>
      <c r="K74" s="183"/>
      <c r="L74" s="183"/>
      <c r="M74" s="184"/>
      <c r="N74" s="183"/>
      <c r="O74" s="185">
        <v>0</v>
      </c>
      <c r="P74" s="186"/>
      <c r="Q74" s="187"/>
      <c r="R74" s="188"/>
      <c r="S74" s="189"/>
      <c r="T74" s="190" t="s">
        <v>288</v>
      </c>
      <c r="U74" s="191" t="s">
        <v>288</v>
      </c>
      <c r="V74" s="192" t="s">
        <v>288</v>
      </c>
      <c r="W74" s="259" t="s">
        <v>504</v>
      </c>
    </row>
    <row r="75" spans="2:23" ht="12.95" customHeight="1">
      <c r="B75" s="844"/>
      <c r="C75" s="197" t="s">
        <v>509</v>
      </c>
      <c r="D75" s="178">
        <v>0.1</v>
      </c>
      <c r="E75" s="196" t="s">
        <v>158</v>
      </c>
      <c r="F75" s="424">
        <v>37800</v>
      </c>
      <c r="G75" s="181">
        <v>10</v>
      </c>
      <c r="H75" s="182">
        <v>1</v>
      </c>
      <c r="I75" s="362">
        <f t="shared" si="11"/>
        <v>0.01</v>
      </c>
      <c r="J75" s="521">
        <f t="shared" si="3"/>
        <v>378</v>
      </c>
      <c r="K75" s="183"/>
      <c r="L75" s="183"/>
      <c r="M75" s="184"/>
      <c r="N75" s="183"/>
      <c r="O75" s="185">
        <v>0</v>
      </c>
      <c r="P75" s="186"/>
      <c r="Q75" s="187"/>
      <c r="R75" s="188"/>
      <c r="S75" s="189"/>
      <c r="T75" s="190" t="s">
        <v>288</v>
      </c>
      <c r="U75" s="191" t="s">
        <v>288</v>
      </c>
      <c r="V75" s="192" t="s">
        <v>288</v>
      </c>
      <c r="W75" s="264" t="s">
        <v>521</v>
      </c>
    </row>
    <row r="76" spans="2:23" ht="12.95" customHeight="1">
      <c r="B76" s="844"/>
      <c r="C76" s="197" t="s">
        <v>510</v>
      </c>
      <c r="D76" s="178">
        <v>12</v>
      </c>
      <c r="E76" s="196" t="s">
        <v>215</v>
      </c>
      <c r="F76" s="424">
        <v>421</v>
      </c>
      <c r="G76" s="181">
        <v>5</v>
      </c>
      <c r="H76" s="182">
        <v>1</v>
      </c>
      <c r="I76" s="362">
        <f t="shared" si="11"/>
        <v>2.4</v>
      </c>
      <c r="J76" s="521">
        <f t="shared" ref="J76:J109" si="12">IF(C76=0,"",ROUND(F76*I76,0))</f>
        <v>1010</v>
      </c>
      <c r="K76" s="183"/>
      <c r="L76" s="183"/>
      <c r="M76" s="184"/>
      <c r="N76" s="183"/>
      <c r="O76" s="185">
        <v>0</v>
      </c>
      <c r="P76" s="186"/>
      <c r="Q76" s="187"/>
      <c r="R76" s="188"/>
      <c r="S76" s="189"/>
      <c r="T76" s="190" t="s">
        <v>288</v>
      </c>
      <c r="U76" s="191" t="s">
        <v>288</v>
      </c>
      <c r="V76" s="192" t="s">
        <v>288</v>
      </c>
      <c r="W76" s="264" t="s">
        <v>522</v>
      </c>
    </row>
    <row r="77" spans="2:23" ht="12.95" customHeight="1">
      <c r="B77" s="844"/>
      <c r="C77" s="197" t="s">
        <v>511</v>
      </c>
      <c r="D77" s="178">
        <v>2</v>
      </c>
      <c r="E77" s="196" t="s">
        <v>215</v>
      </c>
      <c r="F77" s="424">
        <v>583</v>
      </c>
      <c r="G77" s="181">
        <v>5</v>
      </c>
      <c r="H77" s="182">
        <v>1</v>
      </c>
      <c r="I77" s="362">
        <f t="shared" si="11"/>
        <v>0.4</v>
      </c>
      <c r="J77" s="521">
        <f t="shared" si="12"/>
        <v>233</v>
      </c>
      <c r="K77" s="183"/>
      <c r="L77" s="183"/>
      <c r="M77" s="184"/>
      <c r="N77" s="183"/>
      <c r="O77" s="185">
        <v>0</v>
      </c>
      <c r="P77" s="186"/>
      <c r="Q77" s="187"/>
      <c r="R77" s="188"/>
      <c r="S77" s="189"/>
      <c r="T77" s="190" t="s">
        <v>288</v>
      </c>
      <c r="U77" s="191" t="s">
        <v>288</v>
      </c>
      <c r="V77" s="192" t="s">
        <v>288</v>
      </c>
      <c r="W77" s="264" t="s">
        <v>523</v>
      </c>
    </row>
    <row r="78" spans="2:23" ht="12.95" customHeight="1">
      <c r="B78" s="844"/>
      <c r="C78" s="197" t="s">
        <v>512</v>
      </c>
      <c r="D78" s="178">
        <v>0.6</v>
      </c>
      <c r="E78" s="196" t="s">
        <v>117</v>
      </c>
      <c r="F78" s="424">
        <v>756</v>
      </c>
      <c r="G78" s="181">
        <v>5</v>
      </c>
      <c r="H78" s="182">
        <v>1</v>
      </c>
      <c r="I78" s="362">
        <f t="shared" si="11"/>
        <v>0.12</v>
      </c>
      <c r="J78" s="521">
        <f t="shared" si="12"/>
        <v>91</v>
      </c>
      <c r="K78" s="183"/>
      <c r="L78" s="183"/>
      <c r="M78" s="184"/>
      <c r="N78" s="183"/>
      <c r="O78" s="185">
        <v>0</v>
      </c>
      <c r="P78" s="186"/>
      <c r="Q78" s="187"/>
      <c r="R78" s="188"/>
      <c r="S78" s="189"/>
      <c r="T78" s="190" t="s">
        <v>288</v>
      </c>
      <c r="U78" s="191" t="s">
        <v>288</v>
      </c>
      <c r="V78" s="192" t="s">
        <v>288</v>
      </c>
      <c r="W78" s="264" t="s">
        <v>524</v>
      </c>
    </row>
    <row r="79" spans="2:23" ht="12.95" customHeight="1">
      <c r="B79" s="844"/>
      <c r="C79" s="197" t="s">
        <v>513</v>
      </c>
      <c r="D79" s="178">
        <v>0.1</v>
      </c>
      <c r="E79" s="196" t="s">
        <v>215</v>
      </c>
      <c r="F79" s="424">
        <v>2160</v>
      </c>
      <c r="G79" s="181">
        <v>5</v>
      </c>
      <c r="H79" s="182">
        <v>1</v>
      </c>
      <c r="I79" s="362">
        <f t="shared" si="11"/>
        <v>0.02</v>
      </c>
      <c r="J79" s="521">
        <f t="shared" si="12"/>
        <v>43</v>
      </c>
      <c r="K79" s="183"/>
      <c r="L79" s="183"/>
      <c r="M79" s="184"/>
      <c r="N79" s="183"/>
      <c r="O79" s="185">
        <v>0</v>
      </c>
      <c r="P79" s="186"/>
      <c r="Q79" s="187"/>
      <c r="R79" s="188"/>
      <c r="S79" s="189"/>
      <c r="T79" s="190" t="s">
        <v>288</v>
      </c>
      <c r="U79" s="191" t="s">
        <v>288</v>
      </c>
      <c r="V79" s="192" t="s">
        <v>288</v>
      </c>
      <c r="W79" s="264" t="s">
        <v>525</v>
      </c>
    </row>
    <row r="80" spans="2:23" ht="12.95" customHeight="1">
      <c r="B80" s="844"/>
      <c r="C80" s="197" t="s">
        <v>514</v>
      </c>
      <c r="D80" s="178">
        <v>0.3</v>
      </c>
      <c r="E80" s="196" t="s">
        <v>233</v>
      </c>
      <c r="F80" s="424">
        <v>6480</v>
      </c>
      <c r="G80" s="181">
        <v>3</v>
      </c>
      <c r="H80" s="182">
        <v>1</v>
      </c>
      <c r="I80" s="362">
        <f t="shared" si="11"/>
        <v>9.9999999999999992E-2</v>
      </c>
      <c r="J80" s="521">
        <f t="shared" si="12"/>
        <v>648</v>
      </c>
      <c r="K80" s="183"/>
      <c r="L80" s="183"/>
      <c r="M80" s="184"/>
      <c r="N80" s="183"/>
      <c r="O80" s="185">
        <v>0</v>
      </c>
      <c r="P80" s="186"/>
      <c r="Q80" s="187"/>
      <c r="R80" s="188"/>
      <c r="S80" s="189"/>
      <c r="T80" s="190" t="s">
        <v>288</v>
      </c>
      <c r="U80" s="191" t="s">
        <v>288</v>
      </c>
      <c r="V80" s="192" t="s">
        <v>288</v>
      </c>
      <c r="W80" s="264" t="s">
        <v>526</v>
      </c>
    </row>
    <row r="81" spans="2:23" ht="12.95" customHeight="1">
      <c r="B81" s="844"/>
      <c r="C81" s="197" t="s">
        <v>515</v>
      </c>
      <c r="D81" s="178">
        <v>0.1</v>
      </c>
      <c r="E81" s="196" t="s">
        <v>117</v>
      </c>
      <c r="F81" s="424">
        <v>14175</v>
      </c>
      <c r="G81" s="181">
        <v>10</v>
      </c>
      <c r="H81" s="182">
        <v>1</v>
      </c>
      <c r="I81" s="362">
        <f t="shared" si="11"/>
        <v>0.01</v>
      </c>
      <c r="J81" s="521">
        <f t="shared" si="12"/>
        <v>142</v>
      </c>
      <c r="K81" s="183"/>
      <c r="L81" s="183"/>
      <c r="M81" s="184"/>
      <c r="N81" s="183"/>
      <c r="O81" s="185">
        <v>0</v>
      </c>
      <c r="P81" s="186"/>
      <c r="Q81" s="187"/>
      <c r="R81" s="188"/>
      <c r="S81" s="189"/>
      <c r="T81" s="190" t="s">
        <v>288</v>
      </c>
      <c r="U81" s="191" t="s">
        <v>288</v>
      </c>
      <c r="V81" s="192" t="s">
        <v>288</v>
      </c>
      <c r="W81" s="264" t="s">
        <v>521</v>
      </c>
    </row>
    <row r="82" spans="2:23" ht="12.95" customHeight="1">
      <c r="B82" s="844"/>
      <c r="C82" s="197" t="s">
        <v>516</v>
      </c>
      <c r="D82" s="178">
        <v>0.4</v>
      </c>
      <c r="E82" s="196" t="s">
        <v>215</v>
      </c>
      <c r="F82" s="424">
        <v>1439</v>
      </c>
      <c r="G82" s="181">
        <v>5</v>
      </c>
      <c r="H82" s="182">
        <v>1</v>
      </c>
      <c r="I82" s="362">
        <f t="shared" si="11"/>
        <v>0.08</v>
      </c>
      <c r="J82" s="521">
        <f t="shared" si="12"/>
        <v>115</v>
      </c>
      <c r="K82" s="183"/>
      <c r="L82" s="183"/>
      <c r="M82" s="184"/>
      <c r="N82" s="183"/>
      <c r="O82" s="185">
        <v>0</v>
      </c>
      <c r="P82" s="186"/>
      <c r="Q82" s="187"/>
      <c r="R82" s="188"/>
      <c r="S82" s="189"/>
      <c r="T82" s="190" t="s">
        <v>288</v>
      </c>
      <c r="U82" s="191" t="s">
        <v>288</v>
      </c>
      <c r="V82" s="192" t="s">
        <v>288</v>
      </c>
      <c r="W82" s="264" t="s">
        <v>527</v>
      </c>
    </row>
    <row r="83" spans="2:23" ht="12.95" customHeight="1">
      <c r="B83" s="844"/>
      <c r="C83" s="197" t="s">
        <v>517</v>
      </c>
      <c r="D83" s="178">
        <v>0.8</v>
      </c>
      <c r="E83" s="196" t="s">
        <v>215</v>
      </c>
      <c r="F83" s="424">
        <v>755</v>
      </c>
      <c r="G83" s="181">
        <v>5</v>
      </c>
      <c r="H83" s="182">
        <v>1</v>
      </c>
      <c r="I83" s="362">
        <f t="shared" si="11"/>
        <v>0.16</v>
      </c>
      <c r="J83" s="521">
        <f t="shared" si="12"/>
        <v>121</v>
      </c>
      <c r="K83" s="183"/>
      <c r="L83" s="183"/>
      <c r="M83" s="184"/>
      <c r="N83" s="183"/>
      <c r="O83" s="185">
        <v>0</v>
      </c>
      <c r="P83" s="186"/>
      <c r="Q83" s="187"/>
      <c r="R83" s="188"/>
      <c r="S83" s="189"/>
      <c r="T83" s="190" t="s">
        <v>288</v>
      </c>
      <c r="U83" s="191" t="s">
        <v>288</v>
      </c>
      <c r="V83" s="192" t="s">
        <v>288</v>
      </c>
      <c r="W83" s="264" t="s">
        <v>528</v>
      </c>
    </row>
    <row r="84" spans="2:23" ht="12.95" customHeight="1">
      <c r="B84" s="844"/>
      <c r="C84" s="197" t="s">
        <v>518</v>
      </c>
      <c r="D84" s="178">
        <v>0.4</v>
      </c>
      <c r="E84" s="196" t="s">
        <v>209</v>
      </c>
      <c r="F84" s="424">
        <v>576</v>
      </c>
      <c r="G84" s="181">
        <v>5</v>
      </c>
      <c r="H84" s="182">
        <v>1</v>
      </c>
      <c r="I84" s="362">
        <f t="shared" si="11"/>
        <v>0.08</v>
      </c>
      <c r="J84" s="521">
        <f t="shared" si="12"/>
        <v>46</v>
      </c>
      <c r="K84" s="183"/>
      <c r="L84" s="183"/>
      <c r="M84" s="184"/>
      <c r="N84" s="183"/>
      <c r="O84" s="185">
        <v>0</v>
      </c>
      <c r="P84" s="186"/>
      <c r="Q84" s="187"/>
      <c r="R84" s="188"/>
      <c r="S84" s="189"/>
      <c r="T84" s="190" t="s">
        <v>288</v>
      </c>
      <c r="U84" s="191" t="s">
        <v>288</v>
      </c>
      <c r="V84" s="192" t="s">
        <v>288</v>
      </c>
      <c r="W84" s="264" t="s">
        <v>527</v>
      </c>
    </row>
    <row r="85" spans="2:23" ht="12.95" customHeight="1">
      <c r="B85" s="844"/>
      <c r="C85" s="197" t="s">
        <v>519</v>
      </c>
      <c r="D85" s="178">
        <v>3</v>
      </c>
      <c r="E85" s="196" t="s">
        <v>117</v>
      </c>
      <c r="F85" s="424">
        <v>370</v>
      </c>
      <c r="G85" s="181">
        <v>5</v>
      </c>
      <c r="H85" s="182">
        <v>1</v>
      </c>
      <c r="I85" s="362">
        <f t="shared" si="11"/>
        <v>0.6</v>
      </c>
      <c r="J85" s="521">
        <f t="shared" si="12"/>
        <v>222</v>
      </c>
      <c r="K85" s="183"/>
      <c r="L85" s="183"/>
      <c r="M85" s="184"/>
      <c r="N85" s="183"/>
      <c r="O85" s="185">
        <v>0</v>
      </c>
      <c r="P85" s="186"/>
      <c r="Q85" s="187"/>
      <c r="R85" s="188"/>
      <c r="S85" s="189"/>
      <c r="T85" s="190" t="s">
        <v>288</v>
      </c>
      <c r="U85" s="191" t="s">
        <v>288</v>
      </c>
      <c r="V85" s="192" t="s">
        <v>288</v>
      </c>
      <c r="W85" s="264" t="s">
        <v>529</v>
      </c>
    </row>
    <row r="86" spans="2:23" ht="12.95" customHeight="1">
      <c r="B86" s="844"/>
      <c r="C86" s="197" t="s">
        <v>520</v>
      </c>
      <c r="D86" s="178">
        <v>0.2</v>
      </c>
      <c r="E86" s="196" t="s">
        <v>100</v>
      </c>
      <c r="F86" s="424">
        <v>1091</v>
      </c>
      <c r="G86" s="181">
        <v>1</v>
      </c>
      <c r="H86" s="182">
        <v>1</v>
      </c>
      <c r="I86" s="362">
        <f t="shared" si="11"/>
        <v>0.2</v>
      </c>
      <c r="J86" s="521">
        <f t="shared" si="12"/>
        <v>218</v>
      </c>
      <c r="K86" s="183"/>
      <c r="L86" s="183"/>
      <c r="M86" s="184"/>
      <c r="N86" s="183"/>
      <c r="O86" s="185">
        <v>0</v>
      </c>
      <c r="P86" s="186"/>
      <c r="Q86" s="187"/>
      <c r="R86" s="188"/>
      <c r="S86" s="189"/>
      <c r="T86" s="190" t="s">
        <v>288</v>
      </c>
      <c r="U86" s="191" t="s">
        <v>288</v>
      </c>
      <c r="V86" s="192" t="s">
        <v>288</v>
      </c>
      <c r="W86" s="264" t="s">
        <v>530</v>
      </c>
    </row>
    <row r="87" spans="2:23" ht="12.95" customHeight="1">
      <c r="B87" s="844"/>
      <c r="C87" s="197" t="s">
        <v>531</v>
      </c>
      <c r="D87" s="693">
        <v>0.01</v>
      </c>
      <c r="E87" s="196" t="s">
        <v>215</v>
      </c>
      <c r="F87" s="424">
        <v>14364</v>
      </c>
      <c r="G87" s="181">
        <v>1</v>
      </c>
      <c r="H87" s="182">
        <v>1</v>
      </c>
      <c r="I87" s="362">
        <f t="shared" si="11"/>
        <v>0.01</v>
      </c>
      <c r="J87" s="521">
        <f t="shared" si="12"/>
        <v>144</v>
      </c>
      <c r="K87" s="183"/>
      <c r="L87" s="183"/>
      <c r="M87" s="184"/>
      <c r="N87" s="183"/>
      <c r="O87" s="185">
        <v>0</v>
      </c>
      <c r="P87" s="186"/>
      <c r="Q87" s="187"/>
      <c r="R87" s="188"/>
      <c r="S87" s="189"/>
      <c r="T87" s="190" t="s">
        <v>288</v>
      </c>
      <c r="U87" s="191" t="s">
        <v>288</v>
      </c>
      <c r="V87" s="192" t="s">
        <v>288</v>
      </c>
      <c r="W87" s="264" t="s">
        <v>532</v>
      </c>
    </row>
    <row r="88" spans="2:23" ht="12.95" customHeight="1">
      <c r="B88" s="844"/>
      <c r="C88" s="197" t="s">
        <v>531</v>
      </c>
      <c r="D88" s="693">
        <v>0.01</v>
      </c>
      <c r="E88" s="196" t="s">
        <v>215</v>
      </c>
      <c r="F88" s="424">
        <v>14364</v>
      </c>
      <c r="G88" s="181">
        <v>1</v>
      </c>
      <c r="H88" s="182">
        <v>1</v>
      </c>
      <c r="I88" s="362">
        <f t="shared" si="11"/>
        <v>0.01</v>
      </c>
      <c r="J88" s="521">
        <f t="shared" si="12"/>
        <v>144</v>
      </c>
      <c r="K88" s="183"/>
      <c r="L88" s="183"/>
      <c r="M88" s="184"/>
      <c r="N88" s="183"/>
      <c r="O88" s="185">
        <v>0</v>
      </c>
      <c r="P88" s="186"/>
      <c r="Q88" s="187"/>
      <c r="R88" s="188"/>
      <c r="S88" s="189"/>
      <c r="T88" s="190" t="s">
        <v>288</v>
      </c>
      <c r="U88" s="191" t="s">
        <v>288</v>
      </c>
      <c r="V88" s="192" t="s">
        <v>288</v>
      </c>
      <c r="W88" s="264" t="s">
        <v>532</v>
      </c>
    </row>
    <row r="89" spans="2:23" ht="12.95" customHeight="1">
      <c r="B89" s="844"/>
      <c r="C89" s="197" t="s">
        <v>531</v>
      </c>
      <c r="D89" s="693">
        <v>0.01</v>
      </c>
      <c r="E89" s="196" t="s">
        <v>215</v>
      </c>
      <c r="F89" s="424">
        <v>14364</v>
      </c>
      <c r="G89" s="181">
        <v>1</v>
      </c>
      <c r="H89" s="182">
        <v>1</v>
      </c>
      <c r="I89" s="362">
        <f t="shared" si="11"/>
        <v>0.01</v>
      </c>
      <c r="J89" s="521">
        <f t="shared" si="12"/>
        <v>144</v>
      </c>
      <c r="K89" s="183"/>
      <c r="L89" s="183"/>
      <c r="M89" s="184"/>
      <c r="N89" s="183"/>
      <c r="O89" s="185">
        <v>0</v>
      </c>
      <c r="P89" s="186"/>
      <c r="Q89" s="187"/>
      <c r="R89" s="188"/>
      <c r="S89" s="189"/>
      <c r="T89" s="190" t="s">
        <v>288</v>
      </c>
      <c r="U89" s="191" t="s">
        <v>288</v>
      </c>
      <c r="V89" s="192" t="s">
        <v>288</v>
      </c>
      <c r="W89" s="264" t="s">
        <v>532</v>
      </c>
    </row>
    <row r="90" spans="2:23" ht="12.95" customHeight="1">
      <c r="B90" s="844"/>
      <c r="C90" s="197" t="s">
        <v>531</v>
      </c>
      <c r="D90" s="693">
        <v>0.01</v>
      </c>
      <c r="E90" s="196" t="s">
        <v>215</v>
      </c>
      <c r="F90" s="424">
        <v>14364</v>
      </c>
      <c r="G90" s="181">
        <v>1</v>
      </c>
      <c r="H90" s="182">
        <v>1</v>
      </c>
      <c r="I90" s="362">
        <f t="shared" si="11"/>
        <v>0.01</v>
      </c>
      <c r="J90" s="521">
        <f t="shared" si="12"/>
        <v>144</v>
      </c>
      <c r="K90" s="183"/>
      <c r="L90" s="183"/>
      <c r="M90" s="184"/>
      <c r="N90" s="183"/>
      <c r="O90" s="185">
        <v>0</v>
      </c>
      <c r="P90" s="186"/>
      <c r="Q90" s="187"/>
      <c r="R90" s="188"/>
      <c r="S90" s="189"/>
      <c r="T90" s="190" t="s">
        <v>288</v>
      </c>
      <c r="U90" s="191" t="s">
        <v>288</v>
      </c>
      <c r="V90" s="192" t="s">
        <v>288</v>
      </c>
      <c r="W90" s="264" t="s">
        <v>532</v>
      </c>
    </row>
    <row r="91" spans="2:23" ht="12.95" customHeight="1">
      <c r="B91" s="844"/>
      <c r="C91" s="197" t="s">
        <v>531</v>
      </c>
      <c r="D91" s="693">
        <v>0.01</v>
      </c>
      <c r="E91" s="196" t="s">
        <v>215</v>
      </c>
      <c r="F91" s="424">
        <v>14364</v>
      </c>
      <c r="G91" s="181">
        <v>1</v>
      </c>
      <c r="H91" s="182">
        <v>1</v>
      </c>
      <c r="I91" s="362">
        <f t="shared" si="11"/>
        <v>0.01</v>
      </c>
      <c r="J91" s="521">
        <f t="shared" si="12"/>
        <v>144</v>
      </c>
      <c r="K91" s="183"/>
      <c r="L91" s="183"/>
      <c r="M91" s="184"/>
      <c r="N91" s="183"/>
      <c r="O91" s="185">
        <f t="shared" si="5"/>
        <v>0</v>
      </c>
      <c r="P91" s="186"/>
      <c r="Q91" s="187"/>
      <c r="R91" s="188"/>
      <c r="S91" s="189"/>
      <c r="T91" s="190" t="str">
        <f t="shared" ref="T91:T109" si="13">IF(Q91="","",Q91*$D91)</f>
        <v/>
      </c>
      <c r="U91" s="191" t="str">
        <f t="shared" ref="U91:U109" si="14">IF(R91="","",R91*$D91)</f>
        <v/>
      </c>
      <c r="V91" s="192" t="str">
        <f t="shared" ref="V91:V109" si="15">IF(S91="","",S91*$D91)</f>
        <v/>
      </c>
      <c r="W91" s="264" t="s">
        <v>532</v>
      </c>
    </row>
    <row r="92" spans="2:23" ht="12.95" customHeight="1">
      <c r="B92" s="844"/>
      <c r="C92" s="197" t="s">
        <v>531</v>
      </c>
      <c r="D92" s="693">
        <v>0.01</v>
      </c>
      <c r="E92" s="196" t="s">
        <v>215</v>
      </c>
      <c r="F92" s="424">
        <v>14364</v>
      </c>
      <c r="G92" s="181">
        <v>1</v>
      </c>
      <c r="H92" s="182">
        <v>1</v>
      </c>
      <c r="I92" s="362">
        <f t="shared" si="11"/>
        <v>0.01</v>
      </c>
      <c r="J92" s="521">
        <f t="shared" si="12"/>
        <v>144</v>
      </c>
      <c r="K92" s="183"/>
      <c r="L92" s="183"/>
      <c r="M92" s="184"/>
      <c r="N92" s="183"/>
      <c r="O92" s="185">
        <f t="shared" si="5"/>
        <v>0</v>
      </c>
      <c r="P92" s="186"/>
      <c r="Q92" s="187"/>
      <c r="R92" s="188"/>
      <c r="S92" s="189"/>
      <c r="T92" s="190" t="str">
        <f t="shared" si="13"/>
        <v/>
      </c>
      <c r="U92" s="191" t="str">
        <f t="shared" si="14"/>
        <v/>
      </c>
      <c r="V92" s="192" t="str">
        <f t="shared" si="15"/>
        <v/>
      </c>
      <c r="W92" s="264" t="s">
        <v>532</v>
      </c>
    </row>
    <row r="93" spans="2:23" ht="12.95" customHeight="1">
      <c r="B93" s="844"/>
      <c r="C93" s="197"/>
      <c r="D93" s="178"/>
      <c r="E93" s="196"/>
      <c r="F93" s="424"/>
      <c r="G93" s="181"/>
      <c r="H93" s="182"/>
      <c r="I93" s="362" t="str">
        <f t="shared" si="11"/>
        <v/>
      </c>
      <c r="J93" s="521" t="str">
        <f t="shared" si="12"/>
        <v/>
      </c>
      <c r="K93" s="183"/>
      <c r="L93" s="183"/>
      <c r="M93" s="184"/>
      <c r="N93" s="183"/>
      <c r="O93" s="185">
        <f t="shared" si="5"/>
        <v>0</v>
      </c>
      <c r="P93" s="186"/>
      <c r="Q93" s="187"/>
      <c r="R93" s="188"/>
      <c r="S93" s="189"/>
      <c r="T93" s="190" t="str">
        <f t="shared" si="13"/>
        <v/>
      </c>
      <c r="U93" s="191" t="str">
        <f t="shared" si="14"/>
        <v/>
      </c>
      <c r="V93" s="192" t="str">
        <f t="shared" si="15"/>
        <v/>
      </c>
      <c r="W93" s="264"/>
    </row>
    <row r="94" spans="2:23" ht="12.95" customHeight="1">
      <c r="B94" s="844"/>
      <c r="C94" s="197"/>
      <c r="D94" s="178"/>
      <c r="E94" s="196"/>
      <c r="F94" s="424"/>
      <c r="G94" s="181"/>
      <c r="H94" s="182"/>
      <c r="I94" s="362" t="str">
        <f t="shared" si="11"/>
        <v/>
      </c>
      <c r="J94" s="521" t="str">
        <f t="shared" si="12"/>
        <v/>
      </c>
      <c r="K94" s="183"/>
      <c r="L94" s="183"/>
      <c r="M94" s="184"/>
      <c r="N94" s="183"/>
      <c r="O94" s="185">
        <f t="shared" si="5"/>
        <v>0</v>
      </c>
      <c r="P94" s="186"/>
      <c r="Q94" s="187"/>
      <c r="R94" s="188"/>
      <c r="S94" s="189"/>
      <c r="T94" s="190" t="str">
        <f t="shared" si="13"/>
        <v/>
      </c>
      <c r="U94" s="191" t="str">
        <f t="shared" si="14"/>
        <v/>
      </c>
      <c r="V94" s="192" t="str">
        <f t="shared" si="15"/>
        <v/>
      </c>
      <c r="W94" s="264"/>
    </row>
    <row r="95" spans="2:23" ht="12.95" customHeight="1">
      <c r="B95" s="844"/>
      <c r="C95" s="197"/>
      <c r="D95" s="178"/>
      <c r="E95" s="196"/>
      <c r="F95" s="424"/>
      <c r="G95" s="181"/>
      <c r="H95" s="182"/>
      <c r="I95" s="362" t="str">
        <f t="shared" si="11"/>
        <v/>
      </c>
      <c r="J95" s="521" t="str">
        <f t="shared" si="12"/>
        <v/>
      </c>
      <c r="K95" s="183"/>
      <c r="L95" s="183"/>
      <c r="M95" s="184"/>
      <c r="N95" s="183"/>
      <c r="O95" s="185">
        <f t="shared" si="5"/>
        <v>0</v>
      </c>
      <c r="P95" s="186"/>
      <c r="Q95" s="187"/>
      <c r="R95" s="188"/>
      <c r="S95" s="189"/>
      <c r="T95" s="190" t="str">
        <f t="shared" si="13"/>
        <v/>
      </c>
      <c r="U95" s="191" t="str">
        <f t="shared" si="14"/>
        <v/>
      </c>
      <c r="V95" s="192" t="str">
        <f t="shared" si="15"/>
        <v/>
      </c>
      <c r="W95" s="264"/>
    </row>
    <row r="96" spans="2:23" ht="12.95" hidden="1" customHeight="1" outlineLevel="1">
      <c r="B96" s="844"/>
      <c r="C96" s="197"/>
      <c r="D96" s="178"/>
      <c r="E96" s="196"/>
      <c r="F96" s="424"/>
      <c r="G96" s="181"/>
      <c r="H96" s="182"/>
      <c r="I96" s="362" t="str">
        <f t="shared" si="11"/>
        <v/>
      </c>
      <c r="J96" s="521" t="str">
        <f t="shared" si="12"/>
        <v/>
      </c>
      <c r="K96" s="183"/>
      <c r="L96" s="183"/>
      <c r="M96" s="184"/>
      <c r="N96" s="183"/>
      <c r="O96" s="185">
        <f t="shared" si="5"/>
        <v>0</v>
      </c>
      <c r="P96" s="186"/>
      <c r="Q96" s="187"/>
      <c r="R96" s="188"/>
      <c r="S96" s="189"/>
      <c r="T96" s="190" t="str">
        <f t="shared" si="13"/>
        <v/>
      </c>
      <c r="U96" s="191" t="str">
        <f t="shared" si="14"/>
        <v/>
      </c>
      <c r="V96" s="192" t="str">
        <f t="shared" si="15"/>
        <v/>
      </c>
      <c r="W96" s="264"/>
    </row>
    <row r="97" spans="2:23" ht="12.95" hidden="1" customHeight="1" outlineLevel="1">
      <c r="B97" s="844"/>
      <c r="C97" s="197"/>
      <c r="D97" s="178"/>
      <c r="E97" s="196"/>
      <c r="F97" s="424"/>
      <c r="G97" s="181"/>
      <c r="H97" s="182"/>
      <c r="I97" s="362" t="str">
        <f t="shared" si="11"/>
        <v/>
      </c>
      <c r="J97" s="521" t="str">
        <f t="shared" si="12"/>
        <v/>
      </c>
      <c r="K97" s="183"/>
      <c r="L97" s="183"/>
      <c r="M97" s="184"/>
      <c r="N97" s="183"/>
      <c r="O97" s="185">
        <f t="shared" si="5"/>
        <v>0</v>
      </c>
      <c r="P97" s="186"/>
      <c r="Q97" s="187"/>
      <c r="R97" s="188"/>
      <c r="S97" s="189"/>
      <c r="T97" s="190" t="str">
        <f t="shared" si="13"/>
        <v/>
      </c>
      <c r="U97" s="191" t="str">
        <f t="shared" si="14"/>
        <v/>
      </c>
      <c r="V97" s="192" t="str">
        <f t="shared" si="15"/>
        <v/>
      </c>
      <c r="W97" s="264"/>
    </row>
    <row r="98" spans="2:23" ht="12.95" hidden="1" customHeight="1" outlineLevel="1">
      <c r="B98" s="844"/>
      <c r="C98" s="197"/>
      <c r="D98" s="178"/>
      <c r="E98" s="196"/>
      <c r="F98" s="424"/>
      <c r="G98" s="181"/>
      <c r="H98" s="182"/>
      <c r="I98" s="362" t="str">
        <f t="shared" si="11"/>
        <v/>
      </c>
      <c r="J98" s="521" t="str">
        <f t="shared" si="12"/>
        <v/>
      </c>
      <c r="K98" s="183"/>
      <c r="L98" s="183"/>
      <c r="M98" s="184"/>
      <c r="N98" s="183"/>
      <c r="O98" s="185">
        <f t="shared" si="5"/>
        <v>0</v>
      </c>
      <c r="P98" s="186"/>
      <c r="Q98" s="187"/>
      <c r="R98" s="188"/>
      <c r="S98" s="189"/>
      <c r="T98" s="190" t="str">
        <f t="shared" si="13"/>
        <v/>
      </c>
      <c r="U98" s="191" t="str">
        <f t="shared" si="14"/>
        <v/>
      </c>
      <c r="V98" s="192" t="str">
        <f t="shared" si="15"/>
        <v/>
      </c>
      <c r="W98" s="264"/>
    </row>
    <row r="99" spans="2:23" ht="12.95" hidden="1" customHeight="1" outlineLevel="1">
      <c r="B99" s="844"/>
      <c r="C99" s="195"/>
      <c r="D99" s="178"/>
      <c r="E99" s="196"/>
      <c r="F99" s="424"/>
      <c r="G99" s="198"/>
      <c r="H99" s="182"/>
      <c r="I99" s="362" t="str">
        <f t="shared" si="11"/>
        <v/>
      </c>
      <c r="J99" s="521" t="str">
        <f t="shared" si="12"/>
        <v/>
      </c>
      <c r="K99" s="183"/>
      <c r="L99" s="183"/>
      <c r="M99" s="184"/>
      <c r="N99" s="183"/>
      <c r="O99" s="185">
        <f t="shared" si="5"/>
        <v>0</v>
      </c>
      <c r="P99" s="186"/>
      <c r="Q99" s="187"/>
      <c r="R99" s="188"/>
      <c r="S99" s="189"/>
      <c r="T99" s="190" t="str">
        <f t="shared" si="13"/>
        <v/>
      </c>
      <c r="U99" s="191" t="str">
        <f t="shared" si="14"/>
        <v/>
      </c>
      <c r="V99" s="192" t="str">
        <f t="shared" si="15"/>
        <v/>
      </c>
      <c r="W99" s="264"/>
    </row>
    <row r="100" spans="2:23" ht="12.95" hidden="1" customHeight="1" outlineLevel="1">
      <c r="B100" s="844"/>
      <c r="C100" s="197"/>
      <c r="D100" s="178"/>
      <c r="E100" s="196"/>
      <c r="F100" s="424"/>
      <c r="G100" s="181"/>
      <c r="H100" s="182"/>
      <c r="I100" s="362" t="str">
        <f t="shared" si="11"/>
        <v/>
      </c>
      <c r="J100" s="521" t="str">
        <f t="shared" si="12"/>
        <v/>
      </c>
      <c r="K100" s="183"/>
      <c r="L100" s="183"/>
      <c r="M100" s="184"/>
      <c r="N100" s="183"/>
      <c r="O100" s="185">
        <f t="shared" ref="O100:O144" si="16">IF(K100*L100*N100=0,0,(L100*N100)/K100)</f>
        <v>0</v>
      </c>
      <c r="P100" s="186"/>
      <c r="Q100" s="187"/>
      <c r="R100" s="188"/>
      <c r="S100" s="189"/>
      <c r="T100" s="190" t="str">
        <f t="shared" si="13"/>
        <v/>
      </c>
      <c r="U100" s="191" t="str">
        <f t="shared" si="14"/>
        <v/>
      </c>
      <c r="V100" s="192" t="str">
        <f t="shared" si="15"/>
        <v/>
      </c>
      <c r="W100" s="264"/>
    </row>
    <row r="101" spans="2:23" ht="12.95" hidden="1" customHeight="1" outlineLevel="1">
      <c r="B101" s="844"/>
      <c r="C101" s="197"/>
      <c r="D101" s="178"/>
      <c r="E101" s="196"/>
      <c r="F101" s="424"/>
      <c r="G101" s="181"/>
      <c r="H101" s="182"/>
      <c r="I101" s="362" t="str">
        <f t="shared" si="11"/>
        <v/>
      </c>
      <c r="J101" s="521" t="str">
        <f t="shared" si="12"/>
        <v/>
      </c>
      <c r="K101" s="183"/>
      <c r="L101" s="183"/>
      <c r="M101" s="184"/>
      <c r="N101" s="183"/>
      <c r="O101" s="185">
        <f t="shared" si="16"/>
        <v>0</v>
      </c>
      <c r="P101" s="186"/>
      <c r="Q101" s="187"/>
      <c r="R101" s="188"/>
      <c r="S101" s="189"/>
      <c r="T101" s="190" t="str">
        <f t="shared" si="13"/>
        <v/>
      </c>
      <c r="U101" s="191" t="str">
        <f t="shared" si="14"/>
        <v/>
      </c>
      <c r="V101" s="192" t="str">
        <f t="shared" si="15"/>
        <v/>
      </c>
      <c r="W101" s="264"/>
    </row>
    <row r="102" spans="2:23" ht="12.95" hidden="1" customHeight="1" outlineLevel="1">
      <c r="B102" s="844"/>
      <c r="C102" s="193"/>
      <c r="D102" s="178"/>
      <c r="E102" s="194"/>
      <c r="F102" s="424"/>
      <c r="G102" s="181"/>
      <c r="H102" s="182"/>
      <c r="I102" s="362" t="str">
        <f t="shared" si="11"/>
        <v/>
      </c>
      <c r="J102" s="521" t="str">
        <f t="shared" si="12"/>
        <v/>
      </c>
      <c r="K102" s="183"/>
      <c r="L102" s="183"/>
      <c r="M102" s="184"/>
      <c r="N102" s="183"/>
      <c r="O102" s="185">
        <f t="shared" si="16"/>
        <v>0</v>
      </c>
      <c r="P102" s="186"/>
      <c r="Q102" s="187"/>
      <c r="R102" s="188"/>
      <c r="S102" s="189"/>
      <c r="T102" s="190" t="str">
        <f t="shared" si="13"/>
        <v/>
      </c>
      <c r="U102" s="191" t="str">
        <f t="shared" si="14"/>
        <v/>
      </c>
      <c r="V102" s="192" t="str">
        <f t="shared" si="15"/>
        <v/>
      </c>
      <c r="W102" s="264"/>
    </row>
    <row r="103" spans="2:23" ht="12.95" hidden="1" customHeight="1" outlineLevel="1">
      <c r="B103" s="844"/>
      <c r="C103" s="197"/>
      <c r="D103" s="178"/>
      <c r="E103" s="196"/>
      <c r="F103" s="424"/>
      <c r="G103" s="181"/>
      <c r="H103" s="182"/>
      <c r="I103" s="362" t="str">
        <f t="shared" si="11"/>
        <v/>
      </c>
      <c r="J103" s="521" t="str">
        <f t="shared" si="12"/>
        <v/>
      </c>
      <c r="K103" s="183"/>
      <c r="L103" s="183"/>
      <c r="M103" s="184"/>
      <c r="N103" s="183"/>
      <c r="O103" s="185">
        <f t="shared" si="16"/>
        <v>0</v>
      </c>
      <c r="P103" s="186"/>
      <c r="Q103" s="187"/>
      <c r="R103" s="188"/>
      <c r="S103" s="189"/>
      <c r="T103" s="190" t="str">
        <f t="shared" si="13"/>
        <v/>
      </c>
      <c r="U103" s="191" t="str">
        <f t="shared" si="14"/>
        <v/>
      </c>
      <c r="V103" s="192" t="str">
        <f t="shared" si="15"/>
        <v/>
      </c>
      <c r="W103" s="264"/>
    </row>
    <row r="104" spans="2:23" ht="12.95" hidden="1" customHeight="1" outlineLevel="1">
      <c r="B104" s="844"/>
      <c r="C104" s="197"/>
      <c r="D104" s="178"/>
      <c r="E104" s="196"/>
      <c r="F104" s="424"/>
      <c r="G104" s="181"/>
      <c r="H104" s="182"/>
      <c r="I104" s="362" t="str">
        <f t="shared" si="11"/>
        <v/>
      </c>
      <c r="J104" s="521" t="str">
        <f t="shared" si="12"/>
        <v/>
      </c>
      <c r="K104" s="183"/>
      <c r="L104" s="183"/>
      <c r="M104" s="184"/>
      <c r="N104" s="183"/>
      <c r="O104" s="185">
        <f t="shared" si="16"/>
        <v>0</v>
      </c>
      <c r="P104" s="186"/>
      <c r="Q104" s="187"/>
      <c r="R104" s="188"/>
      <c r="S104" s="189"/>
      <c r="T104" s="190" t="str">
        <f t="shared" si="13"/>
        <v/>
      </c>
      <c r="U104" s="191" t="str">
        <f t="shared" si="14"/>
        <v/>
      </c>
      <c r="V104" s="192" t="str">
        <f t="shared" si="15"/>
        <v/>
      </c>
      <c r="W104" s="264"/>
    </row>
    <row r="105" spans="2:23" ht="12.95" hidden="1" customHeight="1" outlineLevel="1">
      <c r="B105" s="844"/>
      <c r="C105" s="197"/>
      <c r="D105" s="178"/>
      <c r="E105" s="196"/>
      <c r="F105" s="424"/>
      <c r="G105" s="181"/>
      <c r="H105" s="182"/>
      <c r="I105" s="362" t="str">
        <f t="shared" si="11"/>
        <v/>
      </c>
      <c r="J105" s="521" t="str">
        <f t="shared" si="12"/>
        <v/>
      </c>
      <c r="K105" s="183"/>
      <c r="L105" s="183"/>
      <c r="M105" s="184"/>
      <c r="N105" s="183"/>
      <c r="O105" s="185">
        <f t="shared" si="16"/>
        <v>0</v>
      </c>
      <c r="P105" s="186"/>
      <c r="Q105" s="187"/>
      <c r="R105" s="188"/>
      <c r="S105" s="189"/>
      <c r="T105" s="190" t="str">
        <f t="shared" si="13"/>
        <v/>
      </c>
      <c r="U105" s="191" t="str">
        <f t="shared" si="14"/>
        <v/>
      </c>
      <c r="V105" s="192" t="str">
        <f t="shared" si="15"/>
        <v/>
      </c>
      <c r="W105" s="264"/>
    </row>
    <row r="106" spans="2:23" ht="12.95" hidden="1" customHeight="1" outlineLevel="1">
      <c r="B106" s="844"/>
      <c r="C106" s="197"/>
      <c r="D106" s="178"/>
      <c r="E106" s="196"/>
      <c r="F106" s="424"/>
      <c r="G106" s="181"/>
      <c r="H106" s="182"/>
      <c r="I106" s="362" t="str">
        <f t="shared" si="11"/>
        <v/>
      </c>
      <c r="J106" s="521" t="str">
        <f t="shared" si="12"/>
        <v/>
      </c>
      <c r="K106" s="183"/>
      <c r="L106" s="183"/>
      <c r="M106" s="184"/>
      <c r="N106" s="183"/>
      <c r="O106" s="185">
        <f t="shared" si="16"/>
        <v>0</v>
      </c>
      <c r="P106" s="186"/>
      <c r="Q106" s="187"/>
      <c r="R106" s="188"/>
      <c r="S106" s="189"/>
      <c r="T106" s="190" t="str">
        <f t="shared" si="13"/>
        <v/>
      </c>
      <c r="U106" s="191" t="str">
        <f t="shared" si="14"/>
        <v/>
      </c>
      <c r="V106" s="192" t="str">
        <f t="shared" si="15"/>
        <v/>
      </c>
      <c r="W106" s="264"/>
    </row>
    <row r="107" spans="2:23" ht="12.95" hidden="1" customHeight="1" outlineLevel="1">
      <c r="B107" s="844"/>
      <c r="C107" s="197"/>
      <c r="D107" s="178"/>
      <c r="E107" s="196"/>
      <c r="F107" s="424"/>
      <c r="G107" s="181"/>
      <c r="H107" s="182"/>
      <c r="I107" s="362" t="str">
        <f t="shared" si="11"/>
        <v/>
      </c>
      <c r="J107" s="521" t="str">
        <f t="shared" si="12"/>
        <v/>
      </c>
      <c r="K107" s="183"/>
      <c r="L107" s="183"/>
      <c r="M107" s="184"/>
      <c r="N107" s="183"/>
      <c r="O107" s="185">
        <f t="shared" si="16"/>
        <v>0</v>
      </c>
      <c r="P107" s="186"/>
      <c r="Q107" s="187"/>
      <c r="R107" s="188"/>
      <c r="S107" s="189"/>
      <c r="T107" s="190" t="str">
        <f t="shared" si="13"/>
        <v/>
      </c>
      <c r="U107" s="191" t="str">
        <f t="shared" si="14"/>
        <v/>
      </c>
      <c r="V107" s="192" t="str">
        <f t="shared" si="15"/>
        <v/>
      </c>
      <c r="W107" s="264"/>
    </row>
    <row r="108" spans="2:23" ht="12.95" hidden="1" customHeight="1" outlineLevel="1">
      <c r="B108" s="844"/>
      <c r="C108" s="195"/>
      <c r="D108" s="178"/>
      <c r="E108" s="196"/>
      <c r="F108" s="424"/>
      <c r="G108" s="181"/>
      <c r="H108" s="182"/>
      <c r="I108" s="362" t="str">
        <f t="shared" si="11"/>
        <v/>
      </c>
      <c r="J108" s="521" t="str">
        <f t="shared" si="12"/>
        <v/>
      </c>
      <c r="K108" s="183"/>
      <c r="L108" s="183"/>
      <c r="M108" s="184"/>
      <c r="N108" s="183"/>
      <c r="O108" s="185">
        <f t="shared" si="16"/>
        <v>0</v>
      </c>
      <c r="P108" s="186"/>
      <c r="Q108" s="187"/>
      <c r="R108" s="188"/>
      <c r="S108" s="189"/>
      <c r="T108" s="190" t="str">
        <f t="shared" si="13"/>
        <v/>
      </c>
      <c r="U108" s="191" t="str">
        <f t="shared" si="14"/>
        <v/>
      </c>
      <c r="V108" s="192" t="str">
        <f t="shared" si="15"/>
        <v/>
      </c>
      <c r="W108" s="264"/>
    </row>
    <row r="109" spans="2:23" ht="12.95" hidden="1" customHeight="1" outlineLevel="1" thickBot="1">
      <c r="B109" s="844"/>
      <c r="C109" s="267"/>
      <c r="D109" s="237"/>
      <c r="E109" s="238"/>
      <c r="F109" s="425"/>
      <c r="G109" s="239"/>
      <c r="H109" s="240"/>
      <c r="I109" s="363" t="str">
        <f t="shared" si="11"/>
        <v/>
      </c>
      <c r="J109" s="522" t="str">
        <f t="shared" si="12"/>
        <v/>
      </c>
      <c r="K109" s="241"/>
      <c r="L109" s="241"/>
      <c r="M109" s="242"/>
      <c r="N109" s="241"/>
      <c r="O109" s="243">
        <f t="shared" si="16"/>
        <v>0</v>
      </c>
      <c r="P109" s="244"/>
      <c r="Q109" s="245"/>
      <c r="R109" s="246"/>
      <c r="S109" s="247"/>
      <c r="T109" s="248" t="str">
        <f t="shared" si="13"/>
        <v/>
      </c>
      <c r="U109" s="249" t="str">
        <f t="shared" si="14"/>
        <v/>
      </c>
      <c r="V109" s="250" t="str">
        <f t="shared" si="15"/>
        <v/>
      </c>
      <c r="W109" s="251"/>
    </row>
    <row r="110" spans="2:23" ht="12.95" customHeight="1" collapsed="1" thickBot="1">
      <c r="B110" s="845"/>
      <c r="C110" s="335" t="s">
        <v>289</v>
      </c>
      <c r="D110" s="236"/>
      <c r="E110" s="336"/>
      <c r="F110" s="426"/>
      <c r="G110" s="337"/>
      <c r="H110" s="338"/>
      <c r="I110" s="347"/>
      <c r="J110" s="519">
        <f>SUM(J73:J109)</f>
        <v>59279</v>
      </c>
      <c r="K110" s="339"/>
      <c r="L110" s="339"/>
      <c r="M110" s="340"/>
      <c r="N110" s="339"/>
      <c r="O110" s="341"/>
      <c r="P110" s="342"/>
      <c r="Q110" s="343"/>
      <c r="R110" s="344"/>
      <c r="S110" s="345"/>
      <c r="T110" s="346"/>
      <c r="U110" s="347"/>
      <c r="V110" s="348"/>
      <c r="W110" s="349"/>
    </row>
    <row r="111" spans="2:23" ht="12.95" customHeight="1">
      <c r="B111" s="843" t="s">
        <v>398</v>
      </c>
      <c r="C111" s="219"/>
      <c r="D111" s="220"/>
      <c r="E111" s="418"/>
      <c r="F111" s="423"/>
      <c r="G111" s="222"/>
      <c r="H111" s="223"/>
      <c r="I111" s="360" t="str">
        <f t="shared" ref="I111:I116" si="17">IF(C111=0,"",D111*1/G111*H111)</f>
        <v/>
      </c>
      <c r="J111" s="520" t="str">
        <f t="shared" ref="J111:J116" si="18">IF(C111=0,"",ROUND(F111*I111,0))</f>
        <v/>
      </c>
      <c r="K111" s="224"/>
      <c r="L111" s="224"/>
      <c r="M111" s="225"/>
      <c r="N111" s="224"/>
      <c r="O111" s="226">
        <f t="shared" ref="O111:O116" si="19">IF(K111*L111*N111=0,0,(L111*N111)/K111)</f>
        <v>0</v>
      </c>
      <c r="P111" s="227"/>
      <c r="Q111" s="228"/>
      <c r="R111" s="229"/>
      <c r="S111" s="230"/>
      <c r="T111" s="231" t="str">
        <f t="shared" ref="T111:V116" si="20">IF(Q111="","",Q111*$D111)</f>
        <v/>
      </c>
      <c r="U111" s="232" t="str">
        <f t="shared" si="20"/>
        <v/>
      </c>
      <c r="V111" s="233" t="str">
        <f t="shared" si="20"/>
        <v/>
      </c>
      <c r="W111" s="234"/>
    </row>
    <row r="112" spans="2:23" ht="12.95" customHeight="1">
      <c r="B112" s="844"/>
      <c r="C112" s="175"/>
      <c r="D112" s="178"/>
      <c r="E112" s="194"/>
      <c r="F112" s="424"/>
      <c r="G112" s="181"/>
      <c r="H112" s="182"/>
      <c r="I112" s="362" t="str">
        <f t="shared" si="17"/>
        <v/>
      </c>
      <c r="J112" s="521" t="str">
        <f t="shared" si="18"/>
        <v/>
      </c>
      <c r="K112" s="183"/>
      <c r="L112" s="183"/>
      <c r="M112" s="184"/>
      <c r="N112" s="183"/>
      <c r="O112" s="185">
        <f t="shared" si="19"/>
        <v>0</v>
      </c>
      <c r="P112" s="186"/>
      <c r="Q112" s="187"/>
      <c r="R112" s="188"/>
      <c r="S112" s="189"/>
      <c r="T112" s="190" t="str">
        <f t="shared" si="20"/>
        <v/>
      </c>
      <c r="U112" s="191" t="str">
        <f t="shared" si="20"/>
        <v/>
      </c>
      <c r="V112" s="192" t="str">
        <f t="shared" si="20"/>
        <v/>
      </c>
      <c r="W112" s="259"/>
    </row>
    <row r="113" spans="2:23" ht="12.95" customHeight="1">
      <c r="B113" s="844"/>
      <c r="C113" s="195"/>
      <c r="D113" s="178"/>
      <c r="E113" s="196"/>
      <c r="F113" s="424"/>
      <c r="G113" s="181"/>
      <c r="H113" s="182"/>
      <c r="I113" s="362" t="str">
        <f t="shared" si="17"/>
        <v/>
      </c>
      <c r="J113" s="521" t="str">
        <f t="shared" si="18"/>
        <v/>
      </c>
      <c r="K113" s="183"/>
      <c r="L113" s="183"/>
      <c r="M113" s="184"/>
      <c r="N113" s="183"/>
      <c r="O113" s="185">
        <f t="shared" si="19"/>
        <v>0</v>
      </c>
      <c r="P113" s="186"/>
      <c r="Q113" s="187"/>
      <c r="R113" s="188"/>
      <c r="S113" s="189"/>
      <c r="T113" s="190" t="str">
        <f t="shared" si="20"/>
        <v/>
      </c>
      <c r="U113" s="191" t="str">
        <f t="shared" si="20"/>
        <v/>
      </c>
      <c r="V113" s="192" t="str">
        <f t="shared" si="20"/>
        <v/>
      </c>
      <c r="W113" s="259"/>
    </row>
    <row r="114" spans="2:23" ht="12.95" customHeight="1">
      <c r="B114" s="844"/>
      <c r="C114" s="195"/>
      <c r="D114" s="178"/>
      <c r="E114" s="196"/>
      <c r="F114" s="424"/>
      <c r="G114" s="181"/>
      <c r="H114" s="182"/>
      <c r="I114" s="362" t="str">
        <f t="shared" si="17"/>
        <v/>
      </c>
      <c r="J114" s="521" t="str">
        <f t="shared" si="18"/>
        <v/>
      </c>
      <c r="K114" s="183"/>
      <c r="L114" s="183"/>
      <c r="M114" s="184"/>
      <c r="N114" s="183"/>
      <c r="O114" s="185">
        <f t="shared" si="19"/>
        <v>0</v>
      </c>
      <c r="P114" s="186"/>
      <c r="Q114" s="187"/>
      <c r="R114" s="188"/>
      <c r="S114" s="189"/>
      <c r="T114" s="190" t="str">
        <f t="shared" si="20"/>
        <v/>
      </c>
      <c r="U114" s="191" t="str">
        <f t="shared" si="20"/>
        <v/>
      </c>
      <c r="V114" s="192" t="str">
        <f t="shared" si="20"/>
        <v/>
      </c>
      <c r="W114" s="259"/>
    </row>
    <row r="115" spans="2:23" ht="12.95" customHeight="1">
      <c r="B115" s="844"/>
      <c r="C115" s="197"/>
      <c r="D115" s="178"/>
      <c r="E115" s="196"/>
      <c r="F115" s="424"/>
      <c r="G115" s="181"/>
      <c r="H115" s="182"/>
      <c r="I115" s="362" t="str">
        <f t="shared" si="17"/>
        <v/>
      </c>
      <c r="J115" s="521" t="str">
        <f t="shared" si="18"/>
        <v/>
      </c>
      <c r="K115" s="183"/>
      <c r="L115" s="183"/>
      <c r="M115" s="184"/>
      <c r="N115" s="183"/>
      <c r="O115" s="185">
        <f t="shared" si="19"/>
        <v>0</v>
      </c>
      <c r="P115" s="186"/>
      <c r="Q115" s="187"/>
      <c r="R115" s="188"/>
      <c r="S115" s="189"/>
      <c r="T115" s="190" t="str">
        <f t="shared" si="20"/>
        <v/>
      </c>
      <c r="U115" s="191" t="str">
        <f t="shared" si="20"/>
        <v/>
      </c>
      <c r="V115" s="192" t="str">
        <f t="shared" si="20"/>
        <v/>
      </c>
      <c r="W115" s="259"/>
    </row>
    <row r="116" spans="2:23" ht="12.95" customHeight="1" thickBot="1">
      <c r="B116" s="844"/>
      <c r="C116" s="265"/>
      <c r="D116" s="237"/>
      <c r="E116" s="258"/>
      <c r="F116" s="425"/>
      <c r="G116" s="239"/>
      <c r="H116" s="240"/>
      <c r="I116" s="363" t="str">
        <f t="shared" si="17"/>
        <v/>
      </c>
      <c r="J116" s="522" t="str">
        <f t="shared" si="18"/>
        <v/>
      </c>
      <c r="K116" s="241"/>
      <c r="L116" s="241"/>
      <c r="M116" s="242"/>
      <c r="N116" s="241"/>
      <c r="O116" s="243">
        <f t="shared" si="19"/>
        <v>0</v>
      </c>
      <c r="P116" s="244"/>
      <c r="Q116" s="245"/>
      <c r="R116" s="246"/>
      <c r="S116" s="247"/>
      <c r="T116" s="248" t="str">
        <f t="shared" si="20"/>
        <v/>
      </c>
      <c r="U116" s="249" t="str">
        <f t="shared" si="20"/>
        <v/>
      </c>
      <c r="V116" s="250" t="str">
        <f t="shared" si="20"/>
        <v/>
      </c>
      <c r="W116" s="251"/>
    </row>
    <row r="117" spans="2:23" ht="12.95" customHeight="1" thickTop="1" thickBot="1">
      <c r="B117" s="845"/>
      <c r="C117" s="335" t="s">
        <v>289</v>
      </c>
      <c r="D117" s="236"/>
      <c r="E117" s="336"/>
      <c r="F117" s="426"/>
      <c r="G117" s="337"/>
      <c r="H117" s="338"/>
      <c r="I117" s="347"/>
      <c r="J117" s="519">
        <f>SUM(J111:J116)</f>
        <v>0</v>
      </c>
      <c r="K117" s="339"/>
      <c r="L117" s="339"/>
      <c r="M117" s="340"/>
      <c r="N117" s="339"/>
      <c r="O117" s="341"/>
      <c r="P117" s="342"/>
      <c r="Q117" s="343"/>
      <c r="R117" s="344"/>
      <c r="S117" s="345"/>
      <c r="T117" s="346"/>
      <c r="U117" s="347"/>
      <c r="V117" s="348"/>
      <c r="W117" s="349"/>
    </row>
    <row r="118" spans="2:23" ht="12.95" customHeight="1">
      <c r="B118" s="837" t="s">
        <v>422</v>
      </c>
      <c r="C118" s="261"/>
      <c r="D118" s="220"/>
      <c r="E118" s="262"/>
      <c r="F118" s="423"/>
      <c r="G118" s="222"/>
      <c r="H118" s="223"/>
      <c r="I118" s="360" t="str">
        <f t="shared" ref="I118:I121" si="21">IF(C118=0,"",D118*1/G118*H118)</f>
        <v/>
      </c>
      <c r="J118" s="520" t="str">
        <f t="shared" ref="J118:J121" si="22">IF(C118=0,"",ROUND(F118*I118,0))</f>
        <v/>
      </c>
      <c r="K118" s="224"/>
      <c r="L118" s="224"/>
      <c r="M118" s="225"/>
      <c r="N118" s="224"/>
      <c r="O118" s="226">
        <f>IF(K118*L118*N118=0,0,(L118*N118)/K118)</f>
        <v>0</v>
      </c>
      <c r="P118" s="227"/>
      <c r="Q118" s="228"/>
      <c r="R118" s="229"/>
      <c r="S118" s="230"/>
      <c r="T118" s="231" t="str">
        <f t="shared" ref="T118:T119" si="23">IF(Q118="","",Q118*$D118)</f>
        <v/>
      </c>
      <c r="U118" s="232" t="str">
        <f t="shared" ref="U118:U119" si="24">IF(R118="","",R118*$D118)</f>
        <v/>
      </c>
      <c r="V118" s="233" t="str">
        <f t="shared" ref="V118:V119" si="25">IF(S118="","",S118*$D118)</f>
        <v/>
      </c>
      <c r="W118" s="234"/>
    </row>
    <row r="119" spans="2:23" ht="12.95" customHeight="1">
      <c r="B119" s="838"/>
      <c r="C119" s="197"/>
      <c r="D119" s="178"/>
      <c r="E119" s="196"/>
      <c r="F119" s="424"/>
      <c r="G119" s="181"/>
      <c r="H119" s="182"/>
      <c r="I119" s="362" t="str">
        <f t="shared" si="21"/>
        <v/>
      </c>
      <c r="J119" s="521" t="str">
        <f t="shared" si="22"/>
        <v/>
      </c>
      <c r="K119" s="183"/>
      <c r="L119" s="183"/>
      <c r="M119" s="184"/>
      <c r="N119" s="183"/>
      <c r="O119" s="185">
        <f>IF(K119*L119*N119=0,0,(L119*N119)/K119)</f>
        <v>0</v>
      </c>
      <c r="P119" s="186"/>
      <c r="Q119" s="187"/>
      <c r="R119" s="188"/>
      <c r="S119" s="189"/>
      <c r="T119" s="190" t="str">
        <f t="shared" si="23"/>
        <v/>
      </c>
      <c r="U119" s="191" t="str">
        <f t="shared" si="24"/>
        <v/>
      </c>
      <c r="V119" s="192" t="str">
        <f t="shared" si="25"/>
        <v/>
      </c>
      <c r="W119" s="259"/>
    </row>
    <row r="120" spans="2:23" ht="12.95" customHeight="1">
      <c r="B120" s="838"/>
      <c r="C120" s="197"/>
      <c r="D120" s="178"/>
      <c r="E120" s="196"/>
      <c r="F120" s="424"/>
      <c r="G120" s="181"/>
      <c r="H120" s="182"/>
      <c r="I120" s="362" t="str">
        <f t="shared" si="21"/>
        <v/>
      </c>
      <c r="J120" s="521" t="str">
        <f t="shared" si="22"/>
        <v/>
      </c>
      <c r="K120" s="183"/>
      <c r="L120" s="183"/>
      <c r="M120" s="184"/>
      <c r="N120" s="183"/>
      <c r="O120" s="185"/>
      <c r="P120" s="186"/>
      <c r="Q120" s="187"/>
      <c r="R120" s="188"/>
      <c r="S120" s="189"/>
      <c r="T120" s="190"/>
      <c r="U120" s="191"/>
      <c r="V120" s="192"/>
      <c r="W120" s="259"/>
    </row>
    <row r="121" spans="2:23" ht="12.95" customHeight="1" thickBot="1">
      <c r="B121" s="838"/>
      <c r="C121" s="265"/>
      <c r="D121" s="237"/>
      <c r="E121" s="258"/>
      <c r="F121" s="425"/>
      <c r="G121" s="239"/>
      <c r="H121" s="240"/>
      <c r="I121" s="363" t="str">
        <f t="shared" si="21"/>
        <v/>
      </c>
      <c r="J121" s="522" t="str">
        <f t="shared" si="22"/>
        <v/>
      </c>
      <c r="K121" s="241"/>
      <c r="L121" s="241"/>
      <c r="M121" s="242"/>
      <c r="N121" s="241"/>
      <c r="O121" s="243">
        <f>IF(K121*L121*N121=0,0,(L121*N121)/K121)</f>
        <v>0</v>
      </c>
      <c r="P121" s="244"/>
      <c r="Q121" s="245"/>
      <c r="R121" s="246"/>
      <c r="S121" s="247"/>
      <c r="T121" s="248" t="str">
        <f>IF(Q121="","",Q121*$D121)</f>
        <v/>
      </c>
      <c r="U121" s="249" t="str">
        <f>IF(R121="","",R121*$D121)</f>
        <v/>
      </c>
      <c r="V121" s="250" t="str">
        <f>IF(S121="","",S121*$D121)</f>
        <v/>
      </c>
      <c r="W121" s="251"/>
    </row>
    <row r="122" spans="2:23" ht="12.95" customHeight="1" thickTop="1" thickBot="1">
      <c r="B122" s="839"/>
      <c r="C122" s="335" t="s">
        <v>289</v>
      </c>
      <c r="D122" s="236"/>
      <c r="E122" s="336"/>
      <c r="F122" s="426"/>
      <c r="G122" s="337"/>
      <c r="H122" s="338"/>
      <c r="I122" s="347"/>
      <c r="J122" s="519">
        <f>SUM(J118:J121)</f>
        <v>0</v>
      </c>
      <c r="K122" s="339"/>
      <c r="L122" s="339"/>
      <c r="M122" s="340"/>
      <c r="N122" s="339"/>
      <c r="O122" s="341"/>
      <c r="P122" s="342"/>
      <c r="Q122" s="343"/>
      <c r="R122" s="344"/>
      <c r="S122" s="345"/>
      <c r="T122" s="346"/>
      <c r="U122" s="347"/>
      <c r="V122" s="348"/>
      <c r="W122" s="349"/>
    </row>
    <row r="123" spans="2:23" ht="12.95" customHeight="1">
      <c r="B123" s="837" t="s">
        <v>424</v>
      </c>
      <c r="C123" s="261" t="s">
        <v>505</v>
      </c>
      <c r="D123" s="220">
        <v>0.2</v>
      </c>
      <c r="E123" s="262" t="s">
        <v>501</v>
      </c>
      <c r="F123" s="423">
        <v>5000</v>
      </c>
      <c r="G123" s="222">
        <v>1</v>
      </c>
      <c r="H123" s="223">
        <v>1</v>
      </c>
      <c r="I123" s="360">
        <f t="shared" ref="I123:I127" si="26">IF(C123=0,"",D123*1/G123*H123)</f>
        <v>0.2</v>
      </c>
      <c r="J123" s="520">
        <f t="shared" ref="J123:J127" si="27">IF(C123=0,"",ROUND(F123*I123,0))</f>
        <v>1000</v>
      </c>
      <c r="K123" s="224"/>
      <c r="L123" s="224"/>
      <c r="M123" s="225"/>
      <c r="N123" s="224"/>
      <c r="O123" s="226">
        <f>IF(K123*L123*N123=0,0,(L123*N123)/K123)</f>
        <v>0</v>
      </c>
      <c r="P123" s="227"/>
      <c r="Q123" s="228"/>
      <c r="R123" s="229"/>
      <c r="S123" s="230"/>
      <c r="T123" s="231" t="str">
        <f t="shared" ref="T123:V125" si="28">IF(Q123="","",Q123*$D123)</f>
        <v/>
      </c>
      <c r="U123" s="232" t="str">
        <f t="shared" si="28"/>
        <v/>
      </c>
      <c r="V123" s="233" t="str">
        <f t="shared" si="28"/>
        <v/>
      </c>
      <c r="W123" s="234" t="s">
        <v>506</v>
      </c>
    </row>
    <row r="124" spans="2:23" ht="12.95" customHeight="1">
      <c r="B124" s="838"/>
      <c r="C124" s="197" t="s">
        <v>505</v>
      </c>
      <c r="D124" s="178">
        <v>0.2</v>
      </c>
      <c r="E124" s="196" t="s">
        <v>501</v>
      </c>
      <c r="F124" s="424">
        <v>5000</v>
      </c>
      <c r="G124" s="181">
        <v>1</v>
      </c>
      <c r="H124" s="182">
        <v>1</v>
      </c>
      <c r="I124" s="362">
        <f t="shared" si="26"/>
        <v>0.2</v>
      </c>
      <c r="J124" s="521">
        <f t="shared" si="27"/>
        <v>1000</v>
      </c>
      <c r="K124" s="183"/>
      <c r="L124" s="183"/>
      <c r="M124" s="184"/>
      <c r="N124" s="183"/>
      <c r="O124" s="185">
        <f>IF(K124*L124*N124=0,0,(L124*N124)/K124)</f>
        <v>0</v>
      </c>
      <c r="P124" s="186"/>
      <c r="Q124" s="187"/>
      <c r="R124" s="188"/>
      <c r="S124" s="189"/>
      <c r="T124" s="190" t="str">
        <f t="shared" si="28"/>
        <v/>
      </c>
      <c r="U124" s="191" t="str">
        <f t="shared" si="28"/>
        <v/>
      </c>
      <c r="V124" s="192" t="str">
        <f t="shared" si="28"/>
        <v/>
      </c>
      <c r="W124" s="259" t="s">
        <v>506</v>
      </c>
    </row>
    <row r="125" spans="2:23" ht="12.95" customHeight="1">
      <c r="B125" s="838"/>
      <c r="C125" s="197" t="s">
        <v>505</v>
      </c>
      <c r="D125" s="178">
        <v>0.2</v>
      </c>
      <c r="E125" s="196" t="s">
        <v>501</v>
      </c>
      <c r="F125" s="424">
        <v>5000</v>
      </c>
      <c r="G125" s="181">
        <v>1</v>
      </c>
      <c r="H125" s="182">
        <v>1</v>
      </c>
      <c r="I125" s="362">
        <f t="shared" si="26"/>
        <v>0.2</v>
      </c>
      <c r="J125" s="521">
        <f t="shared" si="27"/>
        <v>1000</v>
      </c>
      <c r="K125" s="183"/>
      <c r="L125" s="183"/>
      <c r="M125" s="184"/>
      <c r="N125" s="183"/>
      <c r="O125" s="185">
        <f>IF(K125*L125*N125=0,0,(L125*N125)/K125)</f>
        <v>0</v>
      </c>
      <c r="P125" s="186"/>
      <c r="Q125" s="187"/>
      <c r="R125" s="188"/>
      <c r="S125" s="189"/>
      <c r="T125" s="190" t="str">
        <f t="shared" si="28"/>
        <v/>
      </c>
      <c r="U125" s="191" t="str">
        <f t="shared" si="28"/>
        <v/>
      </c>
      <c r="V125" s="192" t="str">
        <f t="shared" si="28"/>
        <v/>
      </c>
      <c r="W125" s="259" t="s">
        <v>506</v>
      </c>
    </row>
    <row r="126" spans="2:23" ht="12.95" customHeight="1">
      <c r="B126" s="838"/>
      <c r="C126" s="197"/>
      <c r="D126" s="178"/>
      <c r="E126" s="196"/>
      <c r="F126" s="424"/>
      <c r="G126" s="181"/>
      <c r="H126" s="182"/>
      <c r="I126" s="362" t="str">
        <f t="shared" si="26"/>
        <v/>
      </c>
      <c r="J126" s="521" t="str">
        <f t="shared" si="27"/>
        <v/>
      </c>
      <c r="K126" s="183"/>
      <c r="L126" s="183"/>
      <c r="M126" s="184"/>
      <c r="N126" s="183"/>
      <c r="O126" s="185"/>
      <c r="P126" s="186"/>
      <c r="Q126" s="187"/>
      <c r="R126" s="188"/>
      <c r="S126" s="189"/>
      <c r="T126" s="190"/>
      <c r="U126" s="191"/>
      <c r="V126" s="192"/>
      <c r="W126" s="259"/>
    </row>
    <row r="127" spans="2:23" ht="12.95" customHeight="1" thickBot="1">
      <c r="B127" s="838"/>
      <c r="C127" s="265"/>
      <c r="D127" s="237"/>
      <c r="E127" s="258"/>
      <c r="F127" s="425"/>
      <c r="G127" s="239"/>
      <c r="H127" s="240"/>
      <c r="I127" s="363" t="str">
        <f t="shared" si="26"/>
        <v/>
      </c>
      <c r="J127" s="522" t="str">
        <f t="shared" si="27"/>
        <v/>
      </c>
      <c r="K127" s="241"/>
      <c r="L127" s="241"/>
      <c r="M127" s="242"/>
      <c r="N127" s="241"/>
      <c r="O127" s="243">
        <f>IF(K127*L127*N127=0,0,(L127*N127)/K127)</f>
        <v>0</v>
      </c>
      <c r="P127" s="244"/>
      <c r="Q127" s="245"/>
      <c r="R127" s="246"/>
      <c r="S127" s="247"/>
      <c r="T127" s="248" t="str">
        <f>IF(Q127="","",Q127*$D127)</f>
        <v/>
      </c>
      <c r="U127" s="249" t="str">
        <f>IF(R127="","",R127*$D127)</f>
        <v/>
      </c>
      <c r="V127" s="250" t="str">
        <f>IF(S127="","",S127*$D127)</f>
        <v/>
      </c>
      <c r="W127" s="251"/>
    </row>
    <row r="128" spans="2:23" ht="12.95" customHeight="1" thickTop="1" thickBot="1">
      <c r="B128" s="839"/>
      <c r="C128" s="335" t="s">
        <v>289</v>
      </c>
      <c r="D128" s="236"/>
      <c r="E128" s="336"/>
      <c r="F128" s="426"/>
      <c r="G128" s="337"/>
      <c r="H128" s="338"/>
      <c r="I128" s="347"/>
      <c r="J128" s="519">
        <f>SUM(J123:J127)</f>
        <v>3000</v>
      </c>
      <c r="K128" s="339"/>
      <c r="L128" s="339"/>
      <c r="M128" s="340"/>
      <c r="N128" s="339"/>
      <c r="O128" s="341"/>
      <c r="P128" s="342"/>
      <c r="Q128" s="343"/>
      <c r="R128" s="344"/>
      <c r="S128" s="345"/>
      <c r="T128" s="346"/>
      <c r="U128" s="347"/>
      <c r="V128" s="348"/>
      <c r="W128" s="349"/>
    </row>
    <row r="129" spans="2:23" ht="12.95" customHeight="1">
      <c r="B129" s="850" t="s">
        <v>656</v>
      </c>
      <c r="C129" s="261" t="s">
        <v>657</v>
      </c>
      <c r="D129" s="220">
        <f>作業体系表!AN29</f>
        <v>0.70001120017920293</v>
      </c>
      <c r="E129" s="262" t="s">
        <v>128</v>
      </c>
      <c r="F129" s="423">
        <v>962</v>
      </c>
      <c r="G129" s="222">
        <v>1</v>
      </c>
      <c r="H129" s="223">
        <v>1</v>
      </c>
      <c r="I129" s="360">
        <f t="shared" ref="I129:I133" si="29">IF(C129=0,"",D129*1/G129*H129)</f>
        <v>0.70001120017920293</v>
      </c>
      <c r="J129" s="520">
        <f t="shared" ref="J129:J133" si="30">IF(C129=0,"",ROUND(F129*I129,0))</f>
        <v>673</v>
      </c>
      <c r="K129" s="224"/>
      <c r="L129" s="224"/>
      <c r="M129" s="225"/>
      <c r="N129" s="224"/>
      <c r="O129" s="226">
        <f>IF(K129*L129*N129=0,0,(L129*N129)/K129)</f>
        <v>0</v>
      </c>
      <c r="P129" s="227"/>
      <c r="Q129" s="228"/>
      <c r="R129" s="229"/>
      <c r="S129" s="230"/>
      <c r="T129" s="231" t="str">
        <f t="shared" ref="T129:V131" si="31">IF(Q129="","",Q129*$D129)</f>
        <v/>
      </c>
      <c r="U129" s="232" t="str">
        <f t="shared" si="31"/>
        <v/>
      </c>
      <c r="V129" s="233" t="str">
        <f t="shared" si="31"/>
        <v/>
      </c>
      <c r="W129" s="234" t="s">
        <v>658</v>
      </c>
    </row>
    <row r="130" spans="2:23" ht="12.95" customHeight="1">
      <c r="B130" s="838"/>
      <c r="C130" s="197" t="s">
        <v>659</v>
      </c>
      <c r="D130" s="178">
        <f>作業体系表!AN30</f>
        <v>10.999999999999998</v>
      </c>
      <c r="E130" s="196" t="s">
        <v>128</v>
      </c>
      <c r="F130" s="424">
        <v>753</v>
      </c>
      <c r="G130" s="181">
        <v>1</v>
      </c>
      <c r="H130" s="182">
        <v>1</v>
      </c>
      <c r="I130" s="362">
        <f t="shared" si="29"/>
        <v>10.999999999999998</v>
      </c>
      <c r="J130" s="521">
        <f t="shared" si="30"/>
        <v>8283</v>
      </c>
      <c r="K130" s="183"/>
      <c r="L130" s="183"/>
      <c r="M130" s="184"/>
      <c r="N130" s="183"/>
      <c r="O130" s="185">
        <f>IF(K130*L130*N130=0,0,(L130*N130)/K130)</f>
        <v>0</v>
      </c>
      <c r="P130" s="186"/>
      <c r="Q130" s="187"/>
      <c r="R130" s="188"/>
      <c r="S130" s="189"/>
      <c r="T130" s="190" t="str">
        <f t="shared" si="31"/>
        <v/>
      </c>
      <c r="U130" s="191" t="str">
        <f t="shared" si="31"/>
        <v/>
      </c>
      <c r="V130" s="192" t="str">
        <f t="shared" si="31"/>
        <v/>
      </c>
      <c r="W130" s="259" t="s">
        <v>664</v>
      </c>
    </row>
    <row r="131" spans="2:23" ht="12.95" customHeight="1">
      <c r="B131" s="838"/>
      <c r="C131" s="197"/>
      <c r="D131" s="178"/>
      <c r="E131" s="196"/>
      <c r="F131" s="424"/>
      <c r="G131" s="181"/>
      <c r="H131" s="182"/>
      <c r="I131" s="362" t="str">
        <f t="shared" si="29"/>
        <v/>
      </c>
      <c r="J131" s="521" t="str">
        <f t="shared" si="30"/>
        <v/>
      </c>
      <c r="K131" s="183"/>
      <c r="L131" s="183"/>
      <c r="M131" s="184"/>
      <c r="N131" s="183"/>
      <c r="O131" s="185">
        <f>IF(K131*L131*N131=0,0,(L131*N131)/K131)</f>
        <v>0</v>
      </c>
      <c r="P131" s="186"/>
      <c r="Q131" s="187"/>
      <c r="R131" s="188"/>
      <c r="S131" s="189"/>
      <c r="T131" s="190" t="str">
        <f t="shared" si="31"/>
        <v/>
      </c>
      <c r="U131" s="191" t="str">
        <f t="shared" si="31"/>
        <v/>
      </c>
      <c r="V131" s="192" t="str">
        <f t="shared" si="31"/>
        <v/>
      </c>
      <c r="W131" s="259"/>
    </row>
    <row r="132" spans="2:23" ht="12.95" customHeight="1">
      <c r="B132" s="838"/>
      <c r="C132" s="197"/>
      <c r="D132" s="178"/>
      <c r="E132" s="196"/>
      <c r="F132" s="424"/>
      <c r="G132" s="181"/>
      <c r="H132" s="182"/>
      <c r="I132" s="362" t="str">
        <f t="shared" si="29"/>
        <v/>
      </c>
      <c r="J132" s="521" t="str">
        <f t="shared" si="30"/>
        <v/>
      </c>
      <c r="K132" s="183"/>
      <c r="L132" s="183"/>
      <c r="M132" s="184"/>
      <c r="N132" s="183"/>
      <c r="O132" s="185"/>
      <c r="P132" s="186"/>
      <c r="Q132" s="187"/>
      <c r="R132" s="188"/>
      <c r="S132" s="189"/>
      <c r="T132" s="190"/>
      <c r="U132" s="191"/>
      <c r="V132" s="192"/>
      <c r="W132" s="259"/>
    </row>
    <row r="133" spans="2:23" ht="12.95" customHeight="1" thickBot="1">
      <c r="B133" s="838"/>
      <c r="C133" s="265"/>
      <c r="D133" s="237"/>
      <c r="E133" s="258"/>
      <c r="F133" s="425"/>
      <c r="G133" s="239"/>
      <c r="H133" s="240"/>
      <c r="I133" s="363" t="str">
        <f t="shared" si="29"/>
        <v/>
      </c>
      <c r="J133" s="522" t="str">
        <f t="shared" si="30"/>
        <v/>
      </c>
      <c r="K133" s="241"/>
      <c r="L133" s="241"/>
      <c r="M133" s="242"/>
      <c r="N133" s="241"/>
      <c r="O133" s="243">
        <f>IF(K133*L133*N133=0,0,(L133*N133)/K133)</f>
        <v>0</v>
      </c>
      <c r="P133" s="244"/>
      <c r="Q133" s="245"/>
      <c r="R133" s="246"/>
      <c r="S133" s="247"/>
      <c r="T133" s="248" t="str">
        <f>IF(Q133="","",Q133*$D133)</f>
        <v/>
      </c>
      <c r="U133" s="249" t="str">
        <f>IF(R133="","",R133*$D133)</f>
        <v/>
      </c>
      <c r="V133" s="250" t="str">
        <f>IF(S133="","",S133*$D133)</f>
        <v/>
      </c>
      <c r="W133" s="251"/>
    </row>
    <row r="134" spans="2:23" ht="12.95" customHeight="1" thickTop="1" thickBot="1">
      <c r="B134" s="839"/>
      <c r="C134" s="514" t="s">
        <v>289</v>
      </c>
      <c r="D134" s="236"/>
      <c r="E134" s="336"/>
      <c r="F134" s="426"/>
      <c r="G134" s="337"/>
      <c r="H134" s="338"/>
      <c r="I134" s="347"/>
      <c r="J134" s="519">
        <f>SUM(J129:J133)</f>
        <v>8956</v>
      </c>
      <c r="K134" s="339"/>
      <c r="L134" s="339"/>
      <c r="M134" s="340"/>
      <c r="N134" s="339"/>
      <c r="O134" s="341"/>
      <c r="P134" s="342"/>
      <c r="Q134" s="640"/>
      <c r="R134" s="344"/>
      <c r="S134" s="345"/>
      <c r="T134" s="515"/>
      <c r="U134" s="347"/>
      <c r="V134" s="348"/>
      <c r="W134" s="641"/>
    </row>
    <row r="135" spans="2:23" ht="12.95" customHeight="1">
      <c r="B135" s="843" t="s">
        <v>125</v>
      </c>
      <c r="C135" s="366" t="s">
        <v>438</v>
      </c>
      <c r="D135" s="220"/>
      <c r="E135" s="221"/>
      <c r="F135" s="423"/>
      <c r="G135" s="222"/>
      <c r="H135" s="223"/>
      <c r="I135" s="531">
        <f>IF(D135=0,0,D135*1/G135*H135)</f>
        <v>0</v>
      </c>
      <c r="J135" s="531">
        <f t="shared" ref="J135:J137" si="32">IF(D135=0,0,ROUND(F135*I135,0))</f>
        <v>0</v>
      </c>
      <c r="K135" s="224"/>
      <c r="L135" s="224"/>
      <c r="M135" s="225"/>
      <c r="N135" s="224"/>
      <c r="O135" s="226">
        <v>0</v>
      </c>
      <c r="P135" s="227"/>
      <c r="Q135" s="228"/>
      <c r="R135" s="229"/>
      <c r="S135" s="230"/>
      <c r="T135" s="231" t="s">
        <v>288</v>
      </c>
      <c r="U135" s="232" t="s">
        <v>288</v>
      </c>
      <c r="V135" s="233" t="s">
        <v>288</v>
      </c>
      <c r="W135" s="234"/>
    </row>
    <row r="136" spans="2:23" ht="12.95" customHeight="1">
      <c r="B136" s="844"/>
      <c r="C136" s="367" t="s">
        <v>283</v>
      </c>
      <c r="D136" s="178"/>
      <c r="E136" s="179"/>
      <c r="F136" s="424"/>
      <c r="G136" s="181"/>
      <c r="H136" s="182"/>
      <c r="I136" s="532">
        <f t="shared" ref="I136:I144" si="33">IF(D136=0,0,D136*1/G136*H136)</f>
        <v>0</v>
      </c>
      <c r="J136" s="532">
        <f t="shared" si="32"/>
        <v>0</v>
      </c>
      <c r="K136" s="183"/>
      <c r="L136" s="183"/>
      <c r="M136" s="184"/>
      <c r="N136" s="183"/>
      <c r="O136" s="185">
        <v>0</v>
      </c>
      <c r="P136" s="186"/>
      <c r="Q136" s="187"/>
      <c r="R136" s="188"/>
      <c r="S136" s="189"/>
      <c r="T136" s="190" t="s">
        <v>288</v>
      </c>
      <c r="U136" s="191" t="s">
        <v>288</v>
      </c>
      <c r="V136" s="192" t="s">
        <v>288</v>
      </c>
      <c r="W136" s="259"/>
    </row>
    <row r="137" spans="2:23" ht="12.95" customHeight="1">
      <c r="B137" s="844"/>
      <c r="C137" s="368" t="s">
        <v>154</v>
      </c>
      <c r="D137" s="178"/>
      <c r="E137" s="194"/>
      <c r="F137" s="424"/>
      <c r="G137" s="181"/>
      <c r="H137" s="182"/>
      <c r="I137" s="532">
        <f t="shared" si="33"/>
        <v>0</v>
      </c>
      <c r="J137" s="532">
        <f t="shared" si="32"/>
        <v>0</v>
      </c>
      <c r="K137" s="183"/>
      <c r="L137" s="183"/>
      <c r="M137" s="184"/>
      <c r="N137" s="183"/>
      <c r="O137" s="185">
        <v>0</v>
      </c>
      <c r="P137" s="186"/>
      <c r="Q137" s="187"/>
      <c r="R137" s="188"/>
      <c r="S137" s="189"/>
      <c r="T137" s="190" t="s">
        <v>288</v>
      </c>
      <c r="U137" s="191" t="s">
        <v>288</v>
      </c>
      <c r="V137" s="192" t="s">
        <v>288</v>
      </c>
      <c r="W137" s="259"/>
    </row>
    <row r="138" spans="2:23" ht="12.95" customHeight="1">
      <c r="B138" s="844"/>
      <c r="C138" s="368" t="s">
        <v>284</v>
      </c>
      <c r="D138" s="178"/>
      <c r="E138" s="194"/>
      <c r="F138" s="527"/>
      <c r="G138" s="181"/>
      <c r="H138" s="182"/>
      <c r="I138" s="532">
        <f t="shared" si="33"/>
        <v>0</v>
      </c>
      <c r="J138" s="532">
        <f>IF(D138=0,0,ROUND(F138*I138,0))</f>
        <v>0</v>
      </c>
      <c r="K138" s="183"/>
      <c r="L138" s="183"/>
      <c r="M138" s="184"/>
      <c r="N138" s="183"/>
      <c r="O138" s="185">
        <v>0</v>
      </c>
      <c r="P138" s="186"/>
      <c r="Q138" s="187"/>
      <c r="R138" s="188"/>
      <c r="S138" s="189"/>
      <c r="T138" s="190" t="s">
        <v>288</v>
      </c>
      <c r="U138" s="191" t="s">
        <v>288</v>
      </c>
      <c r="V138" s="192" t="s">
        <v>288</v>
      </c>
      <c r="W138" s="259"/>
    </row>
    <row r="139" spans="2:23" ht="12.95" customHeight="1">
      <c r="B139" s="844"/>
      <c r="C139" s="368" t="s">
        <v>285</v>
      </c>
      <c r="D139" s="178"/>
      <c r="E139" s="194"/>
      <c r="F139" s="527"/>
      <c r="G139" s="181"/>
      <c r="H139" s="182"/>
      <c r="I139" s="532">
        <f t="shared" si="33"/>
        <v>0</v>
      </c>
      <c r="J139" s="532">
        <f>IF(D139=0,0,ROUND(F139*I139,0))</f>
        <v>0</v>
      </c>
      <c r="K139" s="183"/>
      <c r="L139" s="183"/>
      <c r="M139" s="184"/>
      <c r="N139" s="183"/>
      <c r="O139" s="185">
        <v>0</v>
      </c>
      <c r="P139" s="186"/>
      <c r="Q139" s="187"/>
      <c r="R139" s="188"/>
      <c r="S139" s="189"/>
      <c r="T139" s="190" t="s">
        <v>288</v>
      </c>
      <c r="U139" s="191" t="s">
        <v>288</v>
      </c>
      <c r="V139" s="192" t="s">
        <v>288</v>
      </c>
      <c r="W139" s="259"/>
    </row>
    <row r="140" spans="2:23" ht="12.95" customHeight="1">
      <c r="B140" s="844"/>
      <c r="C140" s="368" t="s">
        <v>286</v>
      </c>
      <c r="D140" s="178">
        <v>0.2</v>
      </c>
      <c r="E140" s="194" t="s">
        <v>501</v>
      </c>
      <c r="F140" s="694">
        <v>70718</v>
      </c>
      <c r="G140" s="181">
        <v>1</v>
      </c>
      <c r="H140" s="182">
        <v>1</v>
      </c>
      <c r="I140" s="532">
        <f t="shared" si="33"/>
        <v>0.2</v>
      </c>
      <c r="J140" s="532">
        <f>IF(D140=0,0,ROUND(F140*I140,0))</f>
        <v>14144</v>
      </c>
      <c r="K140" s="183"/>
      <c r="L140" s="183"/>
      <c r="M140" s="184"/>
      <c r="N140" s="183"/>
      <c r="O140" s="185">
        <v>0</v>
      </c>
      <c r="P140" s="186"/>
      <c r="Q140" s="187"/>
      <c r="R140" s="188"/>
      <c r="S140" s="189"/>
      <c r="T140" s="190" t="s">
        <v>288</v>
      </c>
      <c r="U140" s="191" t="s">
        <v>288</v>
      </c>
      <c r="V140" s="192" t="s">
        <v>288</v>
      </c>
      <c r="W140" s="259" t="s">
        <v>503</v>
      </c>
    </row>
    <row r="141" spans="2:23" ht="12.95" customHeight="1">
      <c r="B141" s="844"/>
      <c r="C141" s="193"/>
      <c r="D141" s="178"/>
      <c r="E141" s="179"/>
      <c r="F141" s="424"/>
      <c r="G141" s="181"/>
      <c r="H141" s="182"/>
      <c r="I141" s="532">
        <f t="shared" si="33"/>
        <v>0</v>
      </c>
      <c r="J141" s="532" t="str">
        <f t="shared" ref="J141:J144" si="34">IF(D141=0,"",ROUND(F141*I141,0))</f>
        <v/>
      </c>
      <c r="K141" s="183"/>
      <c r="L141" s="183"/>
      <c r="M141" s="184"/>
      <c r="N141" s="183"/>
      <c r="O141" s="185">
        <f t="shared" si="16"/>
        <v>0</v>
      </c>
      <c r="P141" s="186"/>
      <c r="Q141" s="187"/>
      <c r="R141" s="188"/>
      <c r="S141" s="189"/>
      <c r="T141" s="190" t="str">
        <f t="shared" ref="T141:V144" si="35">IF(Q141="","",Q141*$D141)</f>
        <v/>
      </c>
      <c r="U141" s="191" t="str">
        <f t="shared" si="35"/>
        <v/>
      </c>
      <c r="V141" s="192" t="str">
        <f t="shared" si="35"/>
        <v/>
      </c>
      <c r="W141" s="259"/>
    </row>
    <row r="142" spans="2:23" ht="12.95" customHeight="1">
      <c r="B142" s="844"/>
      <c r="C142" s="193"/>
      <c r="D142" s="178"/>
      <c r="E142" s="194"/>
      <c r="F142" s="424"/>
      <c r="G142" s="181"/>
      <c r="H142" s="182"/>
      <c r="I142" s="532">
        <f t="shared" si="33"/>
        <v>0</v>
      </c>
      <c r="J142" s="532" t="str">
        <f t="shared" si="34"/>
        <v/>
      </c>
      <c r="K142" s="183"/>
      <c r="L142" s="183"/>
      <c r="M142" s="184"/>
      <c r="N142" s="183"/>
      <c r="O142" s="185">
        <f t="shared" si="16"/>
        <v>0</v>
      </c>
      <c r="P142" s="186"/>
      <c r="Q142" s="187"/>
      <c r="R142" s="188"/>
      <c r="S142" s="189"/>
      <c r="T142" s="190" t="str">
        <f t="shared" si="35"/>
        <v/>
      </c>
      <c r="U142" s="191" t="str">
        <f t="shared" si="35"/>
        <v/>
      </c>
      <c r="V142" s="192" t="str">
        <f t="shared" si="35"/>
        <v/>
      </c>
      <c r="W142" s="259"/>
    </row>
    <row r="143" spans="2:23" ht="12.95" customHeight="1">
      <c r="B143" s="844"/>
      <c r="C143" s="193"/>
      <c r="D143" s="178"/>
      <c r="E143" s="194"/>
      <c r="F143" s="424"/>
      <c r="G143" s="181"/>
      <c r="H143" s="182"/>
      <c r="I143" s="532">
        <f t="shared" si="33"/>
        <v>0</v>
      </c>
      <c r="J143" s="532" t="str">
        <f t="shared" si="34"/>
        <v/>
      </c>
      <c r="K143" s="183"/>
      <c r="L143" s="183"/>
      <c r="M143" s="184"/>
      <c r="N143" s="183"/>
      <c r="O143" s="185">
        <f t="shared" si="16"/>
        <v>0</v>
      </c>
      <c r="P143" s="186"/>
      <c r="Q143" s="187"/>
      <c r="R143" s="188"/>
      <c r="S143" s="189"/>
      <c r="T143" s="190" t="str">
        <f t="shared" si="35"/>
        <v/>
      </c>
      <c r="U143" s="191" t="str">
        <f t="shared" si="35"/>
        <v/>
      </c>
      <c r="V143" s="192" t="str">
        <f t="shared" si="35"/>
        <v/>
      </c>
      <c r="W143" s="259"/>
    </row>
    <row r="144" spans="2:23" ht="12.95" customHeight="1" thickBot="1">
      <c r="B144" s="844"/>
      <c r="C144" s="268"/>
      <c r="D144" s="237"/>
      <c r="E144" s="269"/>
      <c r="F144" s="425"/>
      <c r="G144" s="239"/>
      <c r="H144" s="240"/>
      <c r="I144" s="533">
        <f t="shared" si="33"/>
        <v>0</v>
      </c>
      <c r="J144" s="533" t="str">
        <f t="shared" si="34"/>
        <v/>
      </c>
      <c r="K144" s="241"/>
      <c r="L144" s="241"/>
      <c r="M144" s="242"/>
      <c r="N144" s="241"/>
      <c r="O144" s="243">
        <f t="shared" si="16"/>
        <v>0</v>
      </c>
      <c r="P144" s="244"/>
      <c r="Q144" s="245"/>
      <c r="R144" s="246"/>
      <c r="S144" s="247"/>
      <c r="T144" s="248" t="str">
        <f t="shared" si="35"/>
        <v/>
      </c>
      <c r="U144" s="249" t="str">
        <f t="shared" si="35"/>
        <v/>
      </c>
      <c r="V144" s="250" t="str">
        <f t="shared" si="35"/>
        <v/>
      </c>
      <c r="W144" s="251"/>
    </row>
    <row r="145" spans="2:23" ht="12.95" customHeight="1" thickTop="1" thickBot="1">
      <c r="B145" s="845"/>
      <c r="C145" s="335" t="s">
        <v>289</v>
      </c>
      <c r="D145" s="236"/>
      <c r="E145" s="336"/>
      <c r="F145" s="426"/>
      <c r="G145" s="337"/>
      <c r="H145" s="338"/>
      <c r="I145" s="347"/>
      <c r="J145" s="519">
        <f>SUM(J135:J144)</f>
        <v>14144</v>
      </c>
      <c r="K145" s="339"/>
      <c r="L145" s="339"/>
      <c r="M145" s="340"/>
      <c r="N145" s="339"/>
      <c r="O145" s="341"/>
      <c r="P145" s="342"/>
      <c r="Q145" s="343"/>
      <c r="R145" s="344"/>
      <c r="S145" s="345"/>
      <c r="T145" s="346"/>
      <c r="U145" s="347"/>
      <c r="V145" s="348"/>
      <c r="W145" s="349"/>
    </row>
    <row r="146" spans="2:23" ht="12.95" customHeight="1">
      <c r="B146" s="849" t="s">
        <v>423</v>
      </c>
      <c r="C146" s="261"/>
      <c r="D146" s="220"/>
      <c r="E146" s="262"/>
      <c r="F146" s="423"/>
      <c r="G146" s="222"/>
      <c r="H146" s="223"/>
      <c r="I146" s="360" t="str">
        <f t="shared" ref="I146:I149" si="36">IF(C146=0,"",D146*1/G146*H146)</f>
        <v/>
      </c>
      <c r="J146" s="520" t="str">
        <f t="shared" ref="J146:J149" si="37">IF(C146=0,"",ROUND(F146*I146,0))</f>
        <v/>
      </c>
      <c r="K146" s="224"/>
      <c r="L146" s="224"/>
      <c r="M146" s="225"/>
      <c r="N146" s="224"/>
      <c r="O146" s="226">
        <f>IF(K146*L146*N146=0,0,(L146*N146)/K146)</f>
        <v>0</v>
      </c>
      <c r="P146" s="227"/>
      <c r="Q146" s="228"/>
      <c r="R146" s="229"/>
      <c r="S146" s="230"/>
      <c r="T146" s="231" t="str">
        <f t="shared" ref="T146:T147" si="38">IF(Q146="","",Q146*$D146)</f>
        <v/>
      </c>
      <c r="U146" s="232" t="str">
        <f t="shared" ref="U146:U147" si="39">IF(R146="","",R146*$D146)</f>
        <v/>
      </c>
      <c r="V146" s="233" t="str">
        <f t="shared" ref="V146:V147" si="40">IF(S146="","",S146*$D146)</f>
        <v/>
      </c>
      <c r="W146" s="234"/>
    </row>
    <row r="147" spans="2:23" ht="12.95" customHeight="1">
      <c r="B147" s="844"/>
      <c r="C147" s="197"/>
      <c r="D147" s="178"/>
      <c r="E147" s="196"/>
      <c r="F147" s="424"/>
      <c r="G147" s="181"/>
      <c r="H147" s="182"/>
      <c r="I147" s="362" t="str">
        <f t="shared" si="36"/>
        <v/>
      </c>
      <c r="J147" s="521" t="str">
        <f t="shared" si="37"/>
        <v/>
      </c>
      <c r="K147" s="183"/>
      <c r="L147" s="183"/>
      <c r="M147" s="184"/>
      <c r="N147" s="183"/>
      <c r="O147" s="185">
        <f>IF(K147*L147*N147=0,0,(L147*N147)/K147)</f>
        <v>0</v>
      </c>
      <c r="P147" s="186"/>
      <c r="Q147" s="187"/>
      <c r="R147" s="188"/>
      <c r="S147" s="189"/>
      <c r="T147" s="190" t="str">
        <f t="shared" si="38"/>
        <v/>
      </c>
      <c r="U147" s="191" t="str">
        <f t="shared" si="39"/>
        <v/>
      </c>
      <c r="V147" s="192" t="str">
        <f t="shared" si="40"/>
        <v/>
      </c>
      <c r="W147" s="259"/>
    </row>
    <row r="148" spans="2:23" ht="12.95" customHeight="1">
      <c r="B148" s="844"/>
      <c r="C148" s="197"/>
      <c r="D148" s="178"/>
      <c r="E148" s="196"/>
      <c r="F148" s="424"/>
      <c r="G148" s="181"/>
      <c r="H148" s="182"/>
      <c r="I148" s="362" t="str">
        <f t="shared" si="36"/>
        <v/>
      </c>
      <c r="J148" s="521" t="str">
        <f t="shared" si="37"/>
        <v/>
      </c>
      <c r="K148" s="183"/>
      <c r="L148" s="183"/>
      <c r="M148" s="184"/>
      <c r="N148" s="183"/>
      <c r="O148" s="185"/>
      <c r="P148" s="186"/>
      <c r="Q148" s="187"/>
      <c r="R148" s="188"/>
      <c r="S148" s="189"/>
      <c r="T148" s="190"/>
      <c r="U148" s="191"/>
      <c r="V148" s="192"/>
      <c r="W148" s="259"/>
    </row>
    <row r="149" spans="2:23" ht="12.95" customHeight="1" thickBot="1">
      <c r="B149" s="844"/>
      <c r="C149" s="265"/>
      <c r="D149" s="237"/>
      <c r="E149" s="258"/>
      <c r="F149" s="425"/>
      <c r="G149" s="239"/>
      <c r="H149" s="240"/>
      <c r="I149" s="363" t="str">
        <f t="shared" si="36"/>
        <v/>
      </c>
      <c r="J149" s="522" t="str">
        <f t="shared" si="37"/>
        <v/>
      </c>
      <c r="K149" s="241"/>
      <c r="L149" s="241"/>
      <c r="M149" s="242"/>
      <c r="N149" s="241"/>
      <c r="O149" s="243">
        <f>IF(K149*L149*N149=0,0,(L149*N149)/K149)</f>
        <v>0</v>
      </c>
      <c r="P149" s="244"/>
      <c r="Q149" s="245"/>
      <c r="R149" s="246"/>
      <c r="S149" s="247"/>
      <c r="T149" s="248" t="str">
        <f>IF(Q149="","",Q149*$D149)</f>
        <v/>
      </c>
      <c r="U149" s="249" t="str">
        <f>IF(R149="","",R149*$D149)</f>
        <v/>
      </c>
      <c r="V149" s="250" t="str">
        <f>IF(S149="","",S149*$D149)</f>
        <v/>
      </c>
      <c r="W149" s="251"/>
    </row>
    <row r="150" spans="2:23" ht="12.95" customHeight="1" thickTop="1" thickBot="1">
      <c r="B150" s="845"/>
      <c r="C150" s="335" t="s">
        <v>289</v>
      </c>
      <c r="D150" s="236"/>
      <c r="E150" s="336"/>
      <c r="F150" s="426"/>
      <c r="G150" s="337"/>
      <c r="H150" s="338"/>
      <c r="I150" s="347"/>
      <c r="J150" s="519">
        <f>SUM(J146:J149)</f>
        <v>0</v>
      </c>
      <c r="K150" s="339"/>
      <c r="L150" s="339"/>
      <c r="M150" s="340"/>
      <c r="N150" s="339"/>
      <c r="O150" s="341"/>
      <c r="P150" s="342"/>
      <c r="Q150" s="343"/>
      <c r="R150" s="344"/>
      <c r="S150" s="345"/>
      <c r="T150" s="346"/>
      <c r="U150" s="347"/>
      <c r="V150" s="348"/>
      <c r="W150" s="349"/>
    </row>
    <row r="151" spans="2:23" ht="12.95" customHeight="1">
      <c r="B151" s="837" t="s">
        <v>426</v>
      </c>
      <c r="C151" s="261" t="s">
        <v>507</v>
      </c>
      <c r="D151" s="220">
        <v>0.2</v>
      </c>
      <c r="E151" s="262" t="s">
        <v>501</v>
      </c>
      <c r="F151" s="423">
        <v>3306.4</v>
      </c>
      <c r="G151" s="222">
        <v>1</v>
      </c>
      <c r="H151" s="223">
        <v>1</v>
      </c>
      <c r="I151" s="360">
        <f t="shared" ref="I151:I154" si="41">IF(C151=0,"",D151*1/G151*H151)</f>
        <v>0.2</v>
      </c>
      <c r="J151" s="520">
        <f t="shared" ref="J151:J154" si="42">IF(C151=0,"",ROUND(F151*I151,0))</f>
        <v>661</v>
      </c>
      <c r="K151" s="224"/>
      <c r="L151" s="224"/>
      <c r="M151" s="225"/>
      <c r="N151" s="224"/>
      <c r="O151" s="226">
        <f>IF(K151*L151*N151=0,0,(L151*N151)/K151)</f>
        <v>0</v>
      </c>
      <c r="P151" s="227"/>
      <c r="Q151" s="228"/>
      <c r="R151" s="229"/>
      <c r="S151" s="230"/>
      <c r="T151" s="231" t="str">
        <f t="shared" ref="T151:T152" si="43">IF(Q151="","",Q151*$D151)</f>
        <v/>
      </c>
      <c r="U151" s="232" t="str">
        <f t="shared" ref="U151:U152" si="44">IF(R151="","",R151*$D151)</f>
        <v/>
      </c>
      <c r="V151" s="233" t="str">
        <f t="shared" ref="V151:V152" si="45">IF(S151="","",S151*$D151)</f>
        <v/>
      </c>
      <c r="W151" s="234" t="s">
        <v>508</v>
      </c>
    </row>
    <row r="152" spans="2:23" ht="12.95" customHeight="1">
      <c r="B152" s="838"/>
      <c r="C152" s="197"/>
      <c r="D152" s="178"/>
      <c r="E152" s="196"/>
      <c r="F152" s="424"/>
      <c r="G152" s="181"/>
      <c r="H152" s="182"/>
      <c r="I152" s="362" t="str">
        <f t="shared" si="41"/>
        <v/>
      </c>
      <c r="J152" s="521" t="str">
        <f t="shared" si="42"/>
        <v/>
      </c>
      <c r="K152" s="183"/>
      <c r="L152" s="183"/>
      <c r="M152" s="184"/>
      <c r="N152" s="183"/>
      <c r="O152" s="185">
        <f>IF(K152*L152*N152=0,0,(L152*N152)/K152)</f>
        <v>0</v>
      </c>
      <c r="P152" s="186"/>
      <c r="Q152" s="187"/>
      <c r="R152" s="188"/>
      <c r="S152" s="189"/>
      <c r="T152" s="190" t="str">
        <f t="shared" si="43"/>
        <v/>
      </c>
      <c r="U152" s="191" t="str">
        <f t="shared" si="44"/>
        <v/>
      </c>
      <c r="V152" s="192" t="str">
        <f t="shared" si="45"/>
        <v/>
      </c>
      <c r="W152" s="259"/>
    </row>
    <row r="153" spans="2:23" ht="12.95" customHeight="1">
      <c r="B153" s="838"/>
      <c r="C153" s="197"/>
      <c r="D153" s="178"/>
      <c r="E153" s="196"/>
      <c r="F153" s="424"/>
      <c r="G153" s="181"/>
      <c r="H153" s="182"/>
      <c r="I153" s="362" t="str">
        <f t="shared" si="41"/>
        <v/>
      </c>
      <c r="J153" s="521" t="str">
        <f t="shared" si="42"/>
        <v/>
      </c>
      <c r="K153" s="183"/>
      <c r="L153" s="183"/>
      <c r="M153" s="184"/>
      <c r="N153" s="183"/>
      <c r="O153" s="185"/>
      <c r="P153" s="186"/>
      <c r="Q153" s="187"/>
      <c r="R153" s="188"/>
      <c r="S153" s="189"/>
      <c r="T153" s="190"/>
      <c r="U153" s="191"/>
      <c r="V153" s="192"/>
      <c r="W153" s="259"/>
    </row>
    <row r="154" spans="2:23" ht="12.95" customHeight="1" thickBot="1">
      <c r="B154" s="838"/>
      <c r="C154" s="265"/>
      <c r="D154" s="237"/>
      <c r="E154" s="258"/>
      <c r="F154" s="425"/>
      <c r="G154" s="239"/>
      <c r="H154" s="240"/>
      <c r="I154" s="363" t="str">
        <f t="shared" si="41"/>
        <v/>
      </c>
      <c r="J154" s="522" t="str">
        <f t="shared" si="42"/>
        <v/>
      </c>
      <c r="K154" s="241"/>
      <c r="L154" s="241"/>
      <c r="M154" s="242"/>
      <c r="N154" s="241"/>
      <c r="O154" s="243">
        <f>IF(K154*L154*N154=0,0,(L154*N154)/K154)</f>
        <v>0</v>
      </c>
      <c r="P154" s="244"/>
      <c r="Q154" s="245"/>
      <c r="R154" s="246"/>
      <c r="S154" s="247"/>
      <c r="T154" s="248" t="str">
        <f>IF(Q154="","",Q154*$D154)</f>
        <v/>
      </c>
      <c r="U154" s="249" t="str">
        <f>IF(R154="","",R154*$D154)</f>
        <v/>
      </c>
      <c r="V154" s="250" t="str">
        <f>IF(S154="","",S154*$D154)</f>
        <v/>
      </c>
      <c r="W154" s="251"/>
    </row>
    <row r="155" spans="2:23" ht="12.95" customHeight="1" thickTop="1" thickBot="1">
      <c r="B155" s="839"/>
      <c r="C155" s="335" t="s">
        <v>289</v>
      </c>
      <c r="D155" s="236"/>
      <c r="E155" s="336"/>
      <c r="F155" s="426"/>
      <c r="G155" s="337"/>
      <c r="H155" s="338"/>
      <c r="I155" s="347"/>
      <c r="J155" s="519">
        <f>SUM(J151:J154)</f>
        <v>661</v>
      </c>
      <c r="K155" s="339"/>
      <c r="L155" s="339"/>
      <c r="M155" s="340"/>
      <c r="N155" s="339"/>
      <c r="O155" s="341"/>
      <c r="P155" s="342"/>
      <c r="Q155" s="343"/>
      <c r="R155" s="344"/>
      <c r="S155" s="345"/>
      <c r="T155" s="346"/>
      <c r="U155" s="347"/>
      <c r="V155" s="348"/>
      <c r="W155" s="349"/>
    </row>
    <row r="156" spans="2:23" ht="12.95" customHeight="1">
      <c r="B156" s="837" t="s">
        <v>428</v>
      </c>
      <c r="C156" s="261"/>
      <c r="D156" s="220"/>
      <c r="E156" s="262"/>
      <c r="F156" s="423"/>
      <c r="G156" s="222"/>
      <c r="H156" s="223"/>
      <c r="I156" s="360" t="str">
        <f t="shared" ref="I156:I159" si="46">IF(C156=0,"",D156*1/G156*H156)</f>
        <v/>
      </c>
      <c r="J156" s="520" t="str">
        <f t="shared" ref="J156:J159" si="47">IF(C156=0,"",ROUND(F156*I156,0))</f>
        <v/>
      </c>
      <c r="K156" s="224"/>
      <c r="L156" s="224"/>
      <c r="M156" s="225"/>
      <c r="N156" s="224"/>
      <c r="O156" s="226">
        <f>IF(K156*L156*N156=0,0,(L156*N156)/K156)</f>
        <v>0</v>
      </c>
      <c r="P156" s="227"/>
      <c r="Q156" s="228"/>
      <c r="R156" s="229"/>
      <c r="S156" s="230"/>
      <c r="T156" s="231" t="str">
        <f t="shared" ref="T156:T157" si="48">IF(Q156="","",Q156*$D156)</f>
        <v/>
      </c>
      <c r="U156" s="232" t="str">
        <f t="shared" ref="U156:U157" si="49">IF(R156="","",R156*$D156)</f>
        <v/>
      </c>
      <c r="V156" s="233" t="str">
        <f t="shared" ref="V156:V157" si="50">IF(S156="","",S156*$D156)</f>
        <v/>
      </c>
      <c r="W156" s="234"/>
    </row>
    <row r="157" spans="2:23" ht="12.95" customHeight="1">
      <c r="B157" s="838"/>
      <c r="C157" s="197"/>
      <c r="D157" s="178"/>
      <c r="E157" s="196"/>
      <c r="F157" s="424"/>
      <c r="G157" s="181"/>
      <c r="H157" s="182"/>
      <c r="I157" s="362" t="str">
        <f t="shared" si="46"/>
        <v/>
      </c>
      <c r="J157" s="521" t="str">
        <f t="shared" si="47"/>
        <v/>
      </c>
      <c r="K157" s="183"/>
      <c r="L157" s="183"/>
      <c r="M157" s="184"/>
      <c r="N157" s="183"/>
      <c r="O157" s="185">
        <f>IF(K157*L157*N157=0,0,(L157*N157)/K157)</f>
        <v>0</v>
      </c>
      <c r="P157" s="186"/>
      <c r="Q157" s="187"/>
      <c r="R157" s="188"/>
      <c r="S157" s="189"/>
      <c r="T157" s="190" t="str">
        <f t="shared" si="48"/>
        <v/>
      </c>
      <c r="U157" s="191" t="str">
        <f t="shared" si="49"/>
        <v/>
      </c>
      <c r="V157" s="192" t="str">
        <f t="shared" si="50"/>
        <v/>
      </c>
      <c r="W157" s="259"/>
    </row>
    <row r="158" spans="2:23" ht="12.95" customHeight="1">
      <c r="B158" s="838"/>
      <c r="C158" s="197"/>
      <c r="D158" s="178"/>
      <c r="E158" s="196"/>
      <c r="F158" s="424"/>
      <c r="G158" s="181"/>
      <c r="H158" s="182"/>
      <c r="I158" s="362" t="str">
        <f t="shared" si="46"/>
        <v/>
      </c>
      <c r="J158" s="521" t="str">
        <f t="shared" si="47"/>
        <v/>
      </c>
      <c r="K158" s="183"/>
      <c r="L158" s="183"/>
      <c r="M158" s="184"/>
      <c r="N158" s="183"/>
      <c r="O158" s="185"/>
      <c r="P158" s="186"/>
      <c r="Q158" s="187"/>
      <c r="R158" s="188"/>
      <c r="S158" s="189"/>
      <c r="T158" s="190"/>
      <c r="U158" s="191"/>
      <c r="V158" s="192"/>
      <c r="W158" s="259"/>
    </row>
    <row r="159" spans="2:23" ht="12.95" customHeight="1" thickBot="1">
      <c r="B159" s="838"/>
      <c r="C159" s="265"/>
      <c r="D159" s="237"/>
      <c r="E159" s="258"/>
      <c r="F159" s="425"/>
      <c r="G159" s="239"/>
      <c r="H159" s="240"/>
      <c r="I159" s="363" t="str">
        <f t="shared" si="46"/>
        <v/>
      </c>
      <c r="J159" s="522" t="str">
        <f t="shared" si="47"/>
        <v/>
      </c>
      <c r="K159" s="241"/>
      <c r="L159" s="241"/>
      <c r="M159" s="242"/>
      <c r="N159" s="241"/>
      <c r="O159" s="243">
        <f>IF(K159*L159*N159=0,0,(L159*N159)/K159)</f>
        <v>0</v>
      </c>
      <c r="P159" s="244"/>
      <c r="Q159" s="245"/>
      <c r="R159" s="246"/>
      <c r="S159" s="247"/>
      <c r="T159" s="248" t="str">
        <f>IF(Q159="","",Q159*$D159)</f>
        <v/>
      </c>
      <c r="U159" s="249" t="str">
        <f>IF(R159="","",R159*$D159)</f>
        <v/>
      </c>
      <c r="V159" s="250" t="str">
        <f>IF(S159="","",S159*$D159)</f>
        <v/>
      </c>
      <c r="W159" s="251"/>
    </row>
    <row r="160" spans="2:23" ht="12.95" customHeight="1" thickTop="1" thickBot="1">
      <c r="B160" s="839"/>
      <c r="C160" s="335" t="s">
        <v>289</v>
      </c>
      <c r="D160" s="236"/>
      <c r="E160" s="336"/>
      <c r="F160" s="426"/>
      <c r="G160" s="337"/>
      <c r="H160" s="338"/>
      <c r="I160" s="347"/>
      <c r="J160" s="519">
        <f>SUM(J156:J159)</f>
        <v>0</v>
      </c>
      <c r="K160" s="339"/>
      <c r="L160" s="339"/>
      <c r="M160" s="340"/>
      <c r="N160" s="339"/>
      <c r="O160" s="341"/>
      <c r="P160" s="342"/>
      <c r="Q160" s="343"/>
      <c r="R160" s="344"/>
      <c r="S160" s="345"/>
      <c r="T160" s="346"/>
      <c r="U160" s="347"/>
      <c r="V160" s="348"/>
      <c r="W160" s="349"/>
    </row>
    <row r="161" spans="2:23" ht="12.95" customHeight="1">
      <c r="B161" s="837" t="s">
        <v>430</v>
      </c>
      <c r="C161" s="261"/>
      <c r="D161" s="220"/>
      <c r="E161" s="262"/>
      <c r="F161" s="423"/>
      <c r="G161" s="222"/>
      <c r="H161" s="223"/>
      <c r="I161" s="360" t="str">
        <f t="shared" ref="I161:I164" si="51">IF(C161=0,"",D161*1/G161*H161)</f>
        <v/>
      </c>
      <c r="J161" s="520" t="str">
        <f t="shared" ref="J161:J164" si="52">IF(C161=0,"",ROUND(F161*I161,0))</f>
        <v/>
      </c>
      <c r="K161" s="224"/>
      <c r="L161" s="224"/>
      <c r="M161" s="225"/>
      <c r="N161" s="224"/>
      <c r="O161" s="226">
        <f>IF(K161*L161*N161=0,0,(L161*N161)/K161)</f>
        <v>0</v>
      </c>
      <c r="P161" s="227"/>
      <c r="Q161" s="228"/>
      <c r="R161" s="229"/>
      <c r="S161" s="230"/>
      <c r="T161" s="231" t="str">
        <f t="shared" ref="T161:T162" si="53">IF(Q161="","",Q161*$D161)</f>
        <v/>
      </c>
      <c r="U161" s="232" t="str">
        <f t="shared" ref="U161:U162" si="54">IF(R161="","",R161*$D161)</f>
        <v/>
      </c>
      <c r="V161" s="233" t="str">
        <f t="shared" ref="V161:V162" si="55">IF(S161="","",S161*$D161)</f>
        <v/>
      </c>
      <c r="W161" s="234"/>
    </row>
    <row r="162" spans="2:23" ht="12.95" customHeight="1">
      <c r="B162" s="838"/>
      <c r="C162" s="197"/>
      <c r="D162" s="178"/>
      <c r="E162" s="196"/>
      <c r="F162" s="424"/>
      <c r="G162" s="181"/>
      <c r="H162" s="182"/>
      <c r="I162" s="362" t="str">
        <f t="shared" si="51"/>
        <v/>
      </c>
      <c r="J162" s="521" t="str">
        <f t="shared" si="52"/>
        <v/>
      </c>
      <c r="K162" s="183"/>
      <c r="L162" s="183"/>
      <c r="M162" s="184"/>
      <c r="N162" s="183"/>
      <c r="O162" s="185">
        <f>IF(K162*L162*N162=0,0,(L162*N162)/K162)</f>
        <v>0</v>
      </c>
      <c r="P162" s="186"/>
      <c r="Q162" s="187"/>
      <c r="R162" s="188"/>
      <c r="S162" s="189"/>
      <c r="T162" s="190" t="str">
        <f t="shared" si="53"/>
        <v/>
      </c>
      <c r="U162" s="191" t="str">
        <f t="shared" si="54"/>
        <v/>
      </c>
      <c r="V162" s="192" t="str">
        <f t="shared" si="55"/>
        <v/>
      </c>
      <c r="W162" s="259"/>
    </row>
    <row r="163" spans="2:23" ht="12.95" customHeight="1">
      <c r="B163" s="838"/>
      <c r="C163" s="197"/>
      <c r="D163" s="178"/>
      <c r="E163" s="196"/>
      <c r="F163" s="424"/>
      <c r="G163" s="181"/>
      <c r="H163" s="182"/>
      <c r="I163" s="362" t="str">
        <f t="shared" si="51"/>
        <v/>
      </c>
      <c r="J163" s="521" t="str">
        <f t="shared" si="52"/>
        <v/>
      </c>
      <c r="K163" s="183"/>
      <c r="L163" s="183"/>
      <c r="M163" s="184"/>
      <c r="N163" s="183"/>
      <c r="O163" s="185"/>
      <c r="P163" s="186"/>
      <c r="Q163" s="187"/>
      <c r="R163" s="188"/>
      <c r="S163" s="189"/>
      <c r="T163" s="190"/>
      <c r="U163" s="191"/>
      <c r="V163" s="192"/>
      <c r="W163" s="259"/>
    </row>
    <row r="164" spans="2:23" ht="12.95" customHeight="1" thickBot="1">
      <c r="B164" s="838"/>
      <c r="C164" s="265"/>
      <c r="D164" s="237"/>
      <c r="E164" s="258"/>
      <c r="F164" s="425"/>
      <c r="G164" s="239"/>
      <c r="H164" s="240"/>
      <c r="I164" s="363" t="str">
        <f t="shared" si="51"/>
        <v/>
      </c>
      <c r="J164" s="522" t="str">
        <f t="shared" si="52"/>
        <v/>
      </c>
      <c r="K164" s="241"/>
      <c r="L164" s="241"/>
      <c r="M164" s="242"/>
      <c r="N164" s="241"/>
      <c r="O164" s="243">
        <f>IF(K164*L164*N164=0,0,(L164*N164)/K164)</f>
        <v>0</v>
      </c>
      <c r="P164" s="244"/>
      <c r="Q164" s="245"/>
      <c r="R164" s="246"/>
      <c r="S164" s="247"/>
      <c r="T164" s="248" t="str">
        <f>IF(Q164="","",Q164*$D164)</f>
        <v/>
      </c>
      <c r="U164" s="249" t="str">
        <f>IF(R164="","",R164*$D164)</f>
        <v/>
      </c>
      <c r="V164" s="250" t="str">
        <f>IF(S164="","",S164*$D164)</f>
        <v/>
      </c>
      <c r="W164" s="251"/>
    </row>
    <row r="165" spans="2:23" ht="12.95" customHeight="1" thickTop="1" thickBot="1">
      <c r="B165" s="839"/>
      <c r="C165" s="335" t="s">
        <v>289</v>
      </c>
      <c r="D165" s="236"/>
      <c r="E165" s="336"/>
      <c r="F165" s="426"/>
      <c r="G165" s="337"/>
      <c r="H165" s="338"/>
      <c r="I165" s="347"/>
      <c r="J165" s="519">
        <f>SUM(J161:J164)</f>
        <v>0</v>
      </c>
      <c r="K165" s="339"/>
      <c r="L165" s="339"/>
      <c r="M165" s="340"/>
      <c r="N165" s="339"/>
      <c r="O165" s="341"/>
      <c r="P165" s="342"/>
      <c r="Q165" s="343"/>
      <c r="R165" s="344"/>
      <c r="S165" s="345"/>
      <c r="T165" s="346"/>
      <c r="U165" s="347"/>
      <c r="V165" s="348"/>
      <c r="W165" s="349"/>
    </row>
    <row r="166" spans="2:23" ht="12.95" customHeight="1">
      <c r="B166" s="840" t="s">
        <v>431</v>
      </c>
      <c r="C166" s="252" t="s">
        <v>191</v>
      </c>
      <c r="D166" s="220"/>
      <c r="E166" s="221"/>
      <c r="F166" s="423"/>
      <c r="G166" s="222"/>
      <c r="H166" s="223"/>
      <c r="I166" s="360" t="str">
        <f>IF(D166=0,"",D166*1/G166*H166)</f>
        <v/>
      </c>
      <c r="J166" s="520" t="str">
        <f t="shared" ref="J166:J176" si="56">IF(D166=0,"",ROUND(F166*I166,0))</f>
        <v/>
      </c>
      <c r="K166" s="224"/>
      <c r="L166" s="224"/>
      <c r="M166" s="225"/>
      <c r="N166" s="224"/>
      <c r="O166" s="226"/>
      <c r="P166" s="227"/>
      <c r="Q166" s="228"/>
      <c r="R166" s="229"/>
      <c r="S166" s="230"/>
      <c r="T166" s="231"/>
      <c r="U166" s="232"/>
      <c r="V166" s="233"/>
      <c r="W166" s="234"/>
    </row>
    <row r="167" spans="2:23" ht="12.95" customHeight="1">
      <c r="B167" s="841"/>
      <c r="C167" s="253" t="s">
        <v>124</v>
      </c>
      <c r="D167" s="161"/>
      <c r="E167" s="162"/>
      <c r="F167" s="427"/>
      <c r="G167" s="163"/>
      <c r="H167" s="164"/>
      <c r="I167" s="523" t="str">
        <f t="shared" ref="I167:I176" si="57">IF(D167=0,"",D167*1/G167*H167)</f>
        <v/>
      </c>
      <c r="J167" s="524" t="str">
        <f t="shared" si="56"/>
        <v/>
      </c>
      <c r="K167" s="165"/>
      <c r="L167" s="165"/>
      <c r="M167" s="166"/>
      <c r="N167" s="165"/>
      <c r="O167" s="167"/>
      <c r="P167" s="168"/>
      <c r="Q167" s="169"/>
      <c r="R167" s="170"/>
      <c r="S167" s="171"/>
      <c r="T167" s="172"/>
      <c r="U167" s="173"/>
      <c r="V167" s="174"/>
      <c r="W167" s="235"/>
    </row>
    <row r="168" spans="2:23" ht="12.95" customHeight="1">
      <c r="B168" s="841"/>
      <c r="C168" s="254" t="s">
        <v>192</v>
      </c>
      <c r="D168" s="161"/>
      <c r="E168" s="162"/>
      <c r="F168" s="427"/>
      <c r="G168" s="163"/>
      <c r="H168" s="164"/>
      <c r="I168" s="523" t="str">
        <f t="shared" si="57"/>
        <v/>
      </c>
      <c r="J168" s="524" t="str">
        <f t="shared" si="56"/>
        <v/>
      </c>
      <c r="K168" s="165"/>
      <c r="L168" s="165"/>
      <c r="M168" s="166"/>
      <c r="N168" s="165"/>
      <c r="O168" s="167"/>
      <c r="P168" s="168"/>
      <c r="Q168" s="169"/>
      <c r="R168" s="170"/>
      <c r="S168" s="171"/>
      <c r="T168" s="172"/>
      <c r="U168" s="173"/>
      <c r="V168" s="174"/>
      <c r="W168" s="235"/>
    </row>
    <row r="169" spans="2:23" ht="12.95" customHeight="1">
      <c r="B169" s="841"/>
      <c r="C169" s="255" t="s">
        <v>193</v>
      </c>
      <c r="D169" s="161"/>
      <c r="E169" s="162"/>
      <c r="F169" s="427"/>
      <c r="G169" s="163"/>
      <c r="H169" s="164"/>
      <c r="I169" s="523" t="str">
        <f t="shared" si="57"/>
        <v/>
      </c>
      <c r="J169" s="524" t="str">
        <f t="shared" si="56"/>
        <v/>
      </c>
      <c r="K169" s="165"/>
      <c r="L169" s="165"/>
      <c r="M169" s="166"/>
      <c r="N169" s="165"/>
      <c r="O169" s="167"/>
      <c r="P169" s="168"/>
      <c r="Q169" s="169"/>
      <c r="R169" s="170"/>
      <c r="S169" s="171"/>
      <c r="T169" s="172"/>
      <c r="U169" s="173"/>
      <c r="V169" s="174"/>
      <c r="W169" s="235"/>
    </row>
    <row r="170" spans="2:23" ht="12.95" customHeight="1">
      <c r="B170" s="841"/>
      <c r="C170" s="255"/>
      <c r="D170" s="161"/>
      <c r="E170" s="162"/>
      <c r="F170" s="427"/>
      <c r="G170" s="163"/>
      <c r="H170" s="164"/>
      <c r="I170" s="523" t="str">
        <f t="shared" si="57"/>
        <v/>
      </c>
      <c r="J170" s="524" t="str">
        <f t="shared" si="56"/>
        <v/>
      </c>
      <c r="K170" s="165"/>
      <c r="L170" s="165"/>
      <c r="M170" s="166"/>
      <c r="N170" s="165"/>
      <c r="O170" s="167"/>
      <c r="P170" s="168"/>
      <c r="Q170" s="169"/>
      <c r="R170" s="170"/>
      <c r="S170" s="171"/>
      <c r="T170" s="172"/>
      <c r="U170" s="173"/>
      <c r="V170" s="174"/>
      <c r="W170" s="235"/>
    </row>
    <row r="171" spans="2:23" ht="12.95" customHeight="1">
      <c r="B171" s="841"/>
      <c r="C171" s="255"/>
      <c r="D171" s="161"/>
      <c r="E171" s="162"/>
      <c r="F171" s="427"/>
      <c r="G171" s="163"/>
      <c r="H171" s="164"/>
      <c r="I171" s="523" t="str">
        <f t="shared" si="57"/>
        <v/>
      </c>
      <c r="J171" s="524" t="str">
        <f t="shared" si="56"/>
        <v/>
      </c>
      <c r="K171" s="165"/>
      <c r="L171" s="165"/>
      <c r="M171" s="166"/>
      <c r="N171" s="165"/>
      <c r="O171" s="167"/>
      <c r="P171" s="168"/>
      <c r="Q171" s="169"/>
      <c r="R171" s="170"/>
      <c r="S171" s="171"/>
      <c r="T171" s="172"/>
      <c r="U171" s="173"/>
      <c r="V171" s="174"/>
      <c r="W171" s="235"/>
    </row>
    <row r="172" spans="2:23" ht="12.95" customHeight="1">
      <c r="B172" s="841"/>
      <c r="C172" s="255"/>
      <c r="D172" s="161"/>
      <c r="E172" s="162"/>
      <c r="F172" s="427"/>
      <c r="G172" s="163"/>
      <c r="H172" s="164"/>
      <c r="I172" s="523" t="str">
        <f t="shared" si="57"/>
        <v/>
      </c>
      <c r="J172" s="524" t="str">
        <f t="shared" si="56"/>
        <v/>
      </c>
      <c r="K172" s="165"/>
      <c r="L172" s="165"/>
      <c r="M172" s="166"/>
      <c r="N172" s="165"/>
      <c r="O172" s="167"/>
      <c r="P172" s="168"/>
      <c r="Q172" s="169"/>
      <c r="R172" s="170"/>
      <c r="S172" s="171"/>
      <c r="T172" s="172"/>
      <c r="U172" s="173"/>
      <c r="V172" s="174"/>
      <c r="W172" s="235"/>
    </row>
    <row r="173" spans="2:23" ht="12.95" customHeight="1">
      <c r="B173" s="841"/>
      <c r="C173" s="255"/>
      <c r="D173" s="161"/>
      <c r="E173" s="162"/>
      <c r="F173" s="427"/>
      <c r="G173" s="163"/>
      <c r="H173" s="164"/>
      <c r="I173" s="523" t="str">
        <f t="shared" si="57"/>
        <v/>
      </c>
      <c r="J173" s="524" t="str">
        <f t="shared" si="56"/>
        <v/>
      </c>
      <c r="K173" s="165"/>
      <c r="L173" s="165"/>
      <c r="M173" s="166"/>
      <c r="N173" s="165"/>
      <c r="O173" s="167"/>
      <c r="P173" s="168"/>
      <c r="Q173" s="169"/>
      <c r="R173" s="170"/>
      <c r="S173" s="171"/>
      <c r="T173" s="172"/>
      <c r="U173" s="173"/>
      <c r="V173" s="174"/>
      <c r="W173" s="235"/>
    </row>
    <row r="174" spans="2:23" ht="12.95" customHeight="1">
      <c r="B174" s="841"/>
      <c r="C174" s="255"/>
      <c r="D174" s="161"/>
      <c r="E174" s="162"/>
      <c r="F174" s="427"/>
      <c r="G174" s="163"/>
      <c r="H174" s="164"/>
      <c r="I174" s="523" t="str">
        <f t="shared" si="57"/>
        <v/>
      </c>
      <c r="J174" s="524" t="str">
        <f t="shared" si="56"/>
        <v/>
      </c>
      <c r="K174" s="165"/>
      <c r="L174" s="165"/>
      <c r="M174" s="166"/>
      <c r="N174" s="165"/>
      <c r="O174" s="167"/>
      <c r="P174" s="168"/>
      <c r="Q174" s="169"/>
      <c r="R174" s="170"/>
      <c r="S174" s="171"/>
      <c r="T174" s="172"/>
      <c r="U174" s="173"/>
      <c r="V174" s="174"/>
      <c r="W174" s="235"/>
    </row>
    <row r="175" spans="2:23" ht="12.95" customHeight="1">
      <c r="B175" s="841"/>
      <c r="C175" s="255"/>
      <c r="D175" s="161"/>
      <c r="E175" s="162"/>
      <c r="F175" s="427"/>
      <c r="G175" s="163"/>
      <c r="H175" s="164"/>
      <c r="I175" s="523" t="str">
        <f t="shared" si="57"/>
        <v/>
      </c>
      <c r="J175" s="524" t="str">
        <f t="shared" si="56"/>
        <v/>
      </c>
      <c r="K175" s="165"/>
      <c r="L175" s="165"/>
      <c r="M175" s="166"/>
      <c r="N175" s="165"/>
      <c r="O175" s="167"/>
      <c r="P175" s="168"/>
      <c r="Q175" s="169"/>
      <c r="R175" s="170"/>
      <c r="S175" s="171"/>
      <c r="T175" s="172"/>
      <c r="U175" s="173"/>
      <c r="V175" s="174"/>
      <c r="W175" s="235"/>
    </row>
    <row r="176" spans="2:23" ht="12.95" customHeight="1" thickBot="1">
      <c r="B176" s="841"/>
      <c r="C176" s="256"/>
      <c r="D176" s="237"/>
      <c r="E176" s="238"/>
      <c r="F176" s="425"/>
      <c r="G176" s="239"/>
      <c r="H176" s="240"/>
      <c r="I176" s="363" t="str">
        <f t="shared" si="57"/>
        <v/>
      </c>
      <c r="J176" s="522" t="str">
        <f t="shared" si="56"/>
        <v/>
      </c>
      <c r="K176" s="241"/>
      <c r="L176" s="241"/>
      <c r="M176" s="242"/>
      <c r="N176" s="241"/>
      <c r="O176" s="243"/>
      <c r="P176" s="244"/>
      <c r="Q176" s="245"/>
      <c r="R176" s="246"/>
      <c r="S176" s="247"/>
      <c r="T176" s="248"/>
      <c r="U176" s="249"/>
      <c r="V176" s="250"/>
      <c r="W176" s="251"/>
    </row>
    <row r="177" spans="2:23" ht="12.95" customHeight="1" thickTop="1" thickBot="1">
      <c r="B177" s="842"/>
      <c r="C177" s="514" t="s">
        <v>289</v>
      </c>
      <c r="D177" s="236"/>
      <c r="E177" s="336"/>
      <c r="F177" s="426"/>
      <c r="G177" s="337"/>
      <c r="H177" s="338"/>
      <c r="I177" s="347"/>
      <c r="J177" s="519">
        <f>SUM(J166:J176)</f>
        <v>0</v>
      </c>
      <c r="K177" s="339"/>
      <c r="L177" s="339"/>
      <c r="M177" s="340"/>
      <c r="N177" s="339"/>
      <c r="O177" s="341"/>
      <c r="P177" s="342"/>
      <c r="Q177" s="343"/>
      <c r="R177" s="344"/>
      <c r="S177" s="345"/>
      <c r="T177" s="515"/>
      <c r="U177" s="347"/>
      <c r="V177" s="348"/>
      <c r="W177" s="349"/>
    </row>
    <row r="178" spans="2:23" ht="13.5" customHeight="1">
      <c r="C178" s="100"/>
      <c r="D178" s="100"/>
      <c r="E178" s="100"/>
      <c r="F178" s="455"/>
      <c r="G178" s="100"/>
      <c r="H178" s="100"/>
      <c r="I178" s="518"/>
      <c r="J178" s="458"/>
      <c r="K178" s="1"/>
      <c r="L178" s="1"/>
      <c r="M178" s="456"/>
      <c r="N178" s="1"/>
      <c r="O178" s="1"/>
      <c r="P178" s="1"/>
      <c r="Q178" s="457"/>
      <c r="R178" s="457"/>
      <c r="S178" s="457"/>
      <c r="T178" s="458"/>
      <c r="U178" s="458"/>
      <c r="V178" s="458"/>
      <c r="W178" s="100"/>
    </row>
    <row r="179" spans="2:23" s="199" customFormat="1">
      <c r="F179" s="459"/>
      <c r="I179" s="463"/>
      <c r="J179" s="463"/>
      <c r="K179" s="460"/>
      <c r="L179" s="460"/>
      <c r="M179" s="461"/>
      <c r="N179" s="460"/>
      <c r="O179" s="460"/>
      <c r="P179" s="460"/>
      <c r="Q179" s="462"/>
      <c r="R179" s="462"/>
      <c r="S179" s="462"/>
      <c r="T179" s="463"/>
      <c r="U179" s="463"/>
      <c r="V179" s="463"/>
    </row>
    <row r="180" spans="2:23" s="199" customFormat="1">
      <c r="F180" s="459"/>
      <c r="I180" s="463"/>
      <c r="J180" s="463"/>
      <c r="K180" s="460"/>
      <c r="L180" s="460"/>
      <c r="M180" s="461"/>
      <c r="N180" s="460"/>
      <c r="O180" s="460"/>
      <c r="P180" s="460"/>
      <c r="Q180" s="462"/>
      <c r="R180" s="462"/>
      <c r="S180" s="462"/>
      <c r="T180" s="463"/>
      <c r="U180" s="463"/>
      <c r="V180" s="463"/>
    </row>
    <row r="181" spans="2:23" s="199" customFormat="1">
      <c r="F181" s="459"/>
      <c r="I181" s="463"/>
      <c r="J181" s="463"/>
      <c r="K181" s="460"/>
      <c r="L181" s="460"/>
      <c r="M181" s="461"/>
      <c r="N181" s="460"/>
      <c r="O181" s="460"/>
      <c r="P181" s="460"/>
      <c r="Q181" s="462"/>
      <c r="R181" s="462"/>
      <c r="S181" s="462"/>
      <c r="T181" s="463"/>
      <c r="U181" s="463"/>
      <c r="V181" s="463"/>
    </row>
    <row r="182" spans="2:23" s="199" customFormat="1">
      <c r="F182" s="459"/>
      <c r="I182" s="463"/>
      <c r="J182" s="463"/>
      <c r="K182" s="460"/>
      <c r="L182" s="460"/>
      <c r="M182" s="461"/>
      <c r="N182" s="460"/>
      <c r="O182" s="460"/>
      <c r="P182" s="460"/>
      <c r="Q182" s="462"/>
      <c r="R182" s="462"/>
      <c r="S182" s="462"/>
      <c r="T182" s="463"/>
      <c r="U182" s="463"/>
      <c r="V182" s="463"/>
    </row>
    <row r="183" spans="2:23" s="199" customFormat="1">
      <c r="F183" s="459"/>
      <c r="I183" s="463"/>
      <c r="J183" s="463"/>
      <c r="K183" s="460"/>
      <c r="L183" s="460"/>
      <c r="M183" s="461"/>
      <c r="N183" s="460"/>
      <c r="O183" s="460"/>
      <c r="P183" s="460"/>
      <c r="Q183" s="462"/>
      <c r="R183" s="462"/>
      <c r="S183" s="462"/>
      <c r="T183" s="463"/>
      <c r="U183" s="463"/>
      <c r="V183" s="463"/>
    </row>
    <row r="184" spans="2:23" s="199" customFormat="1">
      <c r="F184" s="459"/>
      <c r="I184" s="463"/>
      <c r="J184" s="463"/>
      <c r="K184" s="460"/>
      <c r="L184" s="460"/>
      <c r="M184" s="461"/>
      <c r="N184" s="460"/>
      <c r="O184" s="460"/>
      <c r="P184" s="460"/>
      <c r="Q184" s="462"/>
      <c r="R184" s="462"/>
      <c r="S184" s="462"/>
      <c r="T184" s="463"/>
      <c r="U184" s="463"/>
      <c r="V184" s="463"/>
    </row>
    <row r="185" spans="2:23" s="199" customFormat="1">
      <c r="F185" s="459"/>
      <c r="I185" s="463"/>
      <c r="J185" s="463"/>
      <c r="K185" s="460"/>
      <c r="L185" s="460"/>
      <c r="M185" s="461"/>
      <c r="N185" s="460"/>
      <c r="O185" s="460"/>
      <c r="P185" s="460"/>
      <c r="Q185" s="462"/>
      <c r="R185" s="462"/>
      <c r="S185" s="462"/>
      <c r="T185" s="463"/>
      <c r="U185" s="463"/>
      <c r="V185" s="463"/>
    </row>
    <row r="186" spans="2:23" s="199" customFormat="1">
      <c r="F186" s="459"/>
      <c r="I186" s="463" t="s">
        <v>288</v>
      </c>
      <c r="J186" s="463" t="s">
        <v>288</v>
      </c>
      <c r="K186" s="460"/>
      <c r="L186" s="460"/>
      <c r="M186" s="461"/>
      <c r="N186" s="460"/>
      <c r="O186" s="460">
        <v>0</v>
      </c>
      <c r="P186" s="460"/>
      <c r="Q186" s="462"/>
      <c r="R186" s="462"/>
      <c r="S186" s="462"/>
      <c r="T186" s="463" t="s">
        <v>288</v>
      </c>
      <c r="U186" s="463" t="s">
        <v>288</v>
      </c>
      <c r="V186" s="463" t="s">
        <v>288</v>
      </c>
    </row>
    <row r="187" spans="2:23" s="199" customFormat="1">
      <c r="F187" s="459"/>
      <c r="I187" s="463" t="s">
        <v>288</v>
      </c>
      <c r="J187" s="463" t="s">
        <v>288</v>
      </c>
      <c r="K187" s="460"/>
      <c r="L187" s="460"/>
      <c r="M187" s="461"/>
      <c r="N187" s="460"/>
      <c r="O187" s="460">
        <v>0</v>
      </c>
      <c r="P187" s="460"/>
      <c r="Q187" s="462"/>
      <c r="R187" s="462"/>
      <c r="S187" s="462"/>
      <c r="T187" s="463" t="s">
        <v>288</v>
      </c>
      <c r="U187" s="463" t="s">
        <v>288</v>
      </c>
      <c r="V187" s="463" t="s">
        <v>288</v>
      </c>
    </row>
    <row r="188" spans="2:23" s="199" customFormat="1">
      <c r="C188" s="200"/>
      <c r="D188" s="200"/>
      <c r="E188" s="200"/>
      <c r="F188" s="464"/>
      <c r="G188" s="200"/>
      <c r="H188" s="200"/>
      <c r="I188" s="468" t="s">
        <v>288</v>
      </c>
      <c r="J188" s="468" t="s">
        <v>288</v>
      </c>
      <c r="K188" s="465"/>
      <c r="L188" s="465"/>
      <c r="M188" s="466"/>
      <c r="N188" s="465"/>
      <c r="O188" s="465">
        <v>0</v>
      </c>
      <c r="P188" s="465"/>
      <c r="Q188" s="467"/>
      <c r="R188" s="467"/>
      <c r="S188" s="467"/>
      <c r="T188" s="468" t="s">
        <v>288</v>
      </c>
      <c r="U188" s="468" t="s">
        <v>288</v>
      </c>
      <c r="V188" s="468" t="s">
        <v>288</v>
      </c>
      <c r="W188" s="200"/>
    </row>
    <row r="189" spans="2:23" s="199" customFormat="1">
      <c r="C189" s="200"/>
      <c r="D189" s="200"/>
      <c r="E189" s="200"/>
      <c r="F189" s="464"/>
      <c r="G189" s="200"/>
      <c r="H189" s="200"/>
      <c r="I189" s="468" t="s">
        <v>288</v>
      </c>
      <c r="J189" s="468" t="s">
        <v>288</v>
      </c>
      <c r="K189" s="465"/>
      <c r="L189" s="465"/>
      <c r="M189" s="466"/>
      <c r="N189" s="465"/>
      <c r="O189" s="465">
        <v>0</v>
      </c>
      <c r="P189" s="465"/>
      <c r="Q189" s="467"/>
      <c r="R189" s="467"/>
      <c r="S189" s="467"/>
      <c r="T189" s="468" t="s">
        <v>288</v>
      </c>
      <c r="U189" s="468" t="s">
        <v>288</v>
      </c>
      <c r="V189" s="468" t="s">
        <v>288</v>
      </c>
      <c r="W189" s="200"/>
    </row>
    <row r="190" spans="2:23" s="199" customFormat="1">
      <c r="C190" s="200"/>
      <c r="D190" s="200"/>
      <c r="E190" s="200"/>
      <c r="F190" s="464"/>
      <c r="G190" s="200"/>
      <c r="H190" s="200"/>
      <c r="I190" s="468" t="s">
        <v>288</v>
      </c>
      <c r="J190" s="468" t="s">
        <v>288</v>
      </c>
      <c r="K190" s="465"/>
      <c r="L190" s="465"/>
      <c r="M190" s="466"/>
      <c r="N190" s="465"/>
      <c r="O190" s="465">
        <v>0</v>
      </c>
      <c r="P190" s="465"/>
      <c r="Q190" s="467"/>
      <c r="R190" s="467"/>
      <c r="S190" s="467"/>
      <c r="T190" s="468" t="s">
        <v>288</v>
      </c>
      <c r="U190" s="468" t="s">
        <v>288</v>
      </c>
      <c r="V190" s="468" t="s">
        <v>288</v>
      </c>
      <c r="W190" s="200"/>
    </row>
    <row r="191" spans="2:23" s="199" customFormat="1">
      <c r="C191" s="200"/>
      <c r="D191" s="200"/>
      <c r="E191" s="200"/>
      <c r="F191" s="464"/>
      <c r="G191" s="200"/>
      <c r="H191" s="200"/>
      <c r="I191" s="468" t="s">
        <v>288</v>
      </c>
      <c r="J191" s="468" t="s">
        <v>288</v>
      </c>
      <c r="K191" s="465"/>
      <c r="L191" s="465"/>
      <c r="M191" s="466"/>
      <c r="N191" s="465"/>
      <c r="O191" s="465">
        <v>0</v>
      </c>
      <c r="P191" s="465"/>
      <c r="Q191" s="467"/>
      <c r="R191" s="467"/>
      <c r="S191" s="467"/>
      <c r="T191" s="468" t="s">
        <v>288</v>
      </c>
      <c r="U191" s="468" t="s">
        <v>288</v>
      </c>
      <c r="V191" s="468" t="s">
        <v>288</v>
      </c>
      <c r="W191" s="200"/>
    </row>
    <row r="192" spans="2:23" s="199" customFormat="1">
      <c r="C192" s="200"/>
      <c r="D192" s="200"/>
      <c r="E192" s="200"/>
      <c r="F192" s="464"/>
      <c r="G192" s="200"/>
      <c r="H192" s="200"/>
      <c r="I192" s="468" t="s">
        <v>288</v>
      </c>
      <c r="J192" s="468" t="s">
        <v>288</v>
      </c>
      <c r="K192" s="465"/>
      <c r="L192" s="465"/>
      <c r="M192" s="466"/>
      <c r="N192" s="465"/>
      <c r="O192" s="465">
        <v>0</v>
      </c>
      <c r="P192" s="465"/>
      <c r="Q192" s="467"/>
      <c r="R192" s="467"/>
      <c r="S192" s="467"/>
      <c r="T192" s="468" t="s">
        <v>288</v>
      </c>
      <c r="U192" s="468" t="s">
        <v>288</v>
      </c>
      <c r="V192" s="468" t="s">
        <v>288</v>
      </c>
      <c r="W192" s="200"/>
    </row>
    <row r="193" spans="3:23" s="199" customFormat="1">
      <c r="C193" s="200"/>
      <c r="D193" s="200"/>
      <c r="E193" s="200"/>
      <c r="F193" s="464"/>
      <c r="G193" s="200"/>
      <c r="H193" s="200"/>
      <c r="I193" s="468" t="s">
        <v>288</v>
      </c>
      <c r="J193" s="468" t="s">
        <v>288</v>
      </c>
      <c r="K193" s="465"/>
      <c r="L193" s="465"/>
      <c r="M193" s="466"/>
      <c r="N193" s="465"/>
      <c r="O193" s="465">
        <v>0</v>
      </c>
      <c r="P193" s="465"/>
      <c r="Q193" s="467"/>
      <c r="R193" s="467"/>
      <c r="S193" s="467"/>
      <c r="T193" s="468" t="s">
        <v>288</v>
      </c>
      <c r="U193" s="468" t="s">
        <v>288</v>
      </c>
      <c r="V193" s="468" t="s">
        <v>288</v>
      </c>
      <c r="W193" s="200"/>
    </row>
    <row r="194" spans="3:23">
      <c r="I194" s="468" t="s">
        <v>288</v>
      </c>
      <c r="J194" s="468" t="s">
        <v>288</v>
      </c>
      <c r="O194" s="465">
        <v>0</v>
      </c>
      <c r="T194" s="468" t="s">
        <v>288</v>
      </c>
      <c r="U194" s="468" t="s">
        <v>288</v>
      </c>
      <c r="V194" s="468" t="s">
        <v>288</v>
      </c>
    </row>
    <row r="195" spans="3:23">
      <c r="I195" s="468" t="s">
        <v>288</v>
      </c>
      <c r="J195" s="468" t="s">
        <v>288</v>
      </c>
      <c r="O195" s="465">
        <v>0</v>
      </c>
      <c r="T195" s="468" t="s">
        <v>288</v>
      </c>
      <c r="U195" s="468" t="s">
        <v>288</v>
      </c>
      <c r="V195" s="468" t="s">
        <v>288</v>
      </c>
    </row>
    <row r="196" spans="3:23">
      <c r="I196" s="468" t="s">
        <v>288</v>
      </c>
      <c r="J196" s="468" t="s">
        <v>288</v>
      </c>
      <c r="O196" s="465">
        <v>0</v>
      </c>
      <c r="T196" s="468" t="s">
        <v>288</v>
      </c>
      <c r="U196" s="468" t="s">
        <v>288</v>
      </c>
      <c r="V196" s="468" t="s">
        <v>288</v>
      </c>
    </row>
    <row r="197" spans="3:23">
      <c r="I197" s="468" t="s">
        <v>288</v>
      </c>
      <c r="J197" s="468" t="s">
        <v>288</v>
      </c>
      <c r="O197" s="465">
        <v>0</v>
      </c>
      <c r="T197" s="468" t="s">
        <v>288</v>
      </c>
      <c r="U197" s="468" t="s">
        <v>288</v>
      </c>
      <c r="V197" s="468" t="s">
        <v>288</v>
      </c>
    </row>
    <row r="198" spans="3:23">
      <c r="I198" s="468" t="s">
        <v>288</v>
      </c>
      <c r="J198" s="468" t="s">
        <v>288</v>
      </c>
      <c r="O198" s="465">
        <v>0</v>
      </c>
      <c r="T198" s="468" t="s">
        <v>288</v>
      </c>
      <c r="U198" s="468" t="s">
        <v>288</v>
      </c>
      <c r="V198" s="468" t="s">
        <v>288</v>
      </c>
    </row>
    <row r="199" spans="3:23">
      <c r="I199" s="468" t="s">
        <v>288</v>
      </c>
      <c r="J199" s="468" t="s">
        <v>288</v>
      </c>
      <c r="O199" s="465">
        <v>0</v>
      </c>
      <c r="T199" s="468" t="s">
        <v>288</v>
      </c>
      <c r="U199" s="468" t="s">
        <v>288</v>
      </c>
      <c r="V199" s="468" t="s">
        <v>288</v>
      </c>
    </row>
    <row r="200" spans="3:23">
      <c r="I200" s="468" t="s">
        <v>288</v>
      </c>
      <c r="J200" s="468" t="s">
        <v>288</v>
      </c>
      <c r="O200" s="465">
        <v>0</v>
      </c>
      <c r="T200" s="468" t="s">
        <v>288</v>
      </c>
      <c r="U200" s="468" t="s">
        <v>288</v>
      </c>
      <c r="V200" s="468" t="s">
        <v>288</v>
      </c>
    </row>
    <row r="201" spans="3:23">
      <c r="I201" s="468" t="s">
        <v>288</v>
      </c>
      <c r="J201" s="468" t="s">
        <v>288</v>
      </c>
      <c r="O201" s="465">
        <v>0</v>
      </c>
      <c r="T201" s="468" t="s">
        <v>288</v>
      </c>
      <c r="U201" s="468" t="s">
        <v>288</v>
      </c>
      <c r="V201" s="468" t="s">
        <v>288</v>
      </c>
    </row>
    <row r="202" spans="3:23">
      <c r="I202" s="468" t="s">
        <v>288</v>
      </c>
      <c r="J202" s="468" t="s">
        <v>288</v>
      </c>
      <c r="O202" s="465">
        <v>0</v>
      </c>
      <c r="T202" s="468" t="s">
        <v>288</v>
      </c>
      <c r="U202" s="468" t="s">
        <v>288</v>
      </c>
      <c r="V202" s="468" t="s">
        <v>288</v>
      </c>
    </row>
    <row r="203" spans="3:23">
      <c r="I203" s="468" t="s">
        <v>288</v>
      </c>
      <c r="J203" s="468" t="s">
        <v>288</v>
      </c>
      <c r="O203" s="465">
        <v>0</v>
      </c>
      <c r="T203" s="468" t="s">
        <v>288</v>
      </c>
      <c r="U203" s="468" t="s">
        <v>288</v>
      </c>
      <c r="V203" s="468" t="s">
        <v>288</v>
      </c>
    </row>
    <row r="204" spans="3:23">
      <c r="I204" s="468" t="s">
        <v>288</v>
      </c>
      <c r="J204" s="468" t="s">
        <v>288</v>
      </c>
      <c r="O204" s="465">
        <v>0</v>
      </c>
      <c r="T204" s="468" t="s">
        <v>288</v>
      </c>
      <c r="U204" s="468" t="s">
        <v>288</v>
      </c>
      <c r="V204" s="468" t="s">
        <v>288</v>
      </c>
    </row>
    <row r="205" spans="3:23">
      <c r="I205" s="468" t="s">
        <v>288</v>
      </c>
      <c r="J205" s="468" t="s">
        <v>288</v>
      </c>
      <c r="O205" s="465">
        <v>0</v>
      </c>
      <c r="T205" s="468" t="s">
        <v>288</v>
      </c>
      <c r="U205" s="468" t="s">
        <v>288</v>
      </c>
      <c r="V205" s="468" t="s">
        <v>288</v>
      </c>
    </row>
    <row r="206" spans="3:23">
      <c r="I206" s="468" t="s">
        <v>288</v>
      </c>
      <c r="J206" s="468" t="s">
        <v>288</v>
      </c>
      <c r="O206" s="465">
        <v>0</v>
      </c>
      <c r="T206" s="468" t="s">
        <v>288</v>
      </c>
      <c r="U206" s="468" t="s">
        <v>288</v>
      </c>
      <c r="V206" s="468" t="s">
        <v>288</v>
      </c>
    </row>
    <row r="207" spans="3:23">
      <c r="I207" s="468" t="s">
        <v>288</v>
      </c>
      <c r="J207" s="468" t="s">
        <v>288</v>
      </c>
      <c r="O207" s="465">
        <v>0</v>
      </c>
      <c r="T207" s="468" t="s">
        <v>288</v>
      </c>
      <c r="U207" s="468" t="s">
        <v>288</v>
      </c>
      <c r="V207" s="468" t="s">
        <v>288</v>
      </c>
    </row>
    <row r="208" spans="3:23">
      <c r="I208" s="468" t="s">
        <v>288</v>
      </c>
      <c r="J208" s="468" t="s">
        <v>288</v>
      </c>
      <c r="O208" s="465">
        <v>0</v>
      </c>
      <c r="T208" s="468" t="s">
        <v>288</v>
      </c>
      <c r="U208" s="468" t="s">
        <v>288</v>
      </c>
      <c r="V208" s="468" t="s">
        <v>288</v>
      </c>
    </row>
    <row r="209" spans="9:22">
      <c r="I209" s="468" t="s">
        <v>288</v>
      </c>
      <c r="J209" s="468" t="s">
        <v>288</v>
      </c>
      <c r="O209" s="465">
        <v>0</v>
      </c>
      <c r="T209" s="468" t="s">
        <v>288</v>
      </c>
      <c r="U209" s="468" t="s">
        <v>288</v>
      </c>
      <c r="V209" s="468" t="s">
        <v>288</v>
      </c>
    </row>
    <row r="210" spans="9:22">
      <c r="I210" s="468" t="s">
        <v>288</v>
      </c>
      <c r="J210" s="468" t="s">
        <v>288</v>
      </c>
      <c r="O210" s="465">
        <v>0</v>
      </c>
      <c r="T210" s="468" t="s">
        <v>288</v>
      </c>
      <c r="U210" s="468" t="s">
        <v>288</v>
      </c>
      <c r="V210" s="468" t="s">
        <v>288</v>
      </c>
    </row>
    <row r="211" spans="9:22">
      <c r="T211" s="468"/>
      <c r="U211" s="468"/>
      <c r="V211" s="468"/>
    </row>
    <row r="212" spans="9:22">
      <c r="T212" s="468"/>
      <c r="U212" s="468"/>
      <c r="V212" s="468"/>
    </row>
    <row r="213" spans="9:22">
      <c r="T213" s="468"/>
      <c r="U213" s="468"/>
      <c r="V213" s="468"/>
    </row>
    <row r="214" spans="9:22">
      <c r="T214" s="468"/>
      <c r="U214" s="468"/>
      <c r="V214" s="468"/>
    </row>
    <row r="215" spans="9:22">
      <c r="T215" s="468"/>
      <c r="U215" s="468"/>
      <c r="V215" s="468"/>
    </row>
    <row r="216" spans="9:22">
      <c r="T216" s="468"/>
      <c r="U216" s="468"/>
      <c r="V216" s="468"/>
    </row>
    <row r="217" spans="9:22">
      <c r="T217" s="468"/>
      <c r="U217" s="468"/>
      <c r="V217" s="468"/>
    </row>
    <row r="218" spans="9:22">
      <c r="T218" s="468"/>
      <c r="U218" s="468"/>
      <c r="V218" s="468"/>
    </row>
    <row r="219" spans="9:22">
      <c r="T219" s="468"/>
      <c r="U219" s="468"/>
      <c r="V219" s="468"/>
    </row>
    <row r="220" spans="9:22">
      <c r="T220" s="468"/>
      <c r="U220" s="468"/>
      <c r="V220" s="468"/>
    </row>
    <row r="221" spans="9:22">
      <c r="T221" s="468"/>
      <c r="U221" s="468"/>
      <c r="V221" s="468"/>
    </row>
    <row r="222" spans="9:22" hidden="1">
      <c r="T222" s="468"/>
      <c r="U222" s="468"/>
      <c r="V222" s="468"/>
    </row>
    <row r="223" spans="9:22">
      <c r="T223" s="468"/>
      <c r="U223" s="468"/>
      <c r="V223" s="468"/>
    </row>
    <row r="224" spans="9:22">
      <c r="T224" s="468"/>
      <c r="U224" s="468"/>
      <c r="V224" s="468"/>
    </row>
    <row r="225" spans="20:22">
      <c r="T225" s="468"/>
      <c r="U225" s="468"/>
      <c r="V225" s="468"/>
    </row>
    <row r="226" spans="20:22">
      <c r="T226" s="468"/>
      <c r="U226" s="468"/>
      <c r="V226" s="468"/>
    </row>
    <row r="227" spans="20:22">
      <c r="T227" s="468"/>
      <c r="U227" s="468"/>
      <c r="V227" s="468"/>
    </row>
    <row r="228" spans="20:22">
      <c r="T228" s="468"/>
      <c r="U228" s="468"/>
      <c r="V228" s="468"/>
    </row>
    <row r="229" spans="20:22">
      <c r="T229" s="468"/>
      <c r="U229" s="468"/>
      <c r="V229" s="468"/>
    </row>
    <row r="230" spans="20:22">
      <c r="T230" s="468"/>
      <c r="U230" s="468"/>
      <c r="V230" s="468"/>
    </row>
    <row r="231" spans="20:22">
      <c r="T231" s="468"/>
      <c r="U231" s="468"/>
      <c r="V231" s="468"/>
    </row>
    <row r="232" spans="20:22">
      <c r="T232" s="468"/>
      <c r="U232" s="468"/>
      <c r="V232" s="468"/>
    </row>
    <row r="233" spans="20:22">
      <c r="T233" s="468"/>
      <c r="U233" s="468"/>
      <c r="V233" s="468"/>
    </row>
    <row r="234" spans="20:22">
      <c r="T234" s="468"/>
      <c r="U234" s="468"/>
      <c r="V234" s="468"/>
    </row>
    <row r="235" spans="20:22">
      <c r="T235" s="468"/>
      <c r="U235" s="468"/>
      <c r="V235" s="468"/>
    </row>
    <row r="236" spans="20:22">
      <c r="T236" s="468"/>
      <c r="U236" s="468"/>
      <c r="V236" s="468"/>
    </row>
    <row r="237" spans="20:22">
      <c r="T237" s="468"/>
      <c r="U237" s="468"/>
      <c r="V237" s="468"/>
    </row>
    <row r="238" spans="20:22">
      <c r="T238" s="468"/>
      <c r="U238" s="468"/>
      <c r="V238" s="468"/>
    </row>
    <row r="239" spans="20:22">
      <c r="T239" s="468"/>
      <c r="U239" s="468"/>
      <c r="V239" s="468"/>
    </row>
    <row r="240" spans="20:22">
      <c r="T240" s="468"/>
      <c r="U240" s="468"/>
      <c r="V240" s="468"/>
    </row>
    <row r="241" spans="20:22">
      <c r="T241" s="468"/>
      <c r="U241" s="468"/>
      <c r="V241" s="468"/>
    </row>
    <row r="242" spans="20:22">
      <c r="T242" s="468"/>
      <c r="U242" s="468"/>
      <c r="V242" s="468"/>
    </row>
    <row r="243" spans="20:22">
      <c r="T243" s="468"/>
      <c r="U243" s="468"/>
      <c r="V243" s="468"/>
    </row>
    <row r="244" spans="20:22">
      <c r="T244" s="468"/>
      <c r="U244" s="468"/>
      <c r="V244" s="468"/>
    </row>
    <row r="245" spans="20:22">
      <c r="T245" s="468"/>
      <c r="U245" s="468"/>
      <c r="V245" s="468"/>
    </row>
    <row r="246" spans="20:22">
      <c r="T246" s="468"/>
      <c r="U246" s="468"/>
      <c r="V246" s="468"/>
    </row>
    <row r="247" spans="20:22">
      <c r="T247" s="468"/>
      <c r="U247" s="468"/>
      <c r="V247" s="468"/>
    </row>
    <row r="248" spans="20:22">
      <c r="T248" s="468"/>
      <c r="U248" s="468"/>
      <c r="V248" s="468"/>
    </row>
    <row r="249" spans="20:22">
      <c r="T249" s="468"/>
      <c r="U249" s="468"/>
      <c r="V249" s="468"/>
    </row>
    <row r="250" spans="20:22">
      <c r="T250" s="468"/>
      <c r="U250" s="468"/>
      <c r="V250" s="468"/>
    </row>
    <row r="251" spans="20:22">
      <c r="T251" s="468"/>
      <c r="U251" s="468"/>
      <c r="V251" s="468"/>
    </row>
    <row r="252" spans="20:22">
      <c r="T252" s="468"/>
      <c r="U252" s="468"/>
      <c r="V252" s="468"/>
    </row>
    <row r="253" spans="20:22">
      <c r="T253" s="468"/>
      <c r="U253" s="468"/>
      <c r="V253" s="468"/>
    </row>
    <row r="254" spans="20:22">
      <c r="T254" s="468"/>
      <c r="U254" s="468"/>
      <c r="V254" s="468"/>
    </row>
    <row r="255" spans="20:22">
      <c r="T255" s="468"/>
      <c r="U255" s="468"/>
      <c r="V255" s="468"/>
    </row>
    <row r="256" spans="20:22">
      <c r="T256" s="468"/>
      <c r="U256" s="468"/>
      <c r="V256" s="468"/>
    </row>
    <row r="257" spans="20:22">
      <c r="T257" s="468"/>
      <c r="U257" s="468"/>
      <c r="V257" s="468"/>
    </row>
    <row r="258" spans="20:22">
      <c r="T258" s="468"/>
      <c r="U258" s="468"/>
      <c r="V258" s="468"/>
    </row>
    <row r="259" spans="20:22">
      <c r="T259" s="468"/>
      <c r="U259" s="468"/>
      <c r="V259" s="468"/>
    </row>
    <row r="260" spans="20:22">
      <c r="T260" s="468"/>
      <c r="U260" s="468"/>
      <c r="V260" s="468"/>
    </row>
    <row r="261" spans="20:22">
      <c r="T261" s="468"/>
      <c r="U261" s="468"/>
      <c r="V261" s="468"/>
    </row>
    <row r="262" spans="20:22">
      <c r="T262" s="468"/>
      <c r="U262" s="468"/>
      <c r="V262" s="468"/>
    </row>
    <row r="263" spans="20:22">
      <c r="T263" s="468"/>
      <c r="U263" s="468"/>
      <c r="V263" s="468"/>
    </row>
    <row r="264" spans="20:22">
      <c r="T264" s="468"/>
      <c r="U264" s="468"/>
      <c r="V264" s="468"/>
    </row>
    <row r="265" spans="20:22">
      <c r="T265" s="468"/>
      <c r="U265" s="468"/>
      <c r="V265" s="468"/>
    </row>
    <row r="266" spans="20:22">
      <c r="T266" s="468"/>
      <c r="U266" s="468"/>
      <c r="V266" s="468"/>
    </row>
    <row r="267" spans="20:22">
      <c r="T267" s="468"/>
      <c r="U267" s="468"/>
      <c r="V267" s="468"/>
    </row>
    <row r="268" spans="20:22">
      <c r="T268" s="468"/>
      <c r="U268" s="468"/>
      <c r="V268" s="468"/>
    </row>
    <row r="269" spans="20:22">
      <c r="T269" s="468"/>
      <c r="U269" s="468"/>
      <c r="V269" s="468"/>
    </row>
    <row r="270" spans="20:22">
      <c r="T270" s="468"/>
      <c r="U270" s="468"/>
      <c r="V270" s="468"/>
    </row>
    <row r="271" spans="20:22">
      <c r="T271" s="468"/>
      <c r="U271" s="468"/>
      <c r="V271" s="468"/>
    </row>
    <row r="272" spans="20:22">
      <c r="T272" s="468"/>
      <c r="U272" s="468"/>
      <c r="V272" s="468"/>
    </row>
    <row r="273" spans="20:22">
      <c r="T273" s="468"/>
      <c r="U273" s="468"/>
      <c r="V273" s="468"/>
    </row>
    <row r="274" spans="20:22">
      <c r="T274" s="468"/>
      <c r="U274" s="468"/>
      <c r="V274" s="468"/>
    </row>
    <row r="275" spans="20:22">
      <c r="T275" s="468"/>
      <c r="U275" s="468"/>
      <c r="V275" s="468"/>
    </row>
    <row r="276" spans="20:22">
      <c r="T276" s="468"/>
      <c r="U276" s="468"/>
      <c r="V276" s="468"/>
    </row>
    <row r="277" spans="20:22">
      <c r="T277" s="468"/>
      <c r="U277" s="468"/>
      <c r="V277" s="468"/>
    </row>
    <row r="278" spans="20:22">
      <c r="T278" s="468"/>
      <c r="U278" s="468"/>
      <c r="V278" s="468"/>
    </row>
    <row r="279" spans="20:22">
      <c r="T279" s="468"/>
      <c r="U279" s="468"/>
      <c r="V279" s="468"/>
    </row>
    <row r="280" spans="20:22">
      <c r="T280" s="468"/>
      <c r="U280" s="468"/>
      <c r="V280" s="468"/>
    </row>
    <row r="281" spans="20:22">
      <c r="T281" s="468"/>
      <c r="U281" s="468"/>
      <c r="V281" s="468"/>
    </row>
    <row r="282" spans="20:22">
      <c r="T282" s="468"/>
      <c r="U282" s="468"/>
      <c r="V282" s="468"/>
    </row>
    <row r="283" spans="20:22">
      <c r="T283" s="468"/>
      <c r="U283" s="468"/>
      <c r="V283" s="468"/>
    </row>
    <row r="284" spans="20:22">
      <c r="T284" s="468"/>
      <c r="U284" s="468"/>
      <c r="V284" s="468"/>
    </row>
    <row r="285" spans="20:22">
      <c r="T285" s="468"/>
      <c r="U285" s="468"/>
      <c r="V285" s="468"/>
    </row>
    <row r="286" spans="20:22">
      <c r="T286" s="468"/>
      <c r="U286" s="468"/>
      <c r="V286" s="468"/>
    </row>
    <row r="287" spans="20:22">
      <c r="T287" s="468"/>
      <c r="U287" s="468"/>
      <c r="V287" s="468"/>
    </row>
    <row r="288" spans="20:22">
      <c r="T288" s="468"/>
      <c r="U288" s="468"/>
      <c r="V288" s="468"/>
    </row>
    <row r="289" spans="20:22">
      <c r="T289" s="468"/>
      <c r="U289" s="468"/>
      <c r="V289" s="468"/>
    </row>
    <row r="290" spans="20:22">
      <c r="T290" s="468"/>
      <c r="U290" s="468"/>
      <c r="V290" s="468"/>
    </row>
    <row r="291" spans="20:22">
      <c r="T291" s="468"/>
      <c r="U291" s="468"/>
      <c r="V291" s="468"/>
    </row>
    <row r="292" spans="20:22">
      <c r="T292" s="468"/>
      <c r="U292" s="468"/>
      <c r="V292" s="468"/>
    </row>
    <row r="293" spans="20:22">
      <c r="T293" s="468"/>
      <c r="U293" s="468"/>
      <c r="V293" s="468"/>
    </row>
    <row r="294" spans="20:22">
      <c r="T294" s="468"/>
      <c r="U294" s="468"/>
      <c r="V294" s="468"/>
    </row>
    <row r="295" spans="20:22">
      <c r="T295" s="468"/>
      <c r="U295" s="468"/>
      <c r="V295" s="468"/>
    </row>
    <row r="296" spans="20:22">
      <c r="T296" s="468"/>
      <c r="U296" s="468"/>
      <c r="V296" s="468"/>
    </row>
    <row r="297" spans="20:22">
      <c r="T297" s="468"/>
      <c r="U297" s="468"/>
      <c r="V297" s="468"/>
    </row>
    <row r="298" spans="20:22">
      <c r="T298" s="468"/>
      <c r="U298" s="468"/>
      <c r="V298" s="468"/>
    </row>
    <row r="299" spans="20:22">
      <c r="T299" s="468"/>
      <c r="U299" s="468"/>
      <c r="V299" s="468"/>
    </row>
    <row r="300" spans="20:22">
      <c r="T300" s="468"/>
      <c r="U300" s="468"/>
      <c r="V300" s="468"/>
    </row>
    <row r="301" spans="20:22">
      <c r="T301" s="468"/>
      <c r="U301" s="468"/>
      <c r="V301" s="468"/>
    </row>
    <row r="302" spans="20:22">
      <c r="T302" s="468"/>
      <c r="U302" s="468"/>
      <c r="V302" s="468"/>
    </row>
    <row r="303" spans="20:22">
      <c r="T303" s="468"/>
      <c r="U303" s="468"/>
      <c r="V303" s="468"/>
    </row>
    <row r="304" spans="20:22">
      <c r="T304" s="468"/>
      <c r="U304" s="468"/>
      <c r="V304" s="468"/>
    </row>
    <row r="305" spans="20:22">
      <c r="T305" s="468"/>
      <c r="U305" s="468"/>
      <c r="V305" s="468"/>
    </row>
    <row r="306" spans="20:22">
      <c r="T306" s="468"/>
      <c r="U306" s="468"/>
      <c r="V306" s="468"/>
    </row>
    <row r="307" spans="20:22"/>
    <row r="308" spans="20:22"/>
    <row r="309" spans="20:22"/>
    <row r="310" spans="20:22"/>
    <row r="311" spans="20:22"/>
    <row r="312" spans="20:22"/>
    <row r="313" spans="20:22"/>
    <row r="314" spans="20:22"/>
    <row r="315" spans="20:22"/>
    <row r="316" spans="20:22"/>
    <row r="317" spans="20:22"/>
    <row r="318" spans="20:22"/>
    <row r="319" spans="20:22"/>
    <row r="320" spans="20:22"/>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row r="429"/>
    <row r="430"/>
  </sheetData>
  <sheetProtection sheet="1" objects="1" scenarios="1" selectLockedCells="1"/>
  <mergeCells count="16">
    <mergeCell ref="D1:E1"/>
    <mergeCell ref="B3:B8"/>
    <mergeCell ref="B62:B72"/>
    <mergeCell ref="B111:B117"/>
    <mergeCell ref="B123:B128"/>
    <mergeCell ref="B118:B122"/>
    <mergeCell ref="B73:B110"/>
    <mergeCell ref="B156:B160"/>
    <mergeCell ref="B161:B165"/>
    <mergeCell ref="B166:B177"/>
    <mergeCell ref="B135:B145"/>
    <mergeCell ref="B9:B20"/>
    <mergeCell ref="B21:B61"/>
    <mergeCell ref="B146:B150"/>
    <mergeCell ref="B151:B155"/>
    <mergeCell ref="B129:B134"/>
  </mergeCells>
  <phoneticPr fontId="14"/>
  <dataValidations count="2">
    <dataValidation type="list" allowBlank="1" showErrorMessage="1" sqref="E109:E177 P3:P177 M3:M177 E8:E98">
      <formula1>単位</formula1>
      <formula2>0</formula2>
    </dataValidation>
    <dataValidation type="list" allowBlank="1" showInputMessage="1" showErrorMessage="1" sqref="E3:E7">
      <formula1>単位</formula1>
    </dataValidation>
  </dataValidations>
  <printOptions horizontalCentered="1"/>
  <pageMargins left="0.23622047244094491" right="0.23622047244094491" top="0.74803149606299213" bottom="0.74803149606299213" header="0.31496062992125984" footer="0.31496062992125984"/>
  <pageSetup paperSize="9" scale="90" fitToHeight="0" orientation="portrait" cellComments="asDisplayed" useFirstPageNumber="1" verticalDpi="300" r:id="rId1"/>
  <headerFooter alignWithMargins="0">
    <oddHeader>&amp;L&amp;D&amp;F &amp;A</oddHeader>
    <oddFooter>&amp;C&amp;14&amp;P/&amp;N</oddFooter>
  </headerFooter>
  <ignoredErrors>
    <ignoredError sqref="J69" evalError="1"/>
  </ignoredError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D16"/>
  <sheetViews>
    <sheetView workbookViewId="0">
      <selection activeCell="C21" sqref="C21"/>
    </sheetView>
  </sheetViews>
  <sheetFormatPr defaultRowHeight="13.5"/>
  <cols>
    <col min="3" max="3" width="9.875" bestFit="1" customWidth="1"/>
    <col min="4" max="4" width="30.5" bestFit="1" customWidth="1"/>
  </cols>
  <sheetData>
    <row r="3" spans="3:4">
      <c r="C3" s="301" t="s">
        <v>372</v>
      </c>
      <c r="D3" s="303"/>
    </row>
    <row r="4" spans="3:4">
      <c r="C4" s="305"/>
      <c r="D4" s="303" t="s">
        <v>373</v>
      </c>
    </row>
    <row r="5" spans="3:4">
      <c r="C5" s="306"/>
      <c r="D5" s="303" t="s">
        <v>374</v>
      </c>
    </row>
    <row r="6" spans="3:4">
      <c r="C6" s="303"/>
      <c r="D6" s="303" t="s">
        <v>375</v>
      </c>
    </row>
    <row r="13" spans="3:4">
      <c r="C13" s="301" t="s">
        <v>368</v>
      </c>
      <c r="D13" s="301" t="s">
        <v>367</v>
      </c>
    </row>
    <row r="14" spans="3:4">
      <c r="C14" s="302"/>
      <c r="D14" s="303" t="s">
        <v>369</v>
      </c>
    </row>
    <row r="15" spans="3:4">
      <c r="C15" s="304"/>
      <c r="D15" s="303" t="s">
        <v>370</v>
      </c>
    </row>
    <row r="16" spans="3:4">
      <c r="C16" s="303"/>
      <c r="D16" s="303" t="s">
        <v>371</v>
      </c>
    </row>
  </sheetData>
  <phoneticPr fontId="14"/>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43</vt:i4>
      </vt:variant>
    </vt:vector>
  </HeadingPairs>
  <TitlesOfParts>
    <vt:vector size="56" baseType="lpstr">
      <vt:lpstr>経営収支</vt:lpstr>
      <vt:lpstr>作業体系表</vt:lpstr>
      <vt:lpstr>Z-BFM</vt:lpstr>
      <vt:lpstr>①技術体系</vt:lpstr>
      <vt:lpstr>②償却資産</vt:lpstr>
      <vt:lpstr>③労働時間</vt:lpstr>
      <vt:lpstr>④収入</vt:lpstr>
      <vt:lpstr>⑤支出</vt:lpstr>
      <vt:lpstr>凡例</vt:lpstr>
      <vt:lpstr>科目設定</vt:lpstr>
      <vt:lpstr>ｲﾒｰｼﾞ</vt:lpstr>
      <vt:lpstr>牛購入・販売根基</vt:lpstr>
      <vt:lpstr>共済掛金算出</vt:lpstr>
      <vt:lpstr>'Z-BFM'!EI_back</vt:lpstr>
      <vt:lpstr>'Z-BFM'!EI_choice</vt:lpstr>
      <vt:lpstr>'Z-BFM'!EI_expense</vt:lpstr>
      <vt:lpstr>'Z-BFM'!EI_front</vt:lpstr>
      <vt:lpstr>'Z-BFM'!EI_landcoef</vt:lpstr>
      <vt:lpstr>'Z-BFM'!EI_landuse</vt:lpstr>
      <vt:lpstr>'Z-BFM'!EI_outline</vt:lpstr>
      <vt:lpstr>'Z-BFM'!EI_profit</vt:lpstr>
      <vt:lpstr>'Z-BFM'!EI_return</vt:lpstr>
      <vt:lpstr>Excel_BuiltIn__FilterDatabase_3</vt:lpstr>
      <vt:lpstr>①技術体系!Print_Area</vt:lpstr>
      <vt:lpstr>③労働時間!Print_Area</vt:lpstr>
      <vt:lpstr>④収入!Print_Area</vt:lpstr>
      <vt:lpstr>⑤支出!Print_Area</vt:lpstr>
      <vt:lpstr>科目設定!Print_Area</vt:lpstr>
      <vt:lpstr>作業体系表!Print_Area</vt:lpstr>
      <vt:lpstr>①技術体系!Print_Titles</vt:lpstr>
      <vt:lpstr>③労働時間!Print_Titles</vt:lpstr>
      <vt:lpstr>⑤支出!Print_Titles</vt:lpstr>
      <vt:lpstr>アメダスポイント名</vt:lpstr>
      <vt:lpstr>科目</vt:lpstr>
      <vt:lpstr>管理費用</vt:lpstr>
      <vt:lpstr>機械</vt:lpstr>
      <vt:lpstr>機械能力</vt:lpstr>
      <vt:lpstr>月旬</vt:lpstr>
      <vt:lpstr>固定区分</vt:lpstr>
      <vt:lpstr>雇用労働費</vt:lpstr>
      <vt:lpstr>作業名</vt:lpstr>
      <vt:lpstr>種苗費</vt:lpstr>
      <vt:lpstr>諸材料費</vt:lpstr>
      <vt:lpstr>植付本数</vt:lpstr>
      <vt:lpstr>粗収益</vt:lpstr>
      <vt:lpstr>想定面積</vt:lpstr>
      <vt:lpstr>単位</vt:lpstr>
      <vt:lpstr>賃借料・利用料</vt:lpstr>
      <vt:lpstr>土地改良・水利費</vt:lpstr>
      <vt:lpstr>動力・光熱費</vt:lpstr>
      <vt:lpstr>燃料種類</vt:lpstr>
      <vt:lpstr>農業薬剤費</vt:lpstr>
      <vt:lpstr>農具費</vt:lpstr>
      <vt:lpstr>販売費用</vt:lpstr>
      <vt:lpstr>肥料費</vt:lpstr>
      <vt:lpstr>本</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2018-02-24T06:16:10Z</cp:lastPrinted>
  <dcterms:created xsi:type="dcterms:W3CDTF">2008-10-27T01:58:08Z</dcterms:created>
  <dcterms:modified xsi:type="dcterms:W3CDTF">2018-02-24T06:39:51Z</dcterms:modified>
</cp:coreProperties>
</file>