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480" yWindow="1545" windowWidth="27735" windowHeight="5040" tabRatio="915"/>
  </bookViews>
  <sheets>
    <sheet name="経営収支" sheetId="7" r:id="rId1"/>
    <sheet name="作業体系表" sheetId="5" r:id="rId2"/>
    <sheet name="Z-BFM" sheetId="19" r:id="rId3"/>
    <sheet name="①技術体系" sheetId="1" r:id="rId4"/>
    <sheet name="②償却資産" sheetId="2" r:id="rId5"/>
    <sheet name="③労働時間" sheetId="3" r:id="rId6"/>
    <sheet name="④収入" sheetId="21" r:id="rId7"/>
    <sheet name="⑤支出" sheetId="4" r:id="rId8"/>
    <sheet name="凡例" sheetId="20" r:id="rId9"/>
    <sheet name="科目設定" sheetId="11" r:id="rId10"/>
    <sheet name="ｲﾒｰｼﾞ" sheetId="22" r:id="rId11"/>
    <sheet name="牛購入根基" sheetId="28" r:id="rId12"/>
    <sheet name="共済掛金算出" sheetId="29" r:id="rId13"/>
    <sheet name="簡易牛舎算出根基" sheetId="30" r:id="rId14"/>
    <sheet name="たちすずかWCS関係" sheetId="31" r:id="rId15"/>
    <sheet name="餌代根基" sheetId="32" r:id="rId16"/>
  </sheets>
  <externalReferences>
    <externalReference r:id="rId17"/>
    <externalReference r:id="rId18"/>
    <externalReference r:id="rId19"/>
  </externalReferences>
  <definedNames>
    <definedName name="_xlnm._FilterDatabase" localSheetId="7" hidden="1">⑤支出!$A$2:$W$178</definedName>
    <definedName name="①_粗収益_10" localSheetId="2">[1]科目集計用!#REF!</definedName>
    <definedName name="①_粗収益_10">#REF!</definedName>
    <definedName name="①_粗収益_4" localSheetId="2">[1]収支入力!#REF!</definedName>
    <definedName name="①_粗収益_4">⑤支出!#REF!</definedName>
    <definedName name="①_粗収益_7" localSheetId="2">#REF!</definedName>
    <definedName name="①_粗収益_7">#REF!</definedName>
    <definedName name="①粗収益4">[2]収支入力!#REF!</definedName>
    <definedName name="②_種苗費_10" localSheetId="2">[1]科目集計用!#REF!</definedName>
    <definedName name="②_種苗費_10">#REF!</definedName>
    <definedName name="②_種苗費_4" localSheetId="2">[1]収支入力!#REF!</definedName>
    <definedName name="②_種苗費_4">⑤支出!#REF!</definedName>
    <definedName name="②_種苗費_7" localSheetId="2">#REF!</definedName>
    <definedName name="②_種苗費_7">#REF!</definedName>
    <definedName name="③_肥料費_10" localSheetId="2">[1]科目集計用!#REF!</definedName>
    <definedName name="③_肥料費_10">#REF!</definedName>
    <definedName name="③_肥料費_4" localSheetId="2">[1]収支入力!#REF!</definedName>
    <definedName name="③_肥料費_4">⑤支出!#REF!</definedName>
    <definedName name="③_肥料費_7" localSheetId="2">#REF!</definedName>
    <definedName name="③_肥料費_7">#REF!</definedName>
    <definedName name="④_農薬費_10" localSheetId="2">[1]科目集計用!#REF!</definedName>
    <definedName name="④_農薬費_10">#REF!</definedName>
    <definedName name="④_農薬費_4" localSheetId="2">[1]収支入力!#REF!</definedName>
    <definedName name="④_農薬費_4">⑤支出!#REF!</definedName>
    <definedName name="④_農薬費_7" localSheetId="2">#REF!</definedName>
    <definedName name="④_農薬費_7">#REF!</definedName>
    <definedName name="⑤_諸材料費_10" localSheetId="2">[1]科目集計用!#REF!</definedName>
    <definedName name="⑤_諸材料費_10">#REF!</definedName>
    <definedName name="⑤_諸材料費_4" localSheetId="2">[1]収支入力!#REF!</definedName>
    <definedName name="⑤_諸材料費_4">⑤支出!#REF!</definedName>
    <definedName name="⑤_諸材料費_7" localSheetId="2">#REF!</definedName>
    <definedName name="⑤_諸材料費_7">#REF!</definedName>
    <definedName name="⑥_光熱動力費_10" localSheetId="2">[1]科目集計用!#REF!</definedName>
    <definedName name="⑥_光熱動力費_10">#REF!</definedName>
    <definedName name="⑥_光熱動力費_4" localSheetId="2">[1]収支入力!#REF!</definedName>
    <definedName name="⑥_光熱動力費_4">⑤支出!#REF!</definedName>
    <definedName name="⑥_光熱動力費_7" localSheetId="2">#REF!</definedName>
    <definedName name="⑥_光熱動力費_7">#REF!</definedName>
    <definedName name="⑦_小農具費_10" localSheetId="2">[1]科目集計用!#REF!</definedName>
    <definedName name="⑦_小農具費_10">#REF!</definedName>
    <definedName name="⑦_小農具費_4" localSheetId="2">[1]収支入力!#REF!</definedName>
    <definedName name="⑦_小農具費_4">⑤支出!#REF!</definedName>
    <definedName name="⑦_小農具費_7" localSheetId="2">#REF!</definedName>
    <definedName name="⑦_小農具費_7">#REF!</definedName>
    <definedName name="⑧_雇用労働費_10" localSheetId="2">[1]科目集計用!#REF!</definedName>
    <definedName name="⑧_雇用労働費_10">#REF!</definedName>
    <definedName name="⑧_雇用労働費_4" localSheetId="2">[1]収支入力!#REF!</definedName>
    <definedName name="⑧_雇用労働費_4">⑤支出!#REF!</definedName>
    <definedName name="⑧_雇用労働費_7" localSheetId="2">#REF!</definedName>
    <definedName name="⑧_雇用労働費_7">#REF!</definedName>
    <definedName name="⑨_賃料料金_10" localSheetId="2">[1]科目集計用!#REF!</definedName>
    <definedName name="⑨_賃料料金_10">#REF!</definedName>
    <definedName name="⑨_賃料料金_4" localSheetId="2">[1]収支入力!#REF!</definedName>
    <definedName name="⑨_賃料料金_4">⑤支出!#REF!</definedName>
    <definedName name="⑨_賃料料金_7" localSheetId="2">#REF!</definedName>
    <definedName name="⑨_賃料料金_7">#REF!</definedName>
    <definedName name="⑩_土地改良水利費_10" localSheetId="2">[1]科目集計用!#REF!</definedName>
    <definedName name="⑩_土地改良水利費_10">#REF!</definedName>
    <definedName name="⑩_土地改良水利費_4" localSheetId="2">[1]収支入力!#REF!</definedName>
    <definedName name="⑩_土地改良水利費_4">⑤支出!#REF!</definedName>
    <definedName name="⑩_土地改良水利費_7" localSheetId="2">#REF!</definedName>
    <definedName name="⑩_土地改良水利費_7">#REF!</definedName>
    <definedName name="⑪_販売経費_10" localSheetId="2">[1]科目集計用!#REF!</definedName>
    <definedName name="⑪_販売経費_10">#REF!</definedName>
    <definedName name="⑪_販売経費_4" localSheetId="2">[1]収支入力!#REF!</definedName>
    <definedName name="⑪_販売経費_4">⑤支出!#REF!</definedName>
    <definedName name="⑪_販売経費_7" localSheetId="2">#REF!</definedName>
    <definedName name="⑪_販売経費_7">#REF!</definedName>
    <definedName name="⑫_共済掛金_10" localSheetId="2">[1]科目集計用!#REF!</definedName>
    <definedName name="⑫_共済掛金_10">#REF!</definedName>
    <definedName name="⑫_共済掛金_4" localSheetId="2">[1]収支入力!#REF!</definedName>
    <definedName name="⑫_共済掛金_4">⑤支出!#REF!</definedName>
    <definedName name="⑫_共済掛金_7" localSheetId="2">#REF!</definedName>
    <definedName name="⑫_共済掛金_7">#REF!</definedName>
    <definedName name="⑬_その他変動_10" localSheetId="2">[1]科目集計用!#REF!</definedName>
    <definedName name="⑬_その他変動_10">#REF!</definedName>
    <definedName name="⑬_その他変動_4" localSheetId="2">[1]収支入力!#REF!</definedName>
    <definedName name="⑬_その他変動_4">⑤支出!#REF!</definedName>
    <definedName name="⑬_その他変動_7" localSheetId="2">#REF!</definedName>
    <definedName name="⑬_その他変動_7">#REF!</definedName>
    <definedName name="EI_back" localSheetId="2">'Z-BFM'!$I$11:$I$28</definedName>
    <definedName name="EI_choice" localSheetId="2">'Z-BFM'!$L$27</definedName>
    <definedName name="EI_expense" localSheetId="2">'Z-BFM'!$C$16:$C$25</definedName>
    <definedName name="EI_front" localSheetId="2">'Z-BFM'!$F$11:$F$28</definedName>
    <definedName name="EI_landcoef" localSheetId="2">'Z-BFM'!$L$28</definedName>
    <definedName name="EI_landuse" localSheetId="2">'Z-BFM'!$L$11:$L$16</definedName>
    <definedName name="EI_outline" localSheetId="2">'Z-BFM'!$C$3:$E$8</definedName>
    <definedName name="EI_profit" localSheetId="2">'Z-BFM'!$C$27</definedName>
    <definedName name="EI_return" localSheetId="2">'Z-BFM'!$C$11:$C$14</definedName>
    <definedName name="Excel_BuiltIn__FilterDatabase_3">③労働時間!$A$4:$N$4</definedName>
    <definedName name="Excel_BuiltIn_Print_Titles_10" localSheetId="2">[1]科目集計用!#REF!</definedName>
    <definedName name="Excel_BuiltIn_Print_Titles_10">#REF!</definedName>
    <definedName name="GDATA" localSheetId="2">#REF!</definedName>
    <definedName name="GDATA">#REF!</definedName>
    <definedName name="GDATA_4" localSheetId="2">#REF!</definedName>
    <definedName name="GDATA_4">#REF!</definedName>
    <definedName name="GDATA_7" localSheetId="2">#REF!</definedName>
    <definedName name="GDATA_7">#REF!</definedName>
    <definedName name="_xlnm.Print_Area" localSheetId="3">①技術体系!$A$1:$E$35</definedName>
    <definedName name="_xlnm.Print_Area" localSheetId="5">③労働時間!$A$1:$O$353</definedName>
    <definedName name="_xlnm.Print_Area" localSheetId="6">④収入!$A$2:$H$23</definedName>
    <definedName name="_xlnm.Print_Area" localSheetId="7">⑤支出!$B$1:$W$177</definedName>
    <definedName name="_xlnm.Print_Area" localSheetId="10">ｲﾒｰｼﾞ!$A$1:$L$51</definedName>
    <definedName name="_xlnm.Print_Area" localSheetId="9">科目設定!$A$1:$W$38</definedName>
    <definedName name="_xlnm.Print_Area" localSheetId="1">作業体系表!$A$1:$AN$63</definedName>
    <definedName name="_xlnm.Print_Titles" localSheetId="3">①技術体系!$1:$5</definedName>
    <definedName name="_xlnm.Print_Titles" localSheetId="5">③労働時間!$1:$4</definedName>
    <definedName name="_xlnm.Print_Titles" localSheetId="7">⑤支出!$1:$2</definedName>
    <definedName name="アメダスポイント名" localSheetId="2">[1]科目設定!$W$2:$W$16</definedName>
    <definedName name="アメダスポイント名">科目設定!$W$2:$W$16</definedName>
    <definedName name="科目" localSheetId="2">[1]科目設定!$C$1:$N$1</definedName>
    <definedName name="科目">科目設定!$C$1:$N$1</definedName>
    <definedName name="管理費用">科目設定!$N$2:$N$11</definedName>
    <definedName name="機械">②償却資産!$B$20:$B$33</definedName>
    <definedName name="機械能力">②償却資産!$D$20:$D$33</definedName>
    <definedName name="月旬" localSheetId="2">[1]科目設定!$P$2:$P$38</definedName>
    <definedName name="月旬">科目設定!$P$2:$P$38</definedName>
    <definedName name="原動機">'[3]算出根基３（減価償却費等）'!$C$14:$C$25</definedName>
    <definedName name="固定区分" localSheetId="2">[1]科目設定!$U$2:$U$4</definedName>
    <definedName name="固定区分">科目設定!$U$2:$U$4</definedName>
    <definedName name="固定費" localSheetId="2">[1]科目集計用!$I$111</definedName>
    <definedName name="固定費">#REF!</definedName>
    <definedName name="雇用労働費">科目設定!$L$2:$L$4</definedName>
    <definedName name="作業期間">'[3]算出根基２（労働時間他）'!$T$5:$T$42</definedName>
    <definedName name="作業機械・規格">'[3]算出根基３（減価償却費等）'!$D$14:$D$25</definedName>
    <definedName name="作業名">①技術体系!$A$6:$A$35</definedName>
    <definedName name="作業名_4" localSheetId="2">#REF!</definedName>
    <definedName name="作業名_4">#REF!</definedName>
    <definedName name="作業名_7" localSheetId="2">#REF!</definedName>
    <definedName name="作業名_7">#REF!</definedName>
    <definedName name="作業名2">[3]前提条件!$A$23:$A$49</definedName>
    <definedName name="種苗費">科目設定!$D$2:$D$5</definedName>
    <definedName name="諸材料費">科目設定!$H$2:$H$8</definedName>
    <definedName name="植付本数">科目設定!$Y$2:$Y$4</definedName>
    <definedName name="粗収益">科目設定!$C$2:$C$5</definedName>
    <definedName name="想定面積" localSheetId="2">[1]償却資産!$E$1</definedName>
    <definedName name="想定面積">②償却資産!$E$1</definedName>
    <definedName name="単位" localSheetId="2">[1]科目設定!$Q$2:$Q$32</definedName>
    <definedName name="単位">科目設定!$Q$2:$Q$35</definedName>
    <definedName name="賃借料・利用料">科目設定!$K$2:$K$6</definedName>
    <definedName name="土地改良・水利費">科目設定!$J$2:$J$4</definedName>
    <definedName name="動力・光熱費">科目設定!$G$2:$G$8</definedName>
    <definedName name="燃料">'[3]算出根基１（粗収益・物財費）'!$P$22:$P$28</definedName>
    <definedName name="燃料種類" localSheetId="2">[1]科目設定!$S$2:$S$8</definedName>
    <definedName name="燃料種類">科目設定!$S$2:$S$8</definedName>
    <definedName name="農業薬剤費">科目設定!$F$2:$F$8</definedName>
    <definedName name="農具費">科目設定!$I$2:$I$5</definedName>
    <definedName name="売上高" localSheetId="2">[1]科目集計用!$I$7</definedName>
    <definedName name="売上高">#REF!</definedName>
    <definedName name="販売費用">科目設定!$M$2:$M$7</definedName>
    <definedName name="肥料費">科目設定!$E$2:$E$8</definedName>
    <definedName name="変動費" localSheetId="2">[1]科目集計用!$I$110</definedName>
    <definedName name="変動費">#REF!</definedName>
    <definedName name="本">科目設定!$Z$2:$Z$4</definedName>
  </definedNames>
  <calcPr calcId="124519"/>
</workbook>
</file>

<file path=xl/calcChain.xml><?xml version="1.0" encoding="utf-8"?>
<calcChain xmlns="http://schemas.openxmlformats.org/spreadsheetml/2006/main">
  <c r="D52" i="5"/>
  <c r="I136" i="4" l="1"/>
  <c r="F20" i="21"/>
  <c r="D87" i="4" l="1"/>
  <c r="D86"/>
  <c r="D85"/>
  <c r="D84"/>
  <c r="D83"/>
  <c r="D82"/>
  <c r="F77" i="3"/>
  <c r="F76"/>
  <c r="F75"/>
  <c r="F74"/>
  <c r="F73"/>
  <c r="F72"/>
  <c r="F71"/>
  <c r="F70"/>
  <c r="F69"/>
  <c r="F68"/>
  <c r="F67"/>
  <c r="F66"/>
  <c r="F65"/>
  <c r="F64"/>
  <c r="F63"/>
  <c r="F62"/>
  <c r="F61"/>
  <c r="F60"/>
  <c r="F59"/>
  <c r="F58"/>
  <c r="F57"/>
  <c r="F56"/>
  <c r="F55"/>
  <c r="F54"/>
  <c r="F53"/>
  <c r="F52"/>
  <c r="F51"/>
  <c r="F50"/>
  <c r="F49"/>
  <c r="F48"/>
  <c r="F47"/>
  <c r="F45"/>
  <c r="F44"/>
  <c r="F43"/>
  <c r="F42"/>
  <c r="F41"/>
  <c r="F40"/>
  <c r="F39"/>
  <c r="F38"/>
  <c r="F37"/>
  <c r="F36"/>
  <c r="F35"/>
  <c r="F34"/>
  <c r="F33"/>
  <c r="F32"/>
  <c r="F31"/>
  <c r="F30"/>
  <c r="F29"/>
  <c r="F28"/>
  <c r="F27"/>
  <c r="F26"/>
  <c r="F25"/>
  <c r="F24"/>
  <c r="F23"/>
  <c r="F22"/>
  <c r="F21"/>
  <c r="F20"/>
  <c r="F19"/>
  <c r="F18"/>
  <c r="F17"/>
  <c r="F16"/>
  <c r="F15"/>
  <c r="F14"/>
  <c r="F13"/>
  <c r="F12"/>
  <c r="F11"/>
  <c r="F10"/>
  <c r="F9"/>
  <c r="F8"/>
  <c r="L7"/>
  <c r="F7"/>
  <c r="D24" i="4"/>
  <c r="D23"/>
  <c r="D22"/>
  <c r="D21"/>
  <c r="D3"/>
  <c r="B21" i="21"/>
  <c r="D20" l="1"/>
  <c r="J10" i="3" l="1"/>
  <c r="J9" l="1"/>
  <c r="M57" i="28" l="1"/>
  <c r="N57" s="1"/>
  <c r="J35" i="2" s="1"/>
  <c r="K24" i="30"/>
  <c r="J24"/>
  <c r="L24" l="1"/>
  <c r="J9" i="2" s="1"/>
  <c r="G20" i="21"/>
  <c r="I124" i="4" l="1"/>
  <c r="J124" s="1"/>
  <c r="J69"/>
  <c r="N7" i="32"/>
  <c r="R7" s="1"/>
  <c r="D21" s="1"/>
  <c r="I21" s="1"/>
  <c r="R8"/>
  <c r="N9"/>
  <c r="R9" s="1"/>
  <c r="D23" s="1"/>
  <c r="I23" s="1"/>
  <c r="N14"/>
  <c r="R14" s="1"/>
  <c r="N15"/>
  <c r="R15" s="1"/>
  <c r="D26" s="1"/>
  <c r="I26" s="1"/>
  <c r="N16"/>
  <c r="R16" s="1"/>
  <c r="D27" s="1"/>
  <c r="I27" s="1"/>
  <c r="N18"/>
  <c r="R18" s="1"/>
  <c r="C21"/>
  <c r="H21" s="1"/>
  <c r="D22"/>
  <c r="H22"/>
  <c r="I22"/>
  <c r="C26"/>
  <c r="H26" s="1"/>
  <c r="C27"/>
  <c r="H27" s="1"/>
  <c r="E3" i="31"/>
  <c r="E18" s="1"/>
  <c r="E4"/>
  <c r="E5"/>
  <c r="E6"/>
  <c r="E7"/>
  <c r="E8"/>
  <c r="E10"/>
  <c r="E11"/>
  <c r="E12"/>
  <c r="E13"/>
  <c r="E14"/>
  <c r="E15"/>
  <c r="E16"/>
  <c r="E17"/>
  <c r="C18"/>
  <c r="E22"/>
  <c r="E24" s="1"/>
  <c r="C24"/>
  <c r="C26" s="1"/>
  <c r="N16" i="30"/>
  <c r="N9" i="29"/>
  <c r="S9" s="1"/>
  <c r="N10"/>
  <c r="S10" s="1"/>
  <c r="H6" i="28"/>
  <c r="I6"/>
  <c r="K6"/>
  <c r="M6"/>
  <c r="W6"/>
  <c r="Y6"/>
  <c r="AA6"/>
  <c r="AC6"/>
  <c r="H7"/>
  <c r="I7"/>
  <c r="K7"/>
  <c r="M7"/>
  <c r="W7"/>
  <c r="Y7"/>
  <c r="AA7"/>
  <c r="AC7"/>
  <c r="H8"/>
  <c r="I8"/>
  <c r="K8"/>
  <c r="M8"/>
  <c r="W8"/>
  <c r="Y8"/>
  <c r="AA8"/>
  <c r="AC8"/>
  <c r="H9"/>
  <c r="I9"/>
  <c r="K9"/>
  <c r="M9"/>
  <c r="W9"/>
  <c r="Y9"/>
  <c r="AA9"/>
  <c r="AC9"/>
  <c r="H10"/>
  <c r="I10"/>
  <c r="K10"/>
  <c r="M10"/>
  <c r="W10"/>
  <c r="Y10"/>
  <c r="AA10"/>
  <c r="AC10"/>
  <c r="H11"/>
  <c r="I11"/>
  <c r="K11"/>
  <c r="M11"/>
  <c r="W11"/>
  <c r="Y11"/>
  <c r="AA11"/>
  <c r="AC11"/>
  <c r="H12"/>
  <c r="I12"/>
  <c r="K12"/>
  <c r="M12"/>
  <c r="W12"/>
  <c r="Y12"/>
  <c r="AA12"/>
  <c r="AC12"/>
  <c r="H13"/>
  <c r="I13"/>
  <c r="K13"/>
  <c r="M13"/>
  <c r="W13"/>
  <c r="Y13"/>
  <c r="AA13"/>
  <c r="AC13"/>
  <c r="H14"/>
  <c r="I14"/>
  <c r="K14"/>
  <c r="M14"/>
  <c r="W14"/>
  <c r="Y14"/>
  <c r="AA14"/>
  <c r="AC14"/>
  <c r="H15"/>
  <c r="I15"/>
  <c r="K15"/>
  <c r="M15"/>
  <c r="W15"/>
  <c r="Y15"/>
  <c r="AA15"/>
  <c r="AC15"/>
  <c r="H16"/>
  <c r="I16"/>
  <c r="K16"/>
  <c r="M16"/>
  <c r="W16"/>
  <c r="Y16"/>
  <c r="AA16"/>
  <c r="AC16"/>
  <c r="H17"/>
  <c r="I17"/>
  <c r="K17"/>
  <c r="M17"/>
  <c r="W17"/>
  <c r="Y17"/>
  <c r="AA17"/>
  <c r="AC17"/>
  <c r="H18"/>
  <c r="I18"/>
  <c r="K18"/>
  <c r="M18"/>
  <c r="W18"/>
  <c r="Y18"/>
  <c r="AA18"/>
  <c r="AC18"/>
  <c r="H19"/>
  <c r="I19"/>
  <c r="K19"/>
  <c r="M19"/>
  <c r="W19"/>
  <c r="Y19"/>
  <c r="AA19"/>
  <c r="AC19"/>
  <c r="H20"/>
  <c r="I20"/>
  <c r="K20"/>
  <c r="M20"/>
  <c r="W20"/>
  <c r="Y20"/>
  <c r="AA20"/>
  <c r="AC20"/>
  <c r="H21"/>
  <c r="I21"/>
  <c r="K21"/>
  <c r="M21"/>
  <c r="W21"/>
  <c r="Y21"/>
  <c r="AA21"/>
  <c r="AC21"/>
  <c r="B22"/>
  <c r="N22" s="1"/>
  <c r="C22"/>
  <c r="D22"/>
  <c r="E22"/>
  <c r="F22"/>
  <c r="G22"/>
  <c r="G23" s="1"/>
  <c r="W22"/>
  <c r="Y22"/>
  <c r="AA22"/>
  <c r="AC22"/>
  <c r="W23"/>
  <c r="Y23"/>
  <c r="AA23"/>
  <c r="AC23"/>
  <c r="W24"/>
  <c r="Y24"/>
  <c r="AA24"/>
  <c r="AC24"/>
  <c r="W25"/>
  <c r="Y25"/>
  <c r="AA25"/>
  <c r="AC25"/>
  <c r="W26"/>
  <c r="Y26"/>
  <c r="AA26"/>
  <c r="AC26"/>
  <c r="W27"/>
  <c r="Y27"/>
  <c r="AA27"/>
  <c r="AC27"/>
  <c r="E28"/>
  <c r="F28"/>
  <c r="W28"/>
  <c r="Y28"/>
  <c r="AA28"/>
  <c r="AC28"/>
  <c r="E29"/>
  <c r="F29"/>
  <c r="W29"/>
  <c r="Y29"/>
  <c r="AA29"/>
  <c r="AC29"/>
  <c r="E30"/>
  <c r="W30"/>
  <c r="Y30"/>
  <c r="AA30"/>
  <c r="AC30"/>
  <c r="E31"/>
  <c r="W31"/>
  <c r="Y31"/>
  <c r="AA31"/>
  <c r="AC31"/>
  <c r="E32"/>
  <c r="F32"/>
  <c r="W32"/>
  <c r="Y32"/>
  <c r="AA32"/>
  <c r="AC32"/>
  <c r="E33"/>
  <c r="F33"/>
  <c r="W33"/>
  <c r="Y33"/>
  <c r="AA33"/>
  <c r="AC33"/>
  <c r="E34"/>
  <c r="F34"/>
  <c r="W34"/>
  <c r="Y34"/>
  <c r="AA34"/>
  <c r="AC34"/>
  <c r="E35"/>
  <c r="F35"/>
  <c r="W35"/>
  <c r="Y35"/>
  <c r="AA35"/>
  <c r="AC35"/>
  <c r="E36"/>
  <c r="F36"/>
  <c r="W36"/>
  <c r="Y36"/>
  <c r="AA36"/>
  <c r="AC36"/>
  <c r="E37"/>
  <c r="F37"/>
  <c r="W37"/>
  <c r="Y37"/>
  <c r="AA37"/>
  <c r="AC37"/>
  <c r="E38"/>
  <c r="F38"/>
  <c r="W38"/>
  <c r="Y38"/>
  <c r="AA38"/>
  <c r="AC38"/>
  <c r="E39"/>
  <c r="F39"/>
  <c r="W39"/>
  <c r="Y39"/>
  <c r="AA39"/>
  <c r="AC39"/>
  <c r="E40"/>
  <c r="F40"/>
  <c r="Q40"/>
  <c r="R40"/>
  <c r="W40" s="1"/>
  <c r="S40"/>
  <c r="T40"/>
  <c r="U40"/>
  <c r="V40"/>
  <c r="E41"/>
  <c r="F41"/>
  <c r="E42"/>
  <c r="F42"/>
  <c r="E43"/>
  <c r="F43"/>
  <c r="E44"/>
  <c r="F44"/>
  <c r="E45"/>
  <c r="F45"/>
  <c r="E46"/>
  <c r="F46"/>
  <c r="E47"/>
  <c r="F47"/>
  <c r="E48"/>
  <c r="F48"/>
  <c r="E49"/>
  <c r="F49"/>
  <c r="E50"/>
  <c r="F50"/>
  <c r="E51"/>
  <c r="F51"/>
  <c r="E52"/>
  <c r="F52"/>
  <c r="E53"/>
  <c r="F53"/>
  <c r="E54"/>
  <c r="F54"/>
  <c r="E55"/>
  <c r="F55"/>
  <c r="E56"/>
  <c r="F56"/>
  <c r="E57"/>
  <c r="F57"/>
  <c r="E58"/>
  <c r="F58"/>
  <c r="E59"/>
  <c r="F59"/>
  <c r="E60"/>
  <c r="F60"/>
  <c r="E61"/>
  <c r="F61"/>
  <c r="E62"/>
  <c r="F62"/>
  <c r="E63"/>
  <c r="F63"/>
  <c r="E64"/>
  <c r="F64"/>
  <c r="E65"/>
  <c r="F65"/>
  <c r="C66"/>
  <c r="D66"/>
  <c r="B28" i="5"/>
  <c r="B29"/>
  <c r="B30"/>
  <c r="B31"/>
  <c r="B32"/>
  <c r="B33"/>
  <c r="B34"/>
  <c r="B35"/>
  <c r="B36"/>
  <c r="B37"/>
  <c r="B38"/>
  <c r="B39"/>
  <c r="E26" i="31" l="1"/>
  <c r="L22" i="28"/>
  <c r="AA40"/>
  <c r="F66"/>
  <c r="H22"/>
  <c r="S11" i="29"/>
  <c r="E66" i="28"/>
  <c r="E68" s="1"/>
  <c r="Y40"/>
  <c r="N11" i="29"/>
  <c r="J22" i="28"/>
  <c r="C25" i="32"/>
  <c r="H25" s="1"/>
  <c r="C23"/>
  <c r="H23" s="1"/>
  <c r="D25"/>
  <c r="I25" s="1"/>
  <c r="AC40" i="28"/>
  <c r="AC41" s="1"/>
  <c r="F68" i="4" l="1"/>
  <c r="C68" l="1"/>
  <c r="C66" l="1"/>
  <c r="D66" s="1"/>
  <c r="C67"/>
  <c r="D67" s="1"/>
  <c r="V68"/>
  <c r="U68"/>
  <c r="T68"/>
  <c r="O68"/>
  <c r="V67"/>
  <c r="U67"/>
  <c r="T67"/>
  <c r="O67"/>
  <c r="J67" l="1"/>
  <c r="I67"/>
  <c r="AN48" i="5"/>
  <c r="AN47"/>
  <c r="G23" i="7"/>
  <c r="C6" i="19"/>
  <c r="V133" i="4"/>
  <c r="U133"/>
  <c r="T133"/>
  <c r="O133"/>
  <c r="J133"/>
  <c r="I133"/>
  <c r="J132"/>
  <c r="I132"/>
  <c r="V131"/>
  <c r="U131"/>
  <c r="T131"/>
  <c r="O131"/>
  <c r="J131"/>
  <c r="I131"/>
  <c r="V130"/>
  <c r="U130"/>
  <c r="T130"/>
  <c r="O130"/>
  <c r="V129"/>
  <c r="U129"/>
  <c r="T129"/>
  <c r="O129"/>
  <c r="R353" i="3"/>
  <c r="Q353"/>
  <c r="R352"/>
  <c r="Q352"/>
  <c r="R351"/>
  <c r="Q351"/>
  <c r="R350"/>
  <c r="Q350"/>
  <c r="R349"/>
  <c r="Q349"/>
  <c r="R348"/>
  <c r="Q348"/>
  <c r="R347"/>
  <c r="Q347"/>
  <c r="R346"/>
  <c r="Q346"/>
  <c r="R345"/>
  <c r="Q345"/>
  <c r="R344"/>
  <c r="Q344"/>
  <c r="R343"/>
  <c r="Q343"/>
  <c r="R342"/>
  <c r="Q342"/>
  <c r="R341"/>
  <c r="Q341"/>
  <c r="R340"/>
  <c r="Q340"/>
  <c r="R339"/>
  <c r="Q339"/>
  <c r="R338"/>
  <c r="Q338"/>
  <c r="R337"/>
  <c r="Q337"/>
  <c r="R336"/>
  <c r="Q336"/>
  <c r="R335"/>
  <c r="Q335"/>
  <c r="R334"/>
  <c r="Q334"/>
  <c r="R333"/>
  <c r="Q333"/>
  <c r="R332"/>
  <c r="Q332"/>
  <c r="R331"/>
  <c r="Q331"/>
  <c r="R330"/>
  <c r="Q330"/>
  <c r="R329"/>
  <c r="Q329"/>
  <c r="R328"/>
  <c r="Q328"/>
  <c r="R327"/>
  <c r="Q327"/>
  <c r="R326"/>
  <c r="Q326"/>
  <c r="R325"/>
  <c r="Q325"/>
  <c r="R324"/>
  <c r="Q324"/>
  <c r="R323"/>
  <c r="Q323"/>
  <c r="R322"/>
  <c r="Q322"/>
  <c r="R321"/>
  <c r="Q321"/>
  <c r="R320"/>
  <c r="Q320"/>
  <c r="R319"/>
  <c r="Q319"/>
  <c r="R318"/>
  <c r="Q318"/>
  <c r="R317"/>
  <c r="Q317"/>
  <c r="R316"/>
  <c r="Q316"/>
  <c r="R315"/>
  <c r="Q315"/>
  <c r="R314"/>
  <c r="Q314"/>
  <c r="R313"/>
  <c r="Q313"/>
  <c r="R312"/>
  <c r="Q312"/>
  <c r="R311"/>
  <c r="Q311"/>
  <c r="R310"/>
  <c r="Q310"/>
  <c r="R309"/>
  <c r="Q309"/>
  <c r="R308"/>
  <c r="Q308"/>
  <c r="R307"/>
  <c r="Q307"/>
  <c r="R306"/>
  <c r="Q306"/>
  <c r="R305"/>
  <c r="Q305"/>
  <c r="R304"/>
  <c r="Q304"/>
  <c r="R303"/>
  <c r="Q303"/>
  <c r="R302"/>
  <c r="Q302"/>
  <c r="R301"/>
  <c r="Q301"/>
  <c r="R300"/>
  <c r="Q300"/>
  <c r="R299"/>
  <c r="Q299"/>
  <c r="R298"/>
  <c r="Q298"/>
  <c r="R297"/>
  <c r="Q297"/>
  <c r="R296"/>
  <c r="Q296"/>
  <c r="R295"/>
  <c r="Q295"/>
  <c r="R294"/>
  <c r="Q294"/>
  <c r="R293"/>
  <c r="Q293"/>
  <c r="R292"/>
  <c r="Q292"/>
  <c r="R291"/>
  <c r="Q291"/>
  <c r="R290"/>
  <c r="Q290"/>
  <c r="R289"/>
  <c r="Q289"/>
  <c r="R288"/>
  <c r="Q288"/>
  <c r="R287"/>
  <c r="Q287"/>
  <c r="R286"/>
  <c r="Q286"/>
  <c r="R285"/>
  <c r="Q285"/>
  <c r="R284"/>
  <c r="Q284"/>
  <c r="R283"/>
  <c r="Q283"/>
  <c r="R282"/>
  <c r="Q282"/>
  <c r="R281"/>
  <c r="Q281"/>
  <c r="R280"/>
  <c r="Q280"/>
  <c r="R279"/>
  <c r="Q279"/>
  <c r="R278"/>
  <c r="Q278"/>
  <c r="R277"/>
  <c r="Q277"/>
  <c r="R276"/>
  <c r="Q276"/>
  <c r="R275"/>
  <c r="Q275"/>
  <c r="R274"/>
  <c r="Q274"/>
  <c r="R273"/>
  <c r="Q273"/>
  <c r="R272"/>
  <c r="Q272"/>
  <c r="R271"/>
  <c r="Q271"/>
  <c r="R270"/>
  <c r="Q270"/>
  <c r="R269"/>
  <c r="Q269"/>
  <c r="R268"/>
  <c r="Q268"/>
  <c r="R267"/>
  <c r="Q267"/>
  <c r="R266"/>
  <c r="Q266"/>
  <c r="R265"/>
  <c r="Q265"/>
  <c r="R264"/>
  <c r="Q264"/>
  <c r="R263"/>
  <c r="Q263"/>
  <c r="R262"/>
  <c r="Q262"/>
  <c r="R261"/>
  <c r="Q261"/>
  <c r="R260"/>
  <c r="Q260"/>
  <c r="R259"/>
  <c r="Q259"/>
  <c r="R258"/>
  <c r="Q258"/>
  <c r="R257"/>
  <c r="Q257"/>
  <c r="R256"/>
  <c r="Q256"/>
  <c r="R255"/>
  <c r="Q255"/>
  <c r="R254"/>
  <c r="Q254"/>
  <c r="R253"/>
  <c r="Q253"/>
  <c r="R252"/>
  <c r="Q252"/>
  <c r="R251"/>
  <c r="Q251"/>
  <c r="R250"/>
  <c r="Q250"/>
  <c r="R249"/>
  <c r="Q249"/>
  <c r="R248"/>
  <c r="Q248"/>
  <c r="R247"/>
  <c r="Q247"/>
  <c r="R246"/>
  <c r="Q246"/>
  <c r="R245"/>
  <c r="Q245"/>
  <c r="R244"/>
  <c r="Q244"/>
  <c r="R243"/>
  <c r="Q243"/>
  <c r="R242"/>
  <c r="Q242"/>
  <c r="R241"/>
  <c r="Q241"/>
  <c r="R240"/>
  <c r="Q240"/>
  <c r="R239"/>
  <c r="Q239"/>
  <c r="R238"/>
  <c r="Q238"/>
  <c r="R237"/>
  <c r="Q237"/>
  <c r="R236"/>
  <c r="Q236"/>
  <c r="R235"/>
  <c r="Q235"/>
  <c r="R234"/>
  <c r="Q234"/>
  <c r="R233"/>
  <c r="Q233"/>
  <c r="R232"/>
  <c r="Q232"/>
  <c r="R231"/>
  <c r="Q231"/>
  <c r="R230"/>
  <c r="Q230"/>
  <c r="R229"/>
  <c r="Q229"/>
  <c r="R228"/>
  <c r="Q228"/>
  <c r="R227"/>
  <c r="Q227"/>
  <c r="R226"/>
  <c r="Q226"/>
  <c r="R225"/>
  <c r="Q225"/>
  <c r="R224"/>
  <c r="Q224"/>
  <c r="R223"/>
  <c r="Q223"/>
  <c r="R222"/>
  <c r="Q222"/>
  <c r="R221"/>
  <c r="Q221"/>
  <c r="R220"/>
  <c r="Q220"/>
  <c r="R219"/>
  <c r="Q219"/>
  <c r="R218"/>
  <c r="Q218"/>
  <c r="R217"/>
  <c r="Q217"/>
  <c r="R216"/>
  <c r="Q216"/>
  <c r="R215"/>
  <c r="Q215"/>
  <c r="R214"/>
  <c r="Q214"/>
  <c r="R213"/>
  <c r="Q213"/>
  <c r="R212"/>
  <c r="Q212"/>
  <c r="R211"/>
  <c r="Q211"/>
  <c r="R210"/>
  <c r="Q210"/>
  <c r="R209"/>
  <c r="Q209"/>
  <c r="R208"/>
  <c r="Q208"/>
  <c r="R207"/>
  <c r="Q207"/>
  <c r="R206"/>
  <c r="Q206"/>
  <c r="R205"/>
  <c r="Q205"/>
  <c r="R204"/>
  <c r="Q204"/>
  <c r="R203"/>
  <c r="Q203"/>
  <c r="R202"/>
  <c r="Q202"/>
  <c r="R201"/>
  <c r="Q201"/>
  <c r="R200"/>
  <c r="Q200"/>
  <c r="R199"/>
  <c r="Q199"/>
  <c r="R198"/>
  <c r="Q198"/>
  <c r="R197"/>
  <c r="Q197"/>
  <c r="R196"/>
  <c r="Q196"/>
  <c r="R195"/>
  <c r="Q195"/>
  <c r="R194"/>
  <c r="Q194"/>
  <c r="R193"/>
  <c r="Q193"/>
  <c r="R192"/>
  <c r="Q192"/>
  <c r="R191"/>
  <c r="Q191"/>
  <c r="R190"/>
  <c r="Q190"/>
  <c r="R189"/>
  <c r="Q189"/>
  <c r="R188"/>
  <c r="Q188"/>
  <c r="R187"/>
  <c r="Q187"/>
  <c r="R186"/>
  <c r="Q186"/>
  <c r="R185"/>
  <c r="Q185"/>
  <c r="R184"/>
  <c r="Q184"/>
  <c r="R183"/>
  <c r="Q183"/>
  <c r="R182"/>
  <c r="Q182"/>
  <c r="R181"/>
  <c r="Q181"/>
  <c r="R180"/>
  <c r="Q180"/>
  <c r="R179"/>
  <c r="Q179"/>
  <c r="R178"/>
  <c r="Q178"/>
  <c r="R177"/>
  <c r="Q177"/>
  <c r="R176"/>
  <c r="Q176"/>
  <c r="R175"/>
  <c r="Q175"/>
  <c r="R174"/>
  <c r="Q174"/>
  <c r="R173"/>
  <c r="Q173"/>
  <c r="R172"/>
  <c r="Q172"/>
  <c r="R171"/>
  <c r="Q171"/>
  <c r="R170"/>
  <c r="Q170"/>
  <c r="R169"/>
  <c r="Q169"/>
  <c r="R168"/>
  <c r="Q168"/>
  <c r="R167"/>
  <c r="Q167"/>
  <c r="R166"/>
  <c r="Q166"/>
  <c r="R165"/>
  <c r="Q165"/>
  <c r="R164"/>
  <c r="Q164"/>
  <c r="R163"/>
  <c r="Q163"/>
  <c r="R162"/>
  <c r="Q162"/>
  <c r="R161"/>
  <c r="Q161"/>
  <c r="R160"/>
  <c r="Q160"/>
  <c r="R159"/>
  <c r="Q159"/>
  <c r="R158"/>
  <c r="Q158"/>
  <c r="R157"/>
  <c r="Q157"/>
  <c r="R156"/>
  <c r="Q156"/>
  <c r="R155"/>
  <c r="Q155"/>
  <c r="R154"/>
  <c r="Q154"/>
  <c r="R153"/>
  <c r="Q153"/>
  <c r="R152"/>
  <c r="Q152"/>
  <c r="R151"/>
  <c r="Q151"/>
  <c r="R150"/>
  <c r="Q150"/>
  <c r="R149"/>
  <c r="Q149"/>
  <c r="R148"/>
  <c r="Q148"/>
  <c r="R147"/>
  <c r="Q147"/>
  <c r="R146"/>
  <c r="Q146"/>
  <c r="R145"/>
  <c r="Q145"/>
  <c r="R144"/>
  <c r="Q144"/>
  <c r="R143"/>
  <c r="Q143"/>
  <c r="R142"/>
  <c r="Q142"/>
  <c r="R141"/>
  <c r="Q141"/>
  <c r="R140"/>
  <c r="Q140"/>
  <c r="R139"/>
  <c r="Q139"/>
  <c r="R138"/>
  <c r="Q138"/>
  <c r="R137"/>
  <c r="Q137"/>
  <c r="R136"/>
  <c r="Q136"/>
  <c r="R135"/>
  <c r="Q135"/>
  <c r="R134"/>
  <c r="Q134"/>
  <c r="R133"/>
  <c r="Q133"/>
  <c r="R132"/>
  <c r="Q132"/>
  <c r="R131"/>
  <c r="Q131"/>
  <c r="R130"/>
  <c r="Q130"/>
  <c r="R129"/>
  <c r="Q129"/>
  <c r="R128"/>
  <c r="Q128"/>
  <c r="R127"/>
  <c r="Q127"/>
  <c r="R126"/>
  <c r="Q126"/>
  <c r="R125"/>
  <c r="Q125"/>
  <c r="R124"/>
  <c r="Q124"/>
  <c r="R123"/>
  <c r="Q123"/>
  <c r="R122"/>
  <c r="Q122"/>
  <c r="R121"/>
  <c r="Q121"/>
  <c r="R120"/>
  <c r="Q120"/>
  <c r="R119"/>
  <c r="Q119"/>
  <c r="R118"/>
  <c r="Q118"/>
  <c r="R117"/>
  <c r="Q117"/>
  <c r="R116"/>
  <c r="Q116"/>
  <c r="R115"/>
  <c r="Q115"/>
  <c r="R114"/>
  <c r="Q114"/>
  <c r="R113"/>
  <c r="Q113"/>
  <c r="R112"/>
  <c r="Q112"/>
  <c r="R111"/>
  <c r="Q111"/>
  <c r="R110"/>
  <c r="Q110"/>
  <c r="R109"/>
  <c r="Q109"/>
  <c r="R108"/>
  <c r="Q108"/>
  <c r="R107"/>
  <c r="Q107"/>
  <c r="R106"/>
  <c r="Q106"/>
  <c r="R105"/>
  <c r="Q105"/>
  <c r="R104"/>
  <c r="Q104"/>
  <c r="R103"/>
  <c r="Q103"/>
  <c r="R102"/>
  <c r="Q102"/>
  <c r="R101"/>
  <c r="Q101"/>
  <c r="R100"/>
  <c r="Q100"/>
  <c r="R99"/>
  <c r="Q99"/>
  <c r="R98"/>
  <c r="Q98"/>
  <c r="R97"/>
  <c r="Q97"/>
  <c r="R96"/>
  <c r="Q96"/>
  <c r="R95"/>
  <c r="Q95"/>
  <c r="R94"/>
  <c r="Q94"/>
  <c r="R93"/>
  <c r="Q93"/>
  <c r="R92"/>
  <c r="Q92"/>
  <c r="R91"/>
  <c r="Q91"/>
  <c r="R90"/>
  <c r="Q90"/>
  <c r="R89"/>
  <c r="Q89"/>
  <c r="R88"/>
  <c r="Q88"/>
  <c r="R87"/>
  <c r="Q87"/>
  <c r="R86"/>
  <c r="Q86"/>
  <c r="R85"/>
  <c r="Q85"/>
  <c r="R84"/>
  <c r="Q84"/>
  <c r="R83"/>
  <c r="Q83"/>
  <c r="R82"/>
  <c r="Q82"/>
  <c r="R81"/>
  <c r="Q81"/>
  <c r="R80"/>
  <c r="Q80"/>
  <c r="R79"/>
  <c r="Q79"/>
  <c r="R78"/>
  <c r="Q78"/>
  <c r="R77"/>
  <c r="Q77"/>
  <c r="R76"/>
  <c r="Q76"/>
  <c r="R75"/>
  <c r="Q75"/>
  <c r="R74"/>
  <c r="Q74"/>
  <c r="R73"/>
  <c r="Q73"/>
  <c r="R72"/>
  <c r="Q72"/>
  <c r="R71"/>
  <c r="Q71"/>
  <c r="R70"/>
  <c r="Q70"/>
  <c r="R69"/>
  <c r="Q69"/>
  <c r="R68"/>
  <c r="Q68"/>
  <c r="R67"/>
  <c r="Q67"/>
  <c r="R66"/>
  <c r="Q66"/>
  <c r="R65"/>
  <c r="Q65"/>
  <c r="R64"/>
  <c r="Q64"/>
  <c r="R63"/>
  <c r="Q63"/>
  <c r="R62"/>
  <c r="Q62"/>
  <c r="R61"/>
  <c r="Q61"/>
  <c r="R60"/>
  <c r="Q60"/>
  <c r="R59"/>
  <c r="Q59"/>
  <c r="R58"/>
  <c r="Q58"/>
  <c r="R57"/>
  <c r="Q57"/>
  <c r="R56"/>
  <c r="Q56"/>
  <c r="R55"/>
  <c r="Q55"/>
  <c r="R54"/>
  <c r="Q54"/>
  <c r="R53"/>
  <c r="Q53"/>
  <c r="R52"/>
  <c r="Q52"/>
  <c r="R51"/>
  <c r="Q51"/>
  <c r="R50"/>
  <c r="Q50"/>
  <c r="R49"/>
  <c r="Q49"/>
  <c r="R48"/>
  <c r="Q48"/>
  <c r="R47"/>
  <c r="Q47"/>
  <c r="R46"/>
  <c r="Q46"/>
  <c r="R45"/>
  <c r="Q45"/>
  <c r="R44"/>
  <c r="Q44"/>
  <c r="R43"/>
  <c r="Q43"/>
  <c r="R42"/>
  <c r="Q42"/>
  <c r="R41"/>
  <c r="Q41"/>
  <c r="R40"/>
  <c r="Q40"/>
  <c r="R39"/>
  <c r="Q39"/>
  <c r="R38"/>
  <c r="Q38"/>
  <c r="R37"/>
  <c r="Q37"/>
  <c r="R36"/>
  <c r="Q36"/>
  <c r="R35"/>
  <c r="Q35"/>
  <c r="R34"/>
  <c r="Q34"/>
  <c r="R33"/>
  <c r="Q33"/>
  <c r="R32"/>
  <c r="Q32"/>
  <c r="R31"/>
  <c r="Q31"/>
  <c r="R30"/>
  <c r="Q30"/>
  <c r="R29"/>
  <c r="Q29"/>
  <c r="R28"/>
  <c r="Q28"/>
  <c r="R27"/>
  <c r="Q27"/>
  <c r="R26"/>
  <c r="Q26"/>
  <c r="R25"/>
  <c r="Q25"/>
  <c r="R24"/>
  <c r="Q24"/>
  <c r="R23"/>
  <c r="Q23"/>
  <c r="R22"/>
  <c r="Q22"/>
  <c r="R21"/>
  <c r="Q21"/>
  <c r="R20"/>
  <c r="Q20"/>
  <c r="R19"/>
  <c r="Q19"/>
  <c r="R18"/>
  <c r="Q18"/>
  <c r="R17"/>
  <c r="Q17"/>
  <c r="R16"/>
  <c r="Q16"/>
  <c r="R15"/>
  <c r="Q15"/>
  <c r="R14"/>
  <c r="Q14"/>
  <c r="R13"/>
  <c r="Q13"/>
  <c r="R12"/>
  <c r="Q12"/>
  <c r="R11"/>
  <c r="Q11"/>
  <c r="R10"/>
  <c r="Q10"/>
  <c r="R9"/>
  <c r="Q9"/>
  <c r="R8"/>
  <c r="Q8"/>
  <c r="R7"/>
  <c r="Q7"/>
  <c r="R6"/>
  <c r="Q6"/>
  <c r="R5"/>
  <c r="Q5"/>
  <c r="G29" i="7"/>
  <c r="J138" i="4"/>
  <c r="AM41" i="5" l="1"/>
  <c r="AM42"/>
  <c r="D42"/>
  <c r="F42"/>
  <c r="H42"/>
  <c r="J42"/>
  <c r="L42"/>
  <c r="N42"/>
  <c r="P42"/>
  <c r="R42"/>
  <c r="T42"/>
  <c r="V42"/>
  <c r="X42"/>
  <c r="Z42"/>
  <c r="AB42"/>
  <c r="AD42"/>
  <c r="AF42"/>
  <c r="AH42"/>
  <c r="AJ42"/>
  <c r="AL42"/>
  <c r="D41"/>
  <c r="F41"/>
  <c r="H41"/>
  <c r="J41"/>
  <c r="L41"/>
  <c r="N41"/>
  <c r="P41"/>
  <c r="R41"/>
  <c r="T41"/>
  <c r="V41"/>
  <c r="X41"/>
  <c r="Z41"/>
  <c r="AB41"/>
  <c r="AD41"/>
  <c r="AF41"/>
  <c r="AH41"/>
  <c r="AJ41"/>
  <c r="AL41"/>
  <c r="E42"/>
  <c r="G42"/>
  <c r="I42"/>
  <c r="K42"/>
  <c r="M42"/>
  <c r="O42"/>
  <c r="Q42"/>
  <c r="S42"/>
  <c r="U42"/>
  <c r="W42"/>
  <c r="Y42"/>
  <c r="AA42"/>
  <c r="AC42"/>
  <c r="AE42"/>
  <c r="AG42"/>
  <c r="AI42"/>
  <c r="AK42"/>
  <c r="E41"/>
  <c r="G41"/>
  <c r="I41"/>
  <c r="K41"/>
  <c r="M41"/>
  <c r="O41"/>
  <c r="Q41"/>
  <c r="S41"/>
  <c r="U41"/>
  <c r="W41"/>
  <c r="Y41"/>
  <c r="AA41"/>
  <c r="AC41"/>
  <c r="AE41"/>
  <c r="AG41"/>
  <c r="AI41"/>
  <c r="AK41"/>
  <c r="J135" i="4"/>
  <c r="J137"/>
  <c r="J139"/>
  <c r="J176"/>
  <c r="J175"/>
  <c r="J174"/>
  <c r="J173"/>
  <c r="J172"/>
  <c r="J171"/>
  <c r="J170"/>
  <c r="J169"/>
  <c r="J168"/>
  <c r="J167"/>
  <c r="J166"/>
  <c r="J144"/>
  <c r="J143"/>
  <c r="J142"/>
  <c r="J141"/>
  <c r="J164"/>
  <c r="J163"/>
  <c r="J162"/>
  <c r="J161"/>
  <c r="J159"/>
  <c r="J154"/>
  <c r="J153"/>
  <c r="J152"/>
  <c r="J149"/>
  <c r="J148"/>
  <c r="J147"/>
  <c r="J146"/>
  <c r="J120"/>
  <c r="J119"/>
  <c r="J118"/>
  <c r="J115"/>
  <c r="J114"/>
  <c r="J113"/>
  <c r="J112"/>
  <c r="J111"/>
  <c r="J110"/>
  <c r="J108"/>
  <c r="J107"/>
  <c r="J106"/>
  <c r="J105"/>
  <c r="J104"/>
  <c r="J103"/>
  <c r="J102"/>
  <c r="J101"/>
  <c r="J100"/>
  <c r="J99"/>
  <c r="J98"/>
  <c r="J97"/>
  <c r="J96"/>
  <c r="J95"/>
  <c r="J94"/>
  <c r="J93"/>
  <c r="J92"/>
  <c r="J91"/>
  <c r="J90"/>
  <c r="J88"/>
  <c r="J60"/>
  <c r="J59"/>
  <c r="J58"/>
  <c r="J57"/>
  <c r="J56"/>
  <c r="J55"/>
  <c r="J54"/>
  <c r="J53"/>
  <c r="J52"/>
  <c r="J51"/>
  <c r="J50"/>
  <c r="J49"/>
  <c r="J48"/>
  <c r="J47"/>
  <c r="J46"/>
  <c r="J45"/>
  <c r="J44"/>
  <c r="J43"/>
  <c r="J42"/>
  <c r="J41"/>
  <c r="J40"/>
  <c r="J39"/>
  <c r="J38"/>
  <c r="J37"/>
  <c r="J36"/>
  <c r="J35"/>
  <c r="J34"/>
  <c r="J33"/>
  <c r="J32"/>
  <c r="J31"/>
  <c r="J30"/>
  <c r="J29"/>
  <c r="J28"/>
  <c r="J27"/>
  <c r="J26"/>
  <c r="J25"/>
  <c r="J19"/>
  <c r="J18"/>
  <c r="J17"/>
  <c r="J16"/>
  <c r="J15"/>
  <c r="J14"/>
  <c r="J13"/>
  <c r="J12"/>
  <c r="J11"/>
  <c r="J10"/>
  <c r="J4"/>
  <c r="J5"/>
  <c r="J6"/>
  <c r="J7"/>
  <c r="J136" l="1"/>
  <c r="I137"/>
  <c r="I138"/>
  <c r="I139"/>
  <c r="I141"/>
  <c r="I142"/>
  <c r="I143"/>
  <c r="I144"/>
  <c r="I135"/>
  <c r="D21" i="21"/>
  <c r="D140" i="4" s="1"/>
  <c r="I140" s="1"/>
  <c r="J140" s="1"/>
  <c r="K22" i="2"/>
  <c r="L22" s="1"/>
  <c r="K23"/>
  <c r="L23" s="1"/>
  <c r="K24"/>
  <c r="L24" s="1"/>
  <c r="K25"/>
  <c r="L25" s="1"/>
  <c r="K26"/>
  <c r="L26" s="1"/>
  <c r="K27"/>
  <c r="L27" s="1"/>
  <c r="K28"/>
  <c r="L28" s="1"/>
  <c r="K29"/>
  <c r="L29" s="1"/>
  <c r="K30"/>
  <c r="L30" s="1"/>
  <c r="K31"/>
  <c r="L31" s="1"/>
  <c r="I167" i="4"/>
  <c r="I168"/>
  <c r="I169"/>
  <c r="I170"/>
  <c r="I171"/>
  <c r="I172"/>
  <c r="I173"/>
  <c r="I174"/>
  <c r="I175"/>
  <c r="I176"/>
  <c r="I166"/>
  <c r="N29" i="2" l="1"/>
  <c r="O29" s="1"/>
  <c r="P29" s="1"/>
  <c r="Q29" s="1"/>
  <c r="N27"/>
  <c r="O27" s="1"/>
  <c r="P27" s="1"/>
  <c r="Q27" s="1"/>
  <c r="N25"/>
  <c r="O25" s="1"/>
  <c r="P25" s="1"/>
  <c r="Q25" s="1"/>
  <c r="N23"/>
  <c r="O23" s="1"/>
  <c r="P23" s="1"/>
  <c r="Q23" s="1"/>
  <c r="N30"/>
  <c r="O30" s="1"/>
  <c r="P30" s="1"/>
  <c r="Q30" s="1"/>
  <c r="N28"/>
  <c r="O28" s="1"/>
  <c r="P28" s="1"/>
  <c r="Q28" s="1"/>
  <c r="N26"/>
  <c r="O26" s="1"/>
  <c r="P26" s="1"/>
  <c r="Q26" s="1"/>
  <c r="N24"/>
  <c r="O24" s="1"/>
  <c r="P24" s="1"/>
  <c r="Q24" s="1"/>
  <c r="N22"/>
  <c r="O22" s="1"/>
  <c r="P22" s="1"/>
  <c r="Q22" s="1"/>
  <c r="I164" i="4"/>
  <c r="I163"/>
  <c r="I162"/>
  <c r="I161"/>
  <c r="I159"/>
  <c r="I158"/>
  <c r="J158" s="1"/>
  <c r="I157"/>
  <c r="J157" s="1"/>
  <c r="I156"/>
  <c r="J156" s="1"/>
  <c r="I154"/>
  <c r="I153"/>
  <c r="I152"/>
  <c r="I151"/>
  <c r="J151" s="1"/>
  <c r="I149"/>
  <c r="I148"/>
  <c r="I147"/>
  <c r="I146"/>
  <c r="I127"/>
  <c r="J127" s="1"/>
  <c r="I126"/>
  <c r="J126" s="1"/>
  <c r="I125"/>
  <c r="J125" s="1"/>
  <c r="I123"/>
  <c r="J123" s="1"/>
  <c r="I122"/>
  <c r="J122" s="1"/>
  <c r="I120"/>
  <c r="I119"/>
  <c r="I118"/>
  <c r="I117"/>
  <c r="J117" s="1"/>
  <c r="I115"/>
  <c r="I114"/>
  <c r="I113"/>
  <c r="I112"/>
  <c r="I111"/>
  <c r="I110"/>
  <c r="I108"/>
  <c r="I107"/>
  <c r="I106"/>
  <c r="I105"/>
  <c r="I104"/>
  <c r="I103"/>
  <c r="I102"/>
  <c r="I101"/>
  <c r="I100"/>
  <c r="I99"/>
  <c r="I98"/>
  <c r="I97"/>
  <c r="I96"/>
  <c r="I95"/>
  <c r="I94"/>
  <c r="I93"/>
  <c r="I92"/>
  <c r="I91"/>
  <c r="I90"/>
  <c r="I89"/>
  <c r="J89" s="1"/>
  <c r="I88"/>
  <c r="I87"/>
  <c r="J87" s="1"/>
  <c r="I86"/>
  <c r="J86" s="1"/>
  <c r="I85"/>
  <c r="J85" s="1"/>
  <c r="I84"/>
  <c r="J84" s="1"/>
  <c r="I83"/>
  <c r="J83" s="1"/>
  <c r="I82"/>
  <c r="J82" s="1"/>
  <c r="I81"/>
  <c r="J81" s="1"/>
  <c r="I80"/>
  <c r="J80" s="1"/>
  <c r="I79"/>
  <c r="J79" s="1"/>
  <c r="I78"/>
  <c r="J78" s="1"/>
  <c r="I77"/>
  <c r="J77" s="1"/>
  <c r="I76"/>
  <c r="J76" s="1"/>
  <c r="I75"/>
  <c r="J75" s="1"/>
  <c r="I74"/>
  <c r="J74" s="1"/>
  <c r="I73"/>
  <c r="J73" s="1"/>
  <c r="I72"/>
  <c r="J72" s="1"/>
  <c r="I60"/>
  <c r="I59"/>
  <c r="I58"/>
  <c r="I57"/>
  <c r="I56"/>
  <c r="I55"/>
  <c r="I54"/>
  <c r="I53"/>
  <c r="I52"/>
  <c r="I51"/>
  <c r="I50"/>
  <c r="I49"/>
  <c r="I48"/>
  <c r="I47"/>
  <c r="I46"/>
  <c r="I45"/>
  <c r="I44"/>
  <c r="I43"/>
  <c r="I42"/>
  <c r="I41"/>
  <c r="I40"/>
  <c r="I39"/>
  <c r="I38"/>
  <c r="I37"/>
  <c r="I36"/>
  <c r="I35"/>
  <c r="I34"/>
  <c r="I33"/>
  <c r="I32"/>
  <c r="I31"/>
  <c r="I30"/>
  <c r="I29"/>
  <c r="I28"/>
  <c r="I27"/>
  <c r="I26"/>
  <c r="I25"/>
  <c r="I24"/>
  <c r="J24" s="1"/>
  <c r="I23"/>
  <c r="J23" s="1"/>
  <c r="I22"/>
  <c r="J22" s="1"/>
  <c r="I21"/>
  <c r="J21" s="1"/>
  <c r="I19"/>
  <c r="I18"/>
  <c r="I17"/>
  <c r="I16"/>
  <c r="I15"/>
  <c r="I14"/>
  <c r="I13"/>
  <c r="I12"/>
  <c r="I11"/>
  <c r="I10"/>
  <c r="I9"/>
  <c r="J9" s="1"/>
  <c r="I4"/>
  <c r="I5"/>
  <c r="I6"/>
  <c r="I7"/>
  <c r="I3"/>
  <c r="J3" s="1"/>
  <c r="B23" i="5"/>
  <c r="B24"/>
  <c r="B25"/>
  <c r="B26"/>
  <c r="B27"/>
  <c r="J8" i="4" l="1"/>
  <c r="G28" i="7" l="1"/>
  <c r="G27"/>
  <c r="J177" i="4"/>
  <c r="E36" i="7" s="1"/>
  <c r="V164" i="4"/>
  <c r="U164"/>
  <c r="T164"/>
  <c r="O164"/>
  <c r="V162"/>
  <c r="U162"/>
  <c r="T162"/>
  <c r="O162"/>
  <c r="V161"/>
  <c r="U161"/>
  <c r="T161"/>
  <c r="O161"/>
  <c r="J165"/>
  <c r="E35" i="7" s="1"/>
  <c r="V159" i="4"/>
  <c r="U159"/>
  <c r="T159"/>
  <c r="O159"/>
  <c r="V157"/>
  <c r="U157"/>
  <c r="T157"/>
  <c r="O157"/>
  <c r="V156"/>
  <c r="U156"/>
  <c r="T156"/>
  <c r="O156"/>
  <c r="J160"/>
  <c r="E34" i="7" s="1"/>
  <c r="V154" i="4"/>
  <c r="U154"/>
  <c r="T154"/>
  <c r="O154"/>
  <c r="V152"/>
  <c r="U152"/>
  <c r="T152"/>
  <c r="O152"/>
  <c r="V151"/>
  <c r="U151"/>
  <c r="T151"/>
  <c r="O151"/>
  <c r="J155"/>
  <c r="E33" i="7" s="1"/>
  <c r="V149" i="4"/>
  <c r="U149"/>
  <c r="T149"/>
  <c r="O149"/>
  <c r="V147"/>
  <c r="U147"/>
  <c r="T147"/>
  <c r="O147"/>
  <c r="V146"/>
  <c r="U146"/>
  <c r="T146"/>
  <c r="O146"/>
  <c r="J150"/>
  <c r="E32" i="7" s="1"/>
  <c r="V120" i="4"/>
  <c r="U120"/>
  <c r="T120"/>
  <c r="O120"/>
  <c r="V118"/>
  <c r="U118"/>
  <c r="T118"/>
  <c r="O118"/>
  <c r="V117"/>
  <c r="U117"/>
  <c r="T117"/>
  <c r="O117"/>
  <c r="G26" i="7"/>
  <c r="G25"/>
  <c r="G21" i="21"/>
  <c r="E22"/>
  <c r="F22"/>
  <c r="E6" i="7" s="1"/>
  <c r="B22" i="21"/>
  <c r="B22" i="5"/>
  <c r="B21"/>
  <c r="B20"/>
  <c r="B19"/>
  <c r="B18"/>
  <c r="B17"/>
  <c r="B16"/>
  <c r="B15"/>
  <c r="B14"/>
  <c r="B13"/>
  <c r="B12"/>
  <c r="B11"/>
  <c r="B10"/>
  <c r="B9"/>
  <c r="C13" i="19" l="1"/>
  <c r="E5" i="7"/>
  <c r="J121" i="4"/>
  <c r="E14" i="7" s="1"/>
  <c r="C11" i="19" l="1"/>
  <c r="C5"/>
  <c r="C4"/>
  <c r="E28" i="7"/>
  <c r="E27"/>
  <c r="E26"/>
  <c r="E25"/>
  <c r="D8" i="21" l="1"/>
  <c r="G8" s="1"/>
  <c r="D9"/>
  <c r="G9" s="1"/>
  <c r="D10"/>
  <c r="G10" s="1"/>
  <c r="D11"/>
  <c r="G11" s="1"/>
  <c r="D12"/>
  <c r="G12" s="1"/>
  <c r="D13"/>
  <c r="G13" s="1"/>
  <c r="D19"/>
  <c r="G19" s="1"/>
  <c r="D18"/>
  <c r="G18" s="1"/>
  <c r="D17"/>
  <c r="G17" s="1"/>
  <c r="D16"/>
  <c r="G16" s="1"/>
  <c r="D15"/>
  <c r="G15" s="1"/>
  <c r="D14"/>
  <c r="G14" s="1"/>
  <c r="C45" i="5"/>
  <c r="C63" i="4"/>
  <c r="C64"/>
  <c r="D64" s="1"/>
  <c r="J64" s="1"/>
  <c r="C65"/>
  <c r="D65" s="1"/>
  <c r="J65" s="1"/>
  <c r="J66"/>
  <c r="C62"/>
  <c r="N6" i="3"/>
  <c r="N7"/>
  <c r="D68" i="4" s="1"/>
  <c r="N8" i="3"/>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5"/>
  <c r="J6"/>
  <c r="J7"/>
  <c r="J8"/>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5"/>
  <c r="E8" i="7"/>
  <c r="C16" i="19" s="1"/>
  <c r="J20" i="4"/>
  <c r="E9" i="7" s="1"/>
  <c r="C17" i="19" s="1"/>
  <c r="E28" i="5" l="1"/>
  <c r="I28"/>
  <c r="M28"/>
  <c r="Q28"/>
  <c r="U28"/>
  <c r="Y28"/>
  <c r="AC28"/>
  <c r="AG28"/>
  <c r="AK28"/>
  <c r="G29"/>
  <c r="K29"/>
  <c r="O29"/>
  <c r="S29"/>
  <c r="W29"/>
  <c r="AA29"/>
  <c r="AE29"/>
  <c r="AI29"/>
  <c r="AM29"/>
  <c r="E30"/>
  <c r="I30"/>
  <c r="M30"/>
  <c r="Q30"/>
  <c r="U30"/>
  <c r="Y30"/>
  <c r="AC30"/>
  <c r="AG30"/>
  <c r="AK30"/>
  <c r="G31"/>
  <c r="K31"/>
  <c r="O31"/>
  <c r="S31"/>
  <c r="W31"/>
  <c r="AA31"/>
  <c r="AE31"/>
  <c r="AI31"/>
  <c r="AM31"/>
  <c r="E32"/>
  <c r="I32"/>
  <c r="M32"/>
  <c r="Q32"/>
  <c r="U32"/>
  <c r="Y32"/>
  <c r="AC32"/>
  <c r="AG32"/>
  <c r="AK32"/>
  <c r="G33"/>
  <c r="K33"/>
  <c r="O33"/>
  <c r="S33"/>
  <c r="W33"/>
  <c r="AA33"/>
  <c r="AE33"/>
  <c r="AI33"/>
  <c r="AM33"/>
  <c r="E34"/>
  <c r="I34"/>
  <c r="M34"/>
  <c r="Q34"/>
  <c r="U34"/>
  <c r="Y34"/>
  <c r="AC34"/>
  <c r="AG34"/>
  <c r="AK34"/>
  <c r="G35"/>
  <c r="K35"/>
  <c r="O35"/>
  <c r="S35"/>
  <c r="W35"/>
  <c r="AA35"/>
  <c r="AE35"/>
  <c r="AI35"/>
  <c r="AM35"/>
  <c r="E36"/>
  <c r="I36"/>
  <c r="M36"/>
  <c r="Q36"/>
  <c r="U36"/>
  <c r="Y36"/>
  <c r="AC36"/>
  <c r="AG36"/>
  <c r="AK36"/>
  <c r="G37"/>
  <c r="K37"/>
  <c r="O37"/>
  <c r="S37"/>
  <c r="W37"/>
  <c r="AA37"/>
  <c r="AE37"/>
  <c r="AI37"/>
  <c r="AM37"/>
  <c r="E38"/>
  <c r="I38"/>
  <c r="M38"/>
  <c r="Q38"/>
  <c r="U38"/>
  <c r="Y38"/>
  <c r="AC38"/>
  <c r="AG38"/>
  <c r="AK38"/>
  <c r="G39"/>
  <c r="O39"/>
  <c r="W39"/>
  <c r="AE39"/>
  <c r="AM39"/>
  <c r="G28"/>
  <c r="K28"/>
  <c r="O28"/>
  <c r="S28"/>
  <c r="W28"/>
  <c r="AA28"/>
  <c r="AE28"/>
  <c r="AI28"/>
  <c r="AM28"/>
  <c r="E29"/>
  <c r="I29"/>
  <c r="M29"/>
  <c r="Q29"/>
  <c r="U29"/>
  <c r="Y29"/>
  <c r="AC29"/>
  <c r="AG29"/>
  <c r="AK29"/>
  <c r="G30"/>
  <c r="K30"/>
  <c r="O30"/>
  <c r="S30"/>
  <c r="W30"/>
  <c r="AA30"/>
  <c r="AE30"/>
  <c r="AI30"/>
  <c r="AM30"/>
  <c r="E31"/>
  <c r="I31"/>
  <c r="M31"/>
  <c r="Q31"/>
  <c r="U31"/>
  <c r="Y31"/>
  <c r="AC31"/>
  <c r="AG31"/>
  <c r="AK31"/>
  <c r="G32"/>
  <c r="K32"/>
  <c r="O32"/>
  <c r="S32"/>
  <c r="W32"/>
  <c r="AA32"/>
  <c r="AE32"/>
  <c r="AI32"/>
  <c r="AM32"/>
  <c r="E33"/>
  <c r="I33"/>
  <c r="M33"/>
  <c r="Q33"/>
  <c r="U33"/>
  <c r="Y33"/>
  <c r="AC33"/>
  <c r="AG33"/>
  <c r="AK33"/>
  <c r="G34"/>
  <c r="K34"/>
  <c r="O34"/>
  <c r="S34"/>
  <c r="W34"/>
  <c r="AA34"/>
  <c r="AE34"/>
  <c r="AI34"/>
  <c r="AM34"/>
  <c r="E35"/>
  <c r="I35"/>
  <c r="M35"/>
  <c r="Q35"/>
  <c r="U35"/>
  <c r="Y35"/>
  <c r="AC35"/>
  <c r="AG35"/>
  <c r="AK35"/>
  <c r="G36"/>
  <c r="K36"/>
  <c r="O36"/>
  <c r="S36"/>
  <c r="W36"/>
  <c r="AA36"/>
  <c r="AE36"/>
  <c r="AI36"/>
  <c r="AM36"/>
  <c r="E37"/>
  <c r="I37"/>
  <c r="M37"/>
  <c r="Q37"/>
  <c r="U37"/>
  <c r="Y37"/>
  <c r="AC37"/>
  <c r="AG37"/>
  <c r="AK37"/>
  <c r="G38"/>
  <c r="K38"/>
  <c r="O38"/>
  <c r="S38"/>
  <c r="W38"/>
  <c r="AA38"/>
  <c r="AE38"/>
  <c r="AI38"/>
  <c r="AM38"/>
  <c r="E39"/>
  <c r="I39"/>
  <c r="M39"/>
  <c r="Q39"/>
  <c r="U39"/>
  <c r="Y39"/>
  <c r="AC39"/>
  <c r="AG39"/>
  <c r="AK39"/>
  <c r="K39"/>
  <c r="S39"/>
  <c r="AA39"/>
  <c r="AI39"/>
  <c r="D36"/>
  <c r="D32"/>
  <c r="D28"/>
  <c r="D37"/>
  <c r="D33"/>
  <c r="D29"/>
  <c r="AJ39"/>
  <c r="AF39"/>
  <c r="AB39"/>
  <c r="X39"/>
  <c r="T39"/>
  <c r="P39"/>
  <c r="L39"/>
  <c r="H39"/>
  <c r="AL38"/>
  <c r="AH38"/>
  <c r="AD38"/>
  <c r="Z38"/>
  <c r="V38"/>
  <c r="R38"/>
  <c r="N38"/>
  <c r="J38"/>
  <c r="F38"/>
  <c r="AJ37"/>
  <c r="AF37"/>
  <c r="AB37"/>
  <c r="X37"/>
  <c r="T37"/>
  <c r="P37"/>
  <c r="L37"/>
  <c r="H37"/>
  <c r="AL36"/>
  <c r="AH36"/>
  <c r="AD36"/>
  <c r="Z36"/>
  <c r="V36"/>
  <c r="R36"/>
  <c r="N36"/>
  <c r="J36"/>
  <c r="F36"/>
  <c r="AJ35"/>
  <c r="AF35"/>
  <c r="AB35"/>
  <c r="X35"/>
  <c r="T35"/>
  <c r="P35"/>
  <c r="L35"/>
  <c r="H35"/>
  <c r="AL34"/>
  <c r="AH34"/>
  <c r="AD34"/>
  <c r="Z34"/>
  <c r="V34"/>
  <c r="R34"/>
  <c r="N34"/>
  <c r="J34"/>
  <c r="F34"/>
  <c r="AJ33"/>
  <c r="AF33"/>
  <c r="AB33"/>
  <c r="X33"/>
  <c r="T33"/>
  <c r="P33"/>
  <c r="L33"/>
  <c r="H33"/>
  <c r="AL32"/>
  <c r="AH32"/>
  <c r="AD32"/>
  <c r="Z32"/>
  <c r="V32"/>
  <c r="R32"/>
  <c r="N32"/>
  <c r="J32"/>
  <c r="F32"/>
  <c r="AJ31"/>
  <c r="AF31"/>
  <c r="AB31"/>
  <c r="X31"/>
  <c r="T31"/>
  <c r="P31"/>
  <c r="L31"/>
  <c r="H31"/>
  <c r="AL30"/>
  <c r="AH30"/>
  <c r="AD30"/>
  <c r="Z30"/>
  <c r="V30"/>
  <c r="R30"/>
  <c r="N30"/>
  <c r="J30"/>
  <c r="F30"/>
  <c r="AJ29"/>
  <c r="AF29"/>
  <c r="AB29"/>
  <c r="X29"/>
  <c r="T29"/>
  <c r="P29"/>
  <c r="L29"/>
  <c r="H29"/>
  <c r="AL28"/>
  <c r="AH28"/>
  <c r="AD28"/>
  <c r="Z28"/>
  <c r="V28"/>
  <c r="R28"/>
  <c r="N28"/>
  <c r="F28"/>
  <c r="D38"/>
  <c r="D34"/>
  <c r="D30"/>
  <c r="D39"/>
  <c r="D35"/>
  <c r="D31"/>
  <c r="AL39"/>
  <c r="AH39"/>
  <c r="AD39"/>
  <c r="Z39"/>
  <c r="V39"/>
  <c r="R39"/>
  <c r="N39"/>
  <c r="J39"/>
  <c r="F39"/>
  <c r="AJ38"/>
  <c r="AF38"/>
  <c r="AB38"/>
  <c r="X38"/>
  <c r="T38"/>
  <c r="P38"/>
  <c r="L38"/>
  <c r="H38"/>
  <c r="AL37"/>
  <c r="AH37"/>
  <c r="AD37"/>
  <c r="Z37"/>
  <c r="V37"/>
  <c r="R37"/>
  <c r="N37"/>
  <c r="J37"/>
  <c r="F37"/>
  <c r="AJ36"/>
  <c r="AF36"/>
  <c r="AB36"/>
  <c r="X36"/>
  <c r="T36"/>
  <c r="P36"/>
  <c r="L36"/>
  <c r="H36"/>
  <c r="AL35"/>
  <c r="AH35"/>
  <c r="AD35"/>
  <c r="Z35"/>
  <c r="V35"/>
  <c r="R35"/>
  <c r="N35"/>
  <c r="J35"/>
  <c r="F35"/>
  <c r="AJ34"/>
  <c r="AF34"/>
  <c r="AB34"/>
  <c r="X34"/>
  <c r="T34"/>
  <c r="P34"/>
  <c r="L34"/>
  <c r="H34"/>
  <c r="AL33"/>
  <c r="AH33"/>
  <c r="AD33"/>
  <c r="Z33"/>
  <c r="V33"/>
  <c r="R33"/>
  <c r="N33"/>
  <c r="J33"/>
  <c r="F33"/>
  <c r="AJ32"/>
  <c r="AF32"/>
  <c r="AB32"/>
  <c r="X32"/>
  <c r="T32"/>
  <c r="P32"/>
  <c r="L32"/>
  <c r="H32"/>
  <c r="AL31"/>
  <c r="AH31"/>
  <c r="AD31"/>
  <c r="Z31"/>
  <c r="V31"/>
  <c r="R31"/>
  <c r="N31"/>
  <c r="J31"/>
  <c r="F31"/>
  <c r="AJ30"/>
  <c r="AF30"/>
  <c r="AB30"/>
  <c r="X30"/>
  <c r="T30"/>
  <c r="P30"/>
  <c r="L30"/>
  <c r="H30"/>
  <c r="AL29"/>
  <c r="AH29"/>
  <c r="AD29"/>
  <c r="Z29"/>
  <c r="V29"/>
  <c r="R29"/>
  <c r="N29"/>
  <c r="J29"/>
  <c r="F29"/>
  <c r="AJ28"/>
  <c r="AF28"/>
  <c r="AB28"/>
  <c r="X28"/>
  <c r="T28"/>
  <c r="P28"/>
  <c r="L28"/>
  <c r="H28"/>
  <c r="J28"/>
  <c r="I68" i="4"/>
  <c r="J68" s="1"/>
  <c r="D63"/>
  <c r="D62"/>
  <c r="I65"/>
  <c r="I66"/>
  <c r="I64"/>
  <c r="I70"/>
  <c r="J70" s="1"/>
  <c r="G22" i="21"/>
  <c r="D22"/>
  <c r="K15" i="2"/>
  <c r="L15" s="1"/>
  <c r="K14"/>
  <c r="L14" s="1"/>
  <c r="K13"/>
  <c r="L13" s="1"/>
  <c r="K12"/>
  <c r="L12" s="1"/>
  <c r="K11"/>
  <c r="L11" s="1"/>
  <c r="K21"/>
  <c r="N21" s="1"/>
  <c r="K20"/>
  <c r="N20" s="1"/>
  <c r="O20" s="1"/>
  <c r="AN31" i="5" l="1"/>
  <c r="AN35"/>
  <c r="AN39"/>
  <c r="AN29"/>
  <c r="AN33"/>
  <c r="AN37"/>
  <c r="AN28"/>
  <c r="AN32"/>
  <c r="AN36"/>
  <c r="AN30"/>
  <c r="AN34"/>
  <c r="AN38"/>
  <c r="I63" i="4"/>
  <c r="J63"/>
  <c r="I62"/>
  <c r="J62"/>
  <c r="C22" i="21"/>
  <c r="C12" i="19" s="1"/>
  <c r="C14" s="1"/>
  <c r="E4" i="7"/>
  <c r="E7" s="1"/>
  <c r="L20" i="2"/>
  <c r="N12"/>
  <c r="O12" s="1"/>
  <c r="N14"/>
  <c r="O14" s="1"/>
  <c r="N11"/>
  <c r="O11" s="1"/>
  <c r="N13"/>
  <c r="O13" s="1"/>
  <c r="N15"/>
  <c r="O15" s="1"/>
  <c r="O21"/>
  <c r="P21" s="1"/>
  <c r="Q21" s="1"/>
  <c r="L21"/>
  <c r="P20"/>
  <c r="Q20" s="1"/>
  <c r="K9"/>
  <c r="K7"/>
  <c r="J71" i="4" l="1"/>
  <c r="P15" i="2"/>
  <c r="Q15" s="1"/>
  <c r="P13"/>
  <c r="Q13" s="1"/>
  <c r="P11"/>
  <c r="Q11" s="1"/>
  <c r="P12"/>
  <c r="Q12" s="1"/>
  <c r="P14"/>
  <c r="Q14" s="1"/>
  <c r="A1" i="3" l="1"/>
  <c r="AN42" i="5" l="1"/>
  <c r="D130" i="4" s="1"/>
  <c r="I130" s="1"/>
  <c r="J130" s="1"/>
  <c r="E1" i="2"/>
  <c r="O127" i="4"/>
  <c r="O125"/>
  <c r="O123"/>
  <c r="O122"/>
  <c r="O115"/>
  <c r="O114"/>
  <c r="O113"/>
  <c r="O112"/>
  <c r="O111"/>
  <c r="O110"/>
  <c r="O144"/>
  <c r="O143"/>
  <c r="O142"/>
  <c r="O141"/>
  <c r="O108"/>
  <c r="O107"/>
  <c r="O106"/>
  <c r="O105"/>
  <c r="O104"/>
  <c r="O103"/>
  <c r="O102"/>
  <c r="O101"/>
  <c r="O100"/>
  <c r="O99"/>
  <c r="O98"/>
  <c r="O97"/>
  <c r="O96"/>
  <c r="O95"/>
  <c r="O94"/>
  <c r="O93"/>
  <c r="O92"/>
  <c r="O91"/>
  <c r="O90"/>
  <c r="O70"/>
  <c r="O69"/>
  <c r="O66"/>
  <c r="O60"/>
  <c r="O59"/>
  <c r="K5" i="2"/>
  <c r="N5" s="1"/>
  <c r="N9"/>
  <c r="K10"/>
  <c r="N10" s="1"/>
  <c r="O10" s="1"/>
  <c r="P10" s="1"/>
  <c r="Q10" s="1"/>
  <c r="Q6"/>
  <c r="R6" s="1"/>
  <c r="S6" s="1"/>
  <c r="N31"/>
  <c r="K32"/>
  <c r="N32" s="1"/>
  <c r="O32" s="1"/>
  <c r="P32" s="1"/>
  <c r="Q32" s="1"/>
  <c r="R32" s="1"/>
  <c r="S32" s="1"/>
  <c r="K6"/>
  <c r="N6" s="1"/>
  <c r="O6" s="1"/>
  <c r="P6" s="1"/>
  <c r="Q7"/>
  <c r="R7" s="1"/>
  <c r="S7" s="1"/>
  <c r="Q16"/>
  <c r="R16" s="1"/>
  <c r="S16" s="1"/>
  <c r="Q17"/>
  <c r="R17" s="1"/>
  <c r="S17" s="1"/>
  <c r="Q18"/>
  <c r="R18" s="1"/>
  <c r="S18" s="1"/>
  <c r="Q33"/>
  <c r="R33" s="1"/>
  <c r="S33" s="1"/>
  <c r="Q36"/>
  <c r="R36" s="1"/>
  <c r="K36"/>
  <c r="K35"/>
  <c r="K33"/>
  <c r="N33" s="1"/>
  <c r="K16"/>
  <c r="N16" s="1"/>
  <c r="O16" s="1"/>
  <c r="P16" s="1"/>
  <c r="K17"/>
  <c r="N17" s="1"/>
  <c r="O17" s="1"/>
  <c r="K18"/>
  <c r="N18" s="1"/>
  <c r="O18" s="1"/>
  <c r="P18" s="1"/>
  <c r="N7"/>
  <c r="H2" i="7"/>
  <c r="G31"/>
  <c r="D1" i="3"/>
  <c r="W1" i="4"/>
  <c r="T59"/>
  <c r="U59"/>
  <c r="V59"/>
  <c r="T60"/>
  <c r="U60"/>
  <c r="V60"/>
  <c r="T66"/>
  <c r="U66"/>
  <c r="V66"/>
  <c r="T69"/>
  <c r="U69"/>
  <c r="V69"/>
  <c r="T70"/>
  <c r="U70"/>
  <c r="V70"/>
  <c r="T90"/>
  <c r="U90"/>
  <c r="V90"/>
  <c r="T91"/>
  <c r="U91"/>
  <c r="V91"/>
  <c r="T92"/>
  <c r="U92"/>
  <c r="V92"/>
  <c r="T93"/>
  <c r="U93"/>
  <c r="V93"/>
  <c r="T94"/>
  <c r="U94"/>
  <c r="V94"/>
  <c r="T95"/>
  <c r="U95"/>
  <c r="V95"/>
  <c r="T96"/>
  <c r="U96"/>
  <c r="V96"/>
  <c r="T97"/>
  <c r="U97"/>
  <c r="V97"/>
  <c r="T98"/>
  <c r="U98"/>
  <c r="V98"/>
  <c r="T99"/>
  <c r="U99"/>
  <c r="V99"/>
  <c r="T100"/>
  <c r="U100"/>
  <c r="V100"/>
  <c r="T101"/>
  <c r="U101"/>
  <c r="V101"/>
  <c r="T102"/>
  <c r="U102"/>
  <c r="V102"/>
  <c r="T103"/>
  <c r="U103"/>
  <c r="V103"/>
  <c r="T104"/>
  <c r="U104"/>
  <c r="V104"/>
  <c r="T105"/>
  <c r="U105"/>
  <c r="V105"/>
  <c r="T106"/>
  <c r="U106"/>
  <c r="V106"/>
  <c r="T107"/>
  <c r="U107"/>
  <c r="V107"/>
  <c r="T108"/>
  <c r="U108"/>
  <c r="V108"/>
  <c r="T141"/>
  <c r="U141"/>
  <c r="V141"/>
  <c r="T142"/>
  <c r="U142"/>
  <c r="V142"/>
  <c r="T143"/>
  <c r="U143"/>
  <c r="V143"/>
  <c r="T144"/>
  <c r="U144"/>
  <c r="V144"/>
  <c r="T110"/>
  <c r="U110"/>
  <c r="V110"/>
  <c r="T111"/>
  <c r="U111"/>
  <c r="V111"/>
  <c r="T112"/>
  <c r="U112"/>
  <c r="V112"/>
  <c r="T113"/>
  <c r="U113"/>
  <c r="V113"/>
  <c r="T114"/>
  <c r="U114"/>
  <c r="V114"/>
  <c r="T115"/>
  <c r="U115"/>
  <c r="V115"/>
  <c r="T122"/>
  <c r="U122"/>
  <c r="V122"/>
  <c r="T123"/>
  <c r="U123"/>
  <c r="V123"/>
  <c r="T125"/>
  <c r="U125"/>
  <c r="V125"/>
  <c r="T127"/>
  <c r="U127"/>
  <c r="V127"/>
  <c r="Q1" i="2"/>
  <c r="L6"/>
  <c r="L7"/>
  <c r="L9"/>
  <c r="N43"/>
  <c r="O43" s="1"/>
  <c r="N46"/>
  <c r="O46" s="1"/>
  <c r="N36" l="1"/>
  <c r="O36" s="1"/>
  <c r="P36" s="1"/>
  <c r="L32"/>
  <c r="L17"/>
  <c r="N35"/>
  <c r="O35" s="1"/>
  <c r="R27"/>
  <c r="S27" s="1"/>
  <c r="R23"/>
  <c r="S23" s="1"/>
  <c r="R28"/>
  <c r="S28" s="1"/>
  <c r="R24"/>
  <c r="S24" s="1"/>
  <c r="R29"/>
  <c r="S29" s="1"/>
  <c r="R25"/>
  <c r="S25" s="1"/>
  <c r="R30"/>
  <c r="S30" s="1"/>
  <c r="R26"/>
  <c r="S26" s="1"/>
  <c r="R22"/>
  <c r="S22" s="1"/>
  <c r="J128" i="4"/>
  <c r="E15" i="7" s="1"/>
  <c r="C22" i="19" s="1"/>
  <c r="J116" i="4"/>
  <c r="E13" i="7" s="1"/>
  <c r="C24" i="19" s="1"/>
  <c r="J145" i="4"/>
  <c r="E29" i="7" s="1"/>
  <c r="J109" i="4"/>
  <c r="E12" i="7" s="1"/>
  <c r="C20" i="19" s="1"/>
  <c r="E11" i="7"/>
  <c r="C19" i="19" s="1"/>
  <c r="J61" i="4"/>
  <c r="E10" i="7" s="1"/>
  <c r="C18" i="19" s="1"/>
  <c r="L18" i="2"/>
  <c r="L10"/>
  <c r="L5"/>
  <c r="L8" s="1"/>
  <c r="L16"/>
  <c r="L35"/>
  <c r="R15"/>
  <c r="S15" s="1"/>
  <c r="R11"/>
  <c r="S11" s="1"/>
  <c r="R13"/>
  <c r="S13" s="1"/>
  <c r="R14"/>
  <c r="S14" s="1"/>
  <c r="R12"/>
  <c r="S12" s="1"/>
  <c r="K19"/>
  <c r="N8"/>
  <c r="R21"/>
  <c r="S21" s="1"/>
  <c r="R20"/>
  <c r="S20" s="1"/>
  <c r="O5"/>
  <c r="P5" s="1"/>
  <c r="Q5" s="1"/>
  <c r="R5" s="1"/>
  <c r="S5" s="1"/>
  <c r="S8" s="1"/>
  <c r="K8"/>
  <c r="N34"/>
  <c r="N19"/>
  <c r="R10"/>
  <c r="S10" s="1"/>
  <c r="O9"/>
  <c r="P9" s="1"/>
  <c r="Q9" s="1"/>
  <c r="R9" s="1"/>
  <c r="S9" s="1"/>
  <c r="O7"/>
  <c r="P7" s="1"/>
  <c r="O33"/>
  <c r="P33" s="1"/>
  <c r="L36"/>
  <c r="K34"/>
  <c r="L33"/>
  <c r="P17"/>
  <c r="O31"/>
  <c r="P31" s="1"/>
  <c r="Q31" s="1"/>
  <c r="R31" s="1"/>
  <c r="S31" s="1"/>
  <c r="F3" i="7"/>
  <c r="F27" s="1"/>
  <c r="L19" i="2" l="1"/>
  <c r="P35"/>
  <c r="O37"/>
  <c r="N37"/>
  <c r="N38" s="1"/>
  <c r="F35" i="7"/>
  <c r="F6"/>
  <c r="E16"/>
  <c r="C21" i="19"/>
  <c r="F36" i="7"/>
  <c r="L37" i="2"/>
  <c r="P8"/>
  <c r="Q8"/>
  <c r="K38"/>
  <c r="L34"/>
  <c r="F4" i="7"/>
  <c r="F33"/>
  <c r="R8" i="2"/>
  <c r="O8"/>
  <c r="F34" i="7"/>
  <c r="F32"/>
  <c r="O19" i="2"/>
  <c r="O42" s="1"/>
  <c r="O44" s="1"/>
  <c r="O45" s="1"/>
  <c r="O47" s="1"/>
  <c r="O34"/>
  <c r="E30" i="7"/>
  <c r="C23" i="19" s="1"/>
  <c r="F26" i="7"/>
  <c r="F29"/>
  <c r="F8"/>
  <c r="F13"/>
  <c r="F15"/>
  <c r="F9"/>
  <c r="F25"/>
  <c r="F28"/>
  <c r="F14"/>
  <c r="F10"/>
  <c r="F12"/>
  <c r="Q35" i="2" l="1"/>
  <c r="P37"/>
  <c r="L38"/>
  <c r="L39" s="1"/>
  <c r="E19" i="7"/>
  <c r="F19" s="1"/>
  <c r="R42" i="2"/>
  <c r="F5" i="7"/>
  <c r="F7" s="1"/>
  <c r="F30"/>
  <c r="P34" i="2"/>
  <c r="O38"/>
  <c r="L42" s="1"/>
  <c r="L44" s="1"/>
  <c r="L45" s="1"/>
  <c r="L47" s="1"/>
  <c r="E31" i="7" s="1"/>
  <c r="E37" s="1"/>
  <c r="N42" i="2"/>
  <c r="N44" s="1"/>
  <c r="N45" s="1"/>
  <c r="N47" s="1"/>
  <c r="P19"/>
  <c r="R35" l="1"/>
  <c r="R37" s="1"/>
  <c r="E22" i="7" s="1"/>
  <c r="F22" s="1"/>
  <c r="Q37" i="2"/>
  <c r="H37" s="1"/>
  <c r="AN41" i="5"/>
  <c r="D129" i="4" s="1"/>
  <c r="I129" s="1"/>
  <c r="J129" s="1"/>
  <c r="J134" s="1"/>
  <c r="E23" i="7" s="1"/>
  <c r="AE10" i="5"/>
  <c r="AI10"/>
  <c r="AM10"/>
  <c r="AH11"/>
  <c r="AL11"/>
  <c r="AG12"/>
  <c r="AK12"/>
  <c r="AF13"/>
  <c r="AJ13"/>
  <c r="AE14"/>
  <c r="AI14"/>
  <c r="AM14"/>
  <c r="AH15"/>
  <c r="AL15"/>
  <c r="AG16"/>
  <c r="AK16"/>
  <c r="AF17"/>
  <c r="AJ17"/>
  <c r="AE18"/>
  <c r="AI18"/>
  <c r="AM18"/>
  <c r="AH19"/>
  <c r="AL19"/>
  <c r="AG20"/>
  <c r="AK20"/>
  <c r="AF21"/>
  <c r="AJ21"/>
  <c r="AE22"/>
  <c r="AI22"/>
  <c r="AM22"/>
  <c r="AH23"/>
  <c r="AL23"/>
  <c r="AG24"/>
  <c r="AK24"/>
  <c r="AF25"/>
  <c r="AJ25"/>
  <c r="AE26"/>
  <c r="AI26"/>
  <c r="AM26"/>
  <c r="AH27"/>
  <c r="AL27"/>
  <c r="AG10"/>
  <c r="AK10"/>
  <c r="AF11"/>
  <c r="AJ11"/>
  <c r="AE12"/>
  <c r="AI12"/>
  <c r="AM12"/>
  <c r="AH13"/>
  <c r="AL13"/>
  <c r="AG14"/>
  <c r="AK14"/>
  <c r="AF15"/>
  <c r="AJ15"/>
  <c r="AE16"/>
  <c r="AI16"/>
  <c r="AM16"/>
  <c r="AH17"/>
  <c r="AL17"/>
  <c r="AG18"/>
  <c r="AK18"/>
  <c r="AF19"/>
  <c r="AJ19"/>
  <c r="AE20"/>
  <c r="AI20"/>
  <c r="AM20"/>
  <c r="AH21"/>
  <c r="AL21"/>
  <c r="AG22"/>
  <c r="AK22"/>
  <c r="AF23"/>
  <c r="AJ23"/>
  <c r="AE24"/>
  <c r="AI24"/>
  <c r="AM24"/>
  <c r="AH25"/>
  <c r="AL25"/>
  <c r="AG26"/>
  <c r="AK26"/>
  <c r="AF27"/>
  <c r="AJ27"/>
  <c r="AL9"/>
  <c r="AH9"/>
  <c r="S10"/>
  <c r="W10"/>
  <c r="AA10"/>
  <c r="S11"/>
  <c r="W11"/>
  <c r="AA11"/>
  <c r="S12"/>
  <c r="W12"/>
  <c r="AA12"/>
  <c r="S13"/>
  <c r="W13"/>
  <c r="AA13"/>
  <c r="S14"/>
  <c r="W14"/>
  <c r="AA14"/>
  <c r="S15"/>
  <c r="W15"/>
  <c r="AA15"/>
  <c r="S16"/>
  <c r="W16"/>
  <c r="AA16"/>
  <c r="S17"/>
  <c r="W17"/>
  <c r="AA17"/>
  <c r="S18"/>
  <c r="W18"/>
  <c r="AA18"/>
  <c r="S19"/>
  <c r="W19"/>
  <c r="AA19"/>
  <c r="S20"/>
  <c r="W20"/>
  <c r="AA20"/>
  <c r="S21"/>
  <c r="W21"/>
  <c r="AA21"/>
  <c r="S22"/>
  <c r="W22"/>
  <c r="AA22"/>
  <c r="S23"/>
  <c r="W23"/>
  <c r="AA23"/>
  <c r="S24"/>
  <c r="W24"/>
  <c r="AA24"/>
  <c r="S25"/>
  <c r="W25"/>
  <c r="AA25"/>
  <c r="S26"/>
  <c r="D9"/>
  <c r="AH10"/>
  <c r="AL10"/>
  <c r="AG11"/>
  <c r="AK11"/>
  <c r="AF12"/>
  <c r="AJ12"/>
  <c r="AE13"/>
  <c r="AI13"/>
  <c r="AM13"/>
  <c r="AH14"/>
  <c r="AL14"/>
  <c r="AG15"/>
  <c r="AK15"/>
  <c r="AF16"/>
  <c r="AJ16"/>
  <c r="AE17"/>
  <c r="AI17"/>
  <c r="AM17"/>
  <c r="AH18"/>
  <c r="AL18"/>
  <c r="AG19"/>
  <c r="AK19"/>
  <c r="AF20"/>
  <c r="AJ20"/>
  <c r="AE21"/>
  <c r="AI21"/>
  <c r="AM21"/>
  <c r="AH22"/>
  <c r="AL22"/>
  <c r="AG23"/>
  <c r="AK23"/>
  <c r="AF24"/>
  <c r="AJ24"/>
  <c r="AE25"/>
  <c r="AI25"/>
  <c r="AM25"/>
  <c r="AH26"/>
  <c r="AL26"/>
  <c r="AG27"/>
  <c r="AK27"/>
  <c r="AJ9"/>
  <c r="AF9"/>
  <c r="U10"/>
  <c r="Y10"/>
  <c r="AC10"/>
  <c r="U11"/>
  <c r="Y11"/>
  <c r="AC11"/>
  <c r="U12"/>
  <c r="Y12"/>
  <c r="AC12"/>
  <c r="U13"/>
  <c r="Y13"/>
  <c r="AC13"/>
  <c r="U14"/>
  <c r="Y14"/>
  <c r="AC14"/>
  <c r="U15"/>
  <c r="Y15"/>
  <c r="AC15"/>
  <c r="U16"/>
  <c r="Y16"/>
  <c r="AC16"/>
  <c r="U17"/>
  <c r="Y17"/>
  <c r="AC17"/>
  <c r="U18"/>
  <c r="Y18"/>
  <c r="AC18"/>
  <c r="U19"/>
  <c r="Y19"/>
  <c r="AC19"/>
  <c r="U20"/>
  <c r="Y20"/>
  <c r="AC20"/>
  <c r="U21"/>
  <c r="Y21"/>
  <c r="AC21"/>
  <c r="U22"/>
  <c r="Y22"/>
  <c r="AC22"/>
  <c r="U23"/>
  <c r="Y23"/>
  <c r="AC23"/>
  <c r="U24"/>
  <c r="Y24"/>
  <c r="AC24"/>
  <c r="U25"/>
  <c r="Y25"/>
  <c r="AC25"/>
  <c r="U26"/>
  <c r="AF10"/>
  <c r="AJ10"/>
  <c r="AE11"/>
  <c r="AI11"/>
  <c r="AM11"/>
  <c r="AH12"/>
  <c r="AL12"/>
  <c r="AG13"/>
  <c r="AK13"/>
  <c r="AF14"/>
  <c r="AJ14"/>
  <c r="AE15"/>
  <c r="AI15"/>
  <c r="AM15"/>
  <c r="AH16"/>
  <c r="AL16"/>
  <c r="AG17"/>
  <c r="AK17"/>
  <c r="AF18"/>
  <c r="AJ18"/>
  <c r="AE19"/>
  <c r="AI19"/>
  <c r="AM19"/>
  <c r="AH20"/>
  <c r="AL20"/>
  <c r="AG21"/>
  <c r="AK21"/>
  <c r="AF22"/>
  <c r="AJ22"/>
  <c r="AE23"/>
  <c r="AI23"/>
  <c r="AM23"/>
  <c r="AH24"/>
  <c r="AL24"/>
  <c r="AG25"/>
  <c r="AK25"/>
  <c r="AF26"/>
  <c r="AJ26"/>
  <c r="AE27"/>
  <c r="AI27"/>
  <c r="AM27"/>
  <c r="AK9"/>
  <c r="AG9"/>
  <c r="T10"/>
  <c r="X10"/>
  <c r="AB10"/>
  <c r="T11"/>
  <c r="X11"/>
  <c r="AB11"/>
  <c r="T12"/>
  <c r="X12"/>
  <c r="AB12"/>
  <c r="T13"/>
  <c r="X13"/>
  <c r="AB13"/>
  <c r="T14"/>
  <c r="X14"/>
  <c r="AB14"/>
  <c r="T15"/>
  <c r="X15"/>
  <c r="AB15"/>
  <c r="T16"/>
  <c r="X16"/>
  <c r="AB16"/>
  <c r="T17"/>
  <c r="X17"/>
  <c r="AB17"/>
  <c r="T18"/>
  <c r="X18"/>
  <c r="AB18"/>
  <c r="T19"/>
  <c r="X19"/>
  <c r="AB19"/>
  <c r="T20"/>
  <c r="X20"/>
  <c r="AB20"/>
  <c r="T21"/>
  <c r="X21"/>
  <c r="AB21"/>
  <c r="T22"/>
  <c r="X22"/>
  <c r="AB22"/>
  <c r="T23"/>
  <c r="X23"/>
  <c r="AB23"/>
  <c r="T24"/>
  <c r="X24"/>
  <c r="AB24"/>
  <c r="T25"/>
  <c r="X25"/>
  <c r="AB25"/>
  <c r="W26"/>
  <c r="AA26"/>
  <c r="S27"/>
  <c r="W27"/>
  <c r="AA27"/>
  <c r="AM9"/>
  <c r="AI9"/>
  <c r="AE9"/>
  <c r="V10"/>
  <c r="Z10"/>
  <c r="AD10"/>
  <c r="V11"/>
  <c r="Z11"/>
  <c r="AD11"/>
  <c r="V12"/>
  <c r="Z12"/>
  <c r="AD12"/>
  <c r="V13"/>
  <c r="Z13"/>
  <c r="AD13"/>
  <c r="V14"/>
  <c r="Z14"/>
  <c r="AD14"/>
  <c r="V15"/>
  <c r="Z15"/>
  <c r="AD15"/>
  <c r="V16"/>
  <c r="Z16"/>
  <c r="AD16"/>
  <c r="V17"/>
  <c r="Z17"/>
  <c r="AD17"/>
  <c r="V18"/>
  <c r="Z18"/>
  <c r="AD18"/>
  <c r="V19"/>
  <c r="Z19"/>
  <c r="AD19"/>
  <c r="V20"/>
  <c r="Z20"/>
  <c r="AD20"/>
  <c r="V21"/>
  <c r="Z21"/>
  <c r="AD21"/>
  <c r="V22"/>
  <c r="Z22"/>
  <c r="AD22"/>
  <c r="V23"/>
  <c r="Z23"/>
  <c r="AD23"/>
  <c r="V24"/>
  <c r="Z24"/>
  <c r="AD24"/>
  <c r="V25"/>
  <c r="Z25"/>
  <c r="T26"/>
  <c r="Y26"/>
  <c r="AC26"/>
  <c r="U27"/>
  <c r="Y27"/>
  <c r="AC27"/>
  <c r="AB9"/>
  <c r="X9"/>
  <c r="T9"/>
  <c r="N10"/>
  <c r="R10"/>
  <c r="P11"/>
  <c r="N12"/>
  <c r="R12"/>
  <c r="P13"/>
  <c r="N14"/>
  <c r="R14"/>
  <c r="P15"/>
  <c r="N16"/>
  <c r="R16"/>
  <c r="P17"/>
  <c r="N18"/>
  <c r="R18"/>
  <c r="P19"/>
  <c r="N20"/>
  <c r="R20"/>
  <c r="P21"/>
  <c r="N22"/>
  <c r="R22"/>
  <c r="P23"/>
  <c r="N24"/>
  <c r="R24"/>
  <c r="P25"/>
  <c r="N26"/>
  <c r="R26"/>
  <c r="P27"/>
  <c r="O9"/>
  <c r="G10"/>
  <c r="K10"/>
  <c r="G11"/>
  <c r="K11"/>
  <c r="G12"/>
  <c r="K12"/>
  <c r="G13"/>
  <c r="K13"/>
  <c r="G14"/>
  <c r="K14"/>
  <c r="G15"/>
  <c r="K15"/>
  <c r="G16"/>
  <c r="K16"/>
  <c r="G17"/>
  <c r="K17"/>
  <c r="G18"/>
  <c r="K18"/>
  <c r="G19"/>
  <c r="K19"/>
  <c r="G20"/>
  <c r="K20"/>
  <c r="G21"/>
  <c r="K21"/>
  <c r="G22"/>
  <c r="K22"/>
  <c r="G23"/>
  <c r="K23"/>
  <c r="G24"/>
  <c r="K24"/>
  <c r="G25"/>
  <c r="K25"/>
  <c r="G26"/>
  <c r="K26"/>
  <c r="G27"/>
  <c r="K27"/>
  <c r="AD25"/>
  <c r="X26"/>
  <c r="AB26"/>
  <c r="T27"/>
  <c r="X27"/>
  <c r="AB27"/>
  <c r="AC9"/>
  <c r="Y9"/>
  <c r="U9"/>
  <c r="M10"/>
  <c r="Q10"/>
  <c r="O11"/>
  <c r="M12"/>
  <c r="Q12"/>
  <c r="O13"/>
  <c r="M14"/>
  <c r="Q14"/>
  <c r="O15"/>
  <c r="M16"/>
  <c r="Q16"/>
  <c r="O17"/>
  <c r="M18"/>
  <c r="Q18"/>
  <c r="O19"/>
  <c r="M20"/>
  <c r="Q20"/>
  <c r="O21"/>
  <c r="M22"/>
  <c r="Q22"/>
  <c r="O23"/>
  <c r="M24"/>
  <c r="Q24"/>
  <c r="O25"/>
  <c r="M26"/>
  <c r="Q26"/>
  <c r="O27"/>
  <c r="AD9"/>
  <c r="Z9"/>
  <c r="V9"/>
  <c r="M9"/>
  <c r="P10"/>
  <c r="N11"/>
  <c r="R11"/>
  <c r="P12"/>
  <c r="N13"/>
  <c r="R13"/>
  <c r="P14"/>
  <c r="N15"/>
  <c r="R15"/>
  <c r="P16"/>
  <c r="N17"/>
  <c r="R17"/>
  <c r="P18"/>
  <c r="N19"/>
  <c r="R19"/>
  <c r="P20"/>
  <c r="N21"/>
  <c r="R21"/>
  <c r="P22"/>
  <c r="N23"/>
  <c r="R23"/>
  <c r="P24"/>
  <c r="N25"/>
  <c r="R25"/>
  <c r="P26"/>
  <c r="N27"/>
  <c r="R27"/>
  <c r="Q9"/>
  <c r="E10"/>
  <c r="I10"/>
  <c r="E11"/>
  <c r="I11"/>
  <c r="E12"/>
  <c r="I12"/>
  <c r="E13"/>
  <c r="I13"/>
  <c r="E14"/>
  <c r="I14"/>
  <c r="E15"/>
  <c r="I15"/>
  <c r="E16"/>
  <c r="I16"/>
  <c r="E17"/>
  <c r="I17"/>
  <c r="E18"/>
  <c r="I18"/>
  <c r="E19"/>
  <c r="I19"/>
  <c r="E20"/>
  <c r="I20"/>
  <c r="E21"/>
  <c r="I21"/>
  <c r="E22"/>
  <c r="I22"/>
  <c r="E23"/>
  <c r="I23"/>
  <c r="E24"/>
  <c r="I24"/>
  <c r="E25"/>
  <c r="I25"/>
  <c r="E26"/>
  <c r="I26"/>
  <c r="E27"/>
  <c r="I27"/>
  <c r="V26"/>
  <c r="Z26"/>
  <c r="AD26"/>
  <c r="V27"/>
  <c r="Z27"/>
  <c r="AD27"/>
  <c r="AA9"/>
  <c r="W9"/>
  <c r="S9"/>
  <c r="O10"/>
  <c r="M11"/>
  <c r="Q11"/>
  <c r="O12"/>
  <c r="M13"/>
  <c r="Q13"/>
  <c r="O14"/>
  <c r="M15"/>
  <c r="Q15"/>
  <c r="O16"/>
  <c r="M17"/>
  <c r="Q17"/>
  <c r="O18"/>
  <c r="M19"/>
  <c r="Q19"/>
  <c r="O20"/>
  <c r="M21"/>
  <c r="Q21"/>
  <c r="O22"/>
  <c r="M23"/>
  <c r="Q23"/>
  <c r="O24"/>
  <c r="M25"/>
  <c r="Q25"/>
  <c r="O26"/>
  <c r="M27"/>
  <c r="Q27"/>
  <c r="R9"/>
  <c r="N9"/>
  <c r="H10"/>
  <c r="L10"/>
  <c r="H11"/>
  <c r="L11"/>
  <c r="H12"/>
  <c r="L12"/>
  <c r="H13"/>
  <c r="L13"/>
  <c r="H14"/>
  <c r="L14"/>
  <c r="H15"/>
  <c r="L15"/>
  <c r="H16"/>
  <c r="L16"/>
  <c r="H17"/>
  <c r="L17"/>
  <c r="H18"/>
  <c r="L18"/>
  <c r="H19"/>
  <c r="L19"/>
  <c r="H20"/>
  <c r="L20"/>
  <c r="H21"/>
  <c r="L21"/>
  <c r="H22"/>
  <c r="L22"/>
  <c r="H23"/>
  <c r="L23"/>
  <c r="H24"/>
  <c r="L24"/>
  <c r="H25"/>
  <c r="L25"/>
  <c r="H26"/>
  <c r="L26"/>
  <c r="H27"/>
  <c r="L27"/>
  <c r="J9"/>
  <c r="F9"/>
  <c r="D24"/>
  <c r="D10"/>
  <c r="D14"/>
  <c r="D18"/>
  <c r="D22"/>
  <c r="I9"/>
  <c r="E9"/>
  <c r="D25"/>
  <c r="D11"/>
  <c r="D15"/>
  <c r="D21"/>
  <c r="D13"/>
  <c r="P9"/>
  <c r="F10"/>
  <c r="J10"/>
  <c r="F11"/>
  <c r="J11"/>
  <c r="F12"/>
  <c r="J12"/>
  <c r="F13"/>
  <c r="J13"/>
  <c r="F14"/>
  <c r="J14"/>
  <c r="F15"/>
  <c r="J15"/>
  <c r="F16"/>
  <c r="J16"/>
  <c r="F17"/>
  <c r="J17"/>
  <c r="F18"/>
  <c r="J18"/>
  <c r="F19"/>
  <c r="J19"/>
  <c r="F20"/>
  <c r="J20"/>
  <c r="F21"/>
  <c r="J21"/>
  <c r="F22"/>
  <c r="J22"/>
  <c r="F23"/>
  <c r="J23"/>
  <c r="F24"/>
  <c r="J24"/>
  <c r="F25"/>
  <c r="J25"/>
  <c r="F26"/>
  <c r="J26"/>
  <c r="F27"/>
  <c r="J27"/>
  <c r="L9"/>
  <c r="H9"/>
  <c r="D26"/>
  <c r="D12"/>
  <c r="D16"/>
  <c r="D20"/>
  <c r="D19"/>
  <c r="K9"/>
  <c r="G9"/>
  <c r="D23"/>
  <c r="D27"/>
  <c r="D17"/>
  <c r="P39" i="2"/>
  <c r="P38"/>
  <c r="Q19"/>
  <c r="R43" s="1"/>
  <c r="Q34"/>
  <c r="S43" i="5" l="1"/>
  <c r="S46" s="1"/>
  <c r="S49" s="1"/>
  <c r="L43"/>
  <c r="L46" s="1"/>
  <c r="L49" s="1"/>
  <c r="I43"/>
  <c r="I46" s="1"/>
  <c r="I49" s="1"/>
  <c r="G43"/>
  <c r="G46" s="1"/>
  <c r="G49" s="1"/>
  <c r="K43"/>
  <c r="K46" s="1"/>
  <c r="K49" s="1"/>
  <c r="P43"/>
  <c r="P46" s="1"/>
  <c r="P49" s="1"/>
  <c r="H43"/>
  <c r="H46" s="1"/>
  <c r="H49" s="1"/>
  <c r="E43"/>
  <c r="E46" s="1"/>
  <c r="E49" s="1"/>
  <c r="AN17"/>
  <c r="AN23"/>
  <c r="AN19"/>
  <c r="AN16"/>
  <c r="N43"/>
  <c r="N46" s="1"/>
  <c r="N49" s="1"/>
  <c r="AA43"/>
  <c r="AA46" s="1"/>
  <c r="AA49" s="1"/>
  <c r="Y43"/>
  <c r="Y46" s="1"/>
  <c r="Y49" s="1"/>
  <c r="AN12"/>
  <c r="R43"/>
  <c r="R46" s="1"/>
  <c r="R49" s="1"/>
  <c r="W43"/>
  <c r="W46" s="1"/>
  <c r="W49" s="1"/>
  <c r="U43"/>
  <c r="U46" s="1"/>
  <c r="U49" s="1"/>
  <c r="AC43"/>
  <c r="AC46" s="1"/>
  <c r="AC49" s="1"/>
  <c r="AI43"/>
  <c r="AI46" s="1"/>
  <c r="AI49" s="1"/>
  <c r="AN27"/>
  <c r="AN26"/>
  <c r="F31" i="7"/>
  <c r="F37" s="1"/>
  <c r="AN20" i="5"/>
  <c r="AN15"/>
  <c r="AN22"/>
  <c r="AN14"/>
  <c r="F43"/>
  <c r="F46" s="1"/>
  <c r="F49" s="1"/>
  <c r="M43"/>
  <c r="M46" s="1"/>
  <c r="M49" s="1"/>
  <c r="Z43"/>
  <c r="Z46" s="1"/>
  <c r="Z49" s="1"/>
  <c r="X43"/>
  <c r="X46" s="1"/>
  <c r="X49" s="1"/>
  <c r="AG43"/>
  <c r="AG46" s="1"/>
  <c r="AG49" s="1"/>
  <c r="AJ43"/>
  <c r="AJ46" s="1"/>
  <c r="AJ49" s="1"/>
  <c r="AL43"/>
  <c r="AL46" s="1"/>
  <c r="AL49" s="1"/>
  <c r="F11" i="7"/>
  <c r="AN13" i="5"/>
  <c r="AN21"/>
  <c r="AN11"/>
  <c r="AN25"/>
  <c r="AN18"/>
  <c r="AN10"/>
  <c r="AN24"/>
  <c r="J43"/>
  <c r="J46" s="1"/>
  <c r="J49" s="1"/>
  <c r="Q43"/>
  <c r="Q46" s="1"/>
  <c r="Q49" s="1"/>
  <c r="V43"/>
  <c r="V46" s="1"/>
  <c r="V49" s="1"/>
  <c r="AD43"/>
  <c r="AD46" s="1"/>
  <c r="AD49" s="1"/>
  <c r="O43"/>
  <c r="O46" s="1"/>
  <c r="O49" s="1"/>
  <c r="T43"/>
  <c r="T46" s="1"/>
  <c r="T49" s="1"/>
  <c r="AB43"/>
  <c r="AB46" s="1"/>
  <c r="AB49" s="1"/>
  <c r="AE43"/>
  <c r="AE46" s="1"/>
  <c r="AE49" s="1"/>
  <c r="AM43"/>
  <c r="AM46" s="1"/>
  <c r="AM49" s="1"/>
  <c r="AK43"/>
  <c r="AK46" s="1"/>
  <c r="AK49" s="1"/>
  <c r="AF43"/>
  <c r="AF46" s="1"/>
  <c r="AF49" s="1"/>
  <c r="D43"/>
  <c r="D46" s="1"/>
  <c r="AN9"/>
  <c r="AH43"/>
  <c r="AH46" s="1"/>
  <c r="AH49" s="1"/>
  <c r="Q39" i="2"/>
  <c r="Q38"/>
  <c r="R45" s="1"/>
  <c r="H34"/>
  <c r="R44"/>
  <c r="S34"/>
  <c r="E18" i="7" s="1"/>
  <c r="R34" i="2"/>
  <c r="E21" i="7" s="1"/>
  <c r="F21" s="1"/>
  <c r="S19" i="2"/>
  <c r="E17" i="7" s="1"/>
  <c r="R19" i="2"/>
  <c r="AN46" i="5" l="1"/>
  <c r="F23" i="7" s="1"/>
  <c r="D49" i="5"/>
  <c r="AN49" s="1"/>
  <c r="E20" i="7"/>
  <c r="F20" s="1"/>
  <c r="F17"/>
  <c r="I21" i="19"/>
  <c r="I28"/>
  <c r="I11"/>
  <c r="F17"/>
  <c r="I23"/>
  <c r="F11"/>
  <c r="I26"/>
  <c r="I20"/>
  <c r="F27"/>
  <c r="I19"/>
  <c r="F24"/>
  <c r="I27"/>
  <c r="I22"/>
  <c r="I15"/>
  <c r="F13"/>
  <c r="I24"/>
  <c r="F28"/>
  <c r="F25"/>
  <c r="I16"/>
  <c r="F15"/>
  <c r="F18"/>
  <c r="F16"/>
  <c r="F26"/>
  <c r="I17"/>
  <c r="F22"/>
  <c r="I25"/>
  <c r="I13"/>
  <c r="F20"/>
  <c r="I18"/>
  <c r="I12"/>
  <c r="I14"/>
  <c r="F21"/>
  <c r="F12"/>
  <c r="F23"/>
  <c r="F14"/>
  <c r="F19"/>
  <c r="AN43" i="5"/>
  <c r="R38" i="2"/>
  <c r="F18" i="7"/>
  <c r="S38" i="2"/>
  <c r="E24" i="7" l="1"/>
  <c r="E38" l="1"/>
  <c r="F16"/>
  <c r="E39" l="1"/>
  <c r="G39" s="1"/>
  <c r="C25" i="19"/>
  <c r="C27" s="1"/>
  <c r="F24" i="7"/>
  <c r="F38" s="1"/>
  <c r="F39" s="1"/>
  <c r="F40" s="1"/>
  <c r="E40" l="1"/>
</calcChain>
</file>

<file path=xl/comments1.xml><?xml version="1.0" encoding="utf-8"?>
<comments xmlns="http://schemas.openxmlformats.org/spreadsheetml/2006/main">
  <authors>
    <author>山口県</author>
    <author>015209</author>
  </authors>
  <commentList>
    <comment ref="A2" authorId="0">
      <text>
        <r>
          <rPr>
            <b/>
            <sz val="11"/>
            <color indexed="81"/>
            <rFont val="ＭＳ Ｐゴシック"/>
            <family val="3"/>
            <charset val="128"/>
          </rPr>
          <t>本シートはシート「科目集計用」より自動的に作成されます。</t>
        </r>
      </text>
    </comment>
    <comment ref="E3" authorId="1">
      <text>
        <r>
          <rPr>
            <b/>
            <sz val="12"/>
            <color indexed="81"/>
            <rFont val="ＭＳ Ｐゴシック"/>
            <family val="3"/>
            <charset val="128"/>
          </rPr>
          <t>肉用牛5a+WCS5a=10a</t>
        </r>
      </text>
    </comment>
    <comment ref="F3" authorId="1">
      <text>
        <r>
          <rPr>
            <b/>
            <sz val="12"/>
            <color indexed="81"/>
            <rFont val="ＭＳ Ｐゴシック"/>
            <family val="3"/>
            <charset val="128"/>
          </rPr>
          <t>肉用牛1ha+WCS1ha</t>
        </r>
      </text>
    </comment>
  </commentList>
</comments>
</file>

<file path=xl/comments2.xml><?xml version="1.0" encoding="utf-8"?>
<comments xmlns="http://schemas.openxmlformats.org/spreadsheetml/2006/main">
  <authors>
    <author>山口県</author>
    <author>kazuoki3</author>
  </authors>
  <commentList>
    <comment ref="B1" authorId="0">
      <text>
        <r>
          <rPr>
            <b/>
            <sz val="9"/>
            <color indexed="81"/>
            <rFont val="ＭＳ Ｐゴシック"/>
            <family val="3"/>
            <charset val="128"/>
          </rPr>
          <t>緑のセルはプルダウンリストから選択してください。その他のセルは自動作成されます。</t>
        </r>
      </text>
    </comment>
    <comment ref="B9" authorId="1">
      <text>
        <r>
          <rPr>
            <b/>
            <sz val="9"/>
            <color indexed="81"/>
            <rFont val="ＭＳ Ｐゴシック"/>
            <family val="3"/>
            <charset val="128"/>
          </rPr>
          <t>=作業名</t>
        </r>
      </text>
    </comment>
    <comment ref="D9" authorId="1">
      <text>
        <r>
          <rPr>
            <b/>
            <sz val="9"/>
            <color indexed="81"/>
            <rFont val="ＭＳ Ｐゴシック"/>
            <family val="3"/>
            <charset val="128"/>
          </rPr>
          <t>=SUMPRODUCT((作業体系!$A$4:$A$346=労働時間!$B9)*(作業体系!$B$4:$B$346="1月上旬")*(作業体系!$P$4:$P$346))</t>
        </r>
      </text>
    </comment>
  </commentList>
</comments>
</file>

<file path=xl/comments3.xml><?xml version="1.0" encoding="utf-8"?>
<comments xmlns="http://schemas.openxmlformats.org/spreadsheetml/2006/main">
  <authors>
    <author>ooisi</author>
  </authors>
  <commentList>
    <comment ref="C5" authorId="0">
      <text>
        <r>
          <rPr>
            <sz val="11"/>
            <color indexed="81"/>
            <rFont val="ＭＳ Ｐゴシック"/>
            <family val="3"/>
            <charset val="128"/>
          </rPr>
          <t>必ず記入してください。</t>
        </r>
        <r>
          <rPr>
            <b/>
            <sz val="9"/>
            <color indexed="81"/>
            <rFont val="ＭＳ Ｐゴシック"/>
            <family val="3"/>
            <charset val="128"/>
          </rPr>
          <t xml:space="preserve">
</t>
        </r>
        <r>
          <rPr>
            <sz val="11"/>
            <color indexed="81"/>
            <rFont val="ＭＳ Ｐゴシック"/>
            <family val="3"/>
            <charset val="128"/>
          </rPr>
          <t>これが、プロセス名になります。</t>
        </r>
      </text>
    </comment>
    <comment ref="K11" authorId="0">
      <text>
        <r>
          <rPr>
            <b/>
            <sz val="11"/>
            <color indexed="81"/>
            <rFont val="ＭＳ Ｐゴシック"/>
            <family val="3"/>
            <charset val="128"/>
          </rPr>
          <t>必ず入力します。入力しないと計画案を計算しません。</t>
        </r>
        <r>
          <rPr>
            <sz val="11"/>
            <color indexed="81"/>
            <rFont val="ＭＳ Ｐゴシック"/>
            <family val="3"/>
            <charset val="128"/>
          </rPr>
          <t xml:space="preserve">
</t>
        </r>
      </text>
    </comment>
    <comment ref="L11" authorId="0">
      <text>
        <r>
          <rPr>
            <sz val="11"/>
            <color indexed="81"/>
            <rFont val="ＭＳ Ｐゴシック"/>
            <family val="3"/>
            <charset val="128"/>
          </rPr>
          <t>ダブルクリックすると、地目のリストが表示されます。リストから選択します。</t>
        </r>
      </text>
    </comment>
    <comment ref="K12" authorId="0">
      <text>
        <r>
          <rPr>
            <b/>
            <sz val="11"/>
            <color indexed="81"/>
            <rFont val="ＭＳ Ｐゴシック"/>
            <family val="3"/>
            <charset val="128"/>
          </rPr>
          <t>必ず入力します。入力しないと計画案を計算しません。</t>
        </r>
      </text>
    </comment>
    <comment ref="L12" authorId="0">
      <text>
        <r>
          <rPr>
            <b/>
            <sz val="11"/>
            <color indexed="81"/>
            <rFont val="ＭＳ Ｐゴシック"/>
            <family val="3"/>
            <charset val="128"/>
          </rPr>
          <t>作付地目が「田」の場合に入力します。
 ①生産物が主食用米の場合は「該当する」を入力します
 ②その他の場合は「該当しない」を入力します。</t>
        </r>
      </text>
    </comment>
    <comment ref="L13" authorId="0">
      <text>
        <r>
          <rPr>
            <sz val="11"/>
            <color indexed="81"/>
            <rFont val="ＭＳ Ｐゴシック"/>
            <family val="3"/>
            <charset val="128"/>
          </rPr>
          <t>「１月」から「12月」のいずれかを入力します。数字のみ入力してください。
入力がないと、「１月」とみなされます。</t>
        </r>
      </text>
    </comment>
    <comment ref="M13" authorId="0">
      <text>
        <r>
          <rPr>
            <sz val="11"/>
            <color indexed="81"/>
            <rFont val="ＭＳ Ｐゴシック"/>
            <family val="3"/>
            <charset val="128"/>
          </rPr>
          <t>ダブルクリックすると、旬のリストが表示されます。リストから選択します。選択しないと「上旬」と見なされます。</t>
        </r>
      </text>
    </comment>
    <comment ref="C14" authorId="0">
      <text>
        <r>
          <rPr>
            <sz val="11"/>
            <color indexed="81"/>
            <rFont val="ＭＳ Ｐゴシック"/>
            <family val="3"/>
            <charset val="128"/>
          </rPr>
          <t>この数値は入力できません。
(単位収量×単価＋その他収益)で計算します。</t>
        </r>
      </text>
    </comment>
    <comment ref="L14" authorId="0">
      <text>
        <r>
          <rPr>
            <sz val="11"/>
            <color indexed="81"/>
            <rFont val="ＭＳ Ｐゴシック"/>
            <family val="3"/>
            <charset val="128"/>
          </rPr>
          <t>「１月」から「12月」のいずれかを入力します。数字のみ入力してください。
入力がないと、「12月」とみなされます。</t>
        </r>
      </text>
    </comment>
    <comment ref="M14" authorId="0">
      <text>
        <r>
          <rPr>
            <sz val="11"/>
            <color indexed="81"/>
            <rFont val="ＭＳ Ｐゴシック"/>
            <family val="3"/>
            <charset val="128"/>
          </rPr>
          <t>ダブルクリックすると、旬のリストが表示されます。リストから選択します。選択しないと「下旬」と見なされます。</t>
        </r>
      </text>
    </comment>
    <comment ref="L15" authorId="0">
      <text>
        <r>
          <rPr>
            <sz val="11"/>
            <color indexed="81"/>
            <rFont val="ＭＳ Ｐゴシック"/>
            <family val="3"/>
            <charset val="128"/>
          </rPr>
          <t>作付したい最小の面積を、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単位で入力します。固定した面積を作付けしたいときは、同じ数値を作付上限にも入力します。
</t>
        </r>
      </text>
    </comment>
    <comment ref="L16" authorId="0">
      <text>
        <r>
          <rPr>
            <sz val="11"/>
            <color indexed="81"/>
            <rFont val="ＭＳ Ｐゴシック"/>
            <family val="3"/>
            <charset val="128"/>
          </rPr>
          <t>作付したい最大の面積を、</t>
        </r>
        <r>
          <rPr>
            <b/>
            <sz val="11"/>
            <color indexed="10"/>
            <rFont val="ＭＳ Ｐゴシック"/>
            <family val="3"/>
            <charset val="128"/>
          </rPr>
          <t>ha</t>
        </r>
        <r>
          <rPr>
            <sz val="11"/>
            <color indexed="81"/>
            <rFont val="ＭＳ Ｐゴシック"/>
            <family val="3"/>
            <charset val="128"/>
          </rPr>
          <t xml:space="preserve">単位で入力します。固定した面積を作付けしたいときは、同じ数値を作付下限にも入力します。
</t>
        </r>
      </text>
    </comment>
    <comment ref="C25" authorId="0">
      <text>
        <r>
          <rPr>
            <sz val="11"/>
            <color indexed="81"/>
            <rFont val="ＭＳ Ｐゴシック"/>
            <family val="3"/>
            <charset val="128"/>
          </rPr>
          <t>この数値は入力できません。
種苗費からその他費用までを合計します。</t>
        </r>
      </text>
    </comment>
    <comment ref="C27" authorId="0">
      <text>
        <r>
          <rPr>
            <sz val="11"/>
            <color indexed="81"/>
            <rFont val="ＭＳ Ｐゴシック"/>
            <family val="3"/>
            <charset val="128"/>
          </rPr>
          <t>この数値は入力できません。
(粗収益－変動費)で計算します。</t>
        </r>
      </text>
    </comment>
  </commentList>
</comments>
</file>

<file path=xl/comments4.xml><?xml version="1.0" encoding="utf-8"?>
<comments xmlns="http://schemas.openxmlformats.org/spreadsheetml/2006/main">
  <authors>
    <author>山口県</author>
    <author>kazuoki3</author>
    <author>masa</author>
  </authors>
  <commentList>
    <comment ref="A1" authorId="0">
      <text>
        <r>
          <rPr>
            <b/>
            <sz val="11"/>
            <color indexed="81"/>
            <rFont val="ＭＳ Ｐゴシック"/>
            <family val="3"/>
            <charset val="128"/>
          </rPr>
          <t>黄色のセルに直接記入してください。その他のセルは自動的に参照または計算されます。</t>
        </r>
      </text>
    </comment>
    <comment ref="E1" authorId="1">
      <text>
        <r>
          <rPr>
            <b/>
            <sz val="9"/>
            <color indexed="81"/>
            <rFont val="ＭＳ Ｐゴシック"/>
            <family val="3"/>
            <charset val="128"/>
          </rPr>
          <t>=技術体系入力!F2*100</t>
        </r>
      </text>
    </comment>
    <comment ref="I2" authorId="2">
      <text>
        <r>
          <rPr>
            <b/>
            <sz val="11"/>
            <color indexed="8"/>
            <rFont val="ＭＳ Ｐゴシック"/>
            <family val="3"/>
            <charset val="128"/>
          </rPr>
          <t xml:space="preserve">農家負担率
</t>
        </r>
        <r>
          <rPr>
            <sz val="11"/>
            <color indexed="8"/>
            <rFont val="ＭＳ Ｐゴシック"/>
            <family val="3"/>
            <charset val="128"/>
          </rPr>
          <t>補助事業を活用する場合に、農家が最終的に負担する割合（補助残率）を記入します。</t>
        </r>
      </text>
    </comment>
    <comment ref="J2" authorId="2">
      <text>
        <r>
          <rPr>
            <b/>
            <sz val="9"/>
            <color indexed="8"/>
            <rFont val="ＭＳ Ｐゴシック"/>
            <family val="3"/>
            <charset val="128"/>
          </rPr>
          <t xml:space="preserve">単価
</t>
        </r>
        <r>
          <rPr>
            <sz val="9"/>
            <color indexed="8"/>
            <rFont val="ＭＳ Ｐゴシック"/>
            <family val="3"/>
            <charset val="128"/>
          </rPr>
          <t xml:space="preserve">補助等を控除しない通常取得する場合の購入価格を入力します
</t>
        </r>
      </text>
    </comment>
    <comment ref="K2" authorId="2">
      <text>
        <r>
          <rPr>
            <b/>
            <sz val="9"/>
            <color indexed="8"/>
            <rFont val="ＭＳ Ｐゴシック"/>
            <family val="3"/>
            <charset val="128"/>
          </rPr>
          <t xml:space="preserve">取得価格
</t>
        </r>
        <r>
          <rPr>
            <sz val="9"/>
            <color indexed="8"/>
            <rFont val="ＭＳ Ｐゴシック"/>
            <family val="3"/>
            <charset val="128"/>
          </rPr>
          <t xml:space="preserve">取得価格＝単価×数量
</t>
        </r>
      </text>
    </comment>
    <comment ref="L2" authorId="2">
      <text>
        <r>
          <rPr>
            <b/>
            <sz val="9"/>
            <color indexed="8"/>
            <rFont val="ＭＳ Ｐゴシック"/>
            <family val="3"/>
            <charset val="128"/>
          </rPr>
          <t xml:space="preserve">農家取得価格
</t>
        </r>
        <r>
          <rPr>
            <sz val="9"/>
            <color indexed="8"/>
            <rFont val="ＭＳ Ｐゴシック"/>
            <family val="3"/>
            <charset val="128"/>
          </rPr>
          <t xml:space="preserve">農家取得価格＝取得価格×農家負担率
</t>
        </r>
      </text>
    </comment>
    <comment ref="M3" authorId="2">
      <text>
        <r>
          <rPr>
            <sz val="11"/>
            <color indexed="8"/>
            <rFont val="ＭＳ Ｐゴシック"/>
            <family val="3"/>
            <charset val="128"/>
          </rPr>
          <t>●当該施設・機械を他の作物でも利用することが想定される場合は、利用面積で按分した割合を入力してください。
●わからない場合は「100」を入力してください。</t>
        </r>
      </text>
    </comment>
    <comment ref="R41" authorId="2">
      <text>
        <r>
          <rPr>
            <sz val="9"/>
            <color indexed="8"/>
            <rFont val="ＭＳ Ｐゴシック"/>
            <family val="3"/>
            <charset val="128"/>
          </rPr>
          <t xml:space="preserve">総償却額÷年償却額
</t>
        </r>
      </text>
    </comment>
    <comment ref="J42" authorId="2">
      <text>
        <r>
          <rPr>
            <sz val="9"/>
            <color indexed="8"/>
            <rFont val="ＭＳ Ｐゴシック"/>
            <family val="3"/>
            <charset val="128"/>
          </rPr>
          <t xml:space="preserve">平均負担価格
＝（負担価格－残存価格）÷２＋残存価格
耐用年数の中間年の評価額
</t>
        </r>
      </text>
    </comment>
    <comment ref="Q45" authorId="2">
      <text>
        <r>
          <rPr>
            <sz val="9"/>
            <color indexed="8"/>
            <rFont val="ＭＳ Ｐゴシック"/>
            <family val="3"/>
            <charset val="128"/>
          </rPr>
          <t xml:space="preserve">大植物を除く
</t>
        </r>
      </text>
    </comment>
  </commentList>
</comments>
</file>

<file path=xl/comments5.xml><?xml version="1.0" encoding="utf-8"?>
<comments xmlns="http://schemas.openxmlformats.org/spreadsheetml/2006/main">
  <authors>
    <author>kazuoki3</author>
    <author>山口県</author>
    <author>015209</author>
  </authors>
  <commentList>
    <comment ref="A1" authorId="0">
      <text>
        <r>
          <rPr>
            <b/>
            <sz val="9"/>
            <color indexed="81"/>
            <rFont val="ＭＳ Ｐゴシック"/>
            <family val="3"/>
            <charset val="128"/>
          </rPr>
          <t>=IF(技術体系入力!B2=0,"",技術体系入力!B2)</t>
        </r>
      </text>
    </comment>
    <comment ref="D1" authorId="0">
      <text>
        <r>
          <rPr>
            <b/>
            <sz val="9"/>
            <color indexed="81"/>
            <rFont val="ＭＳ Ｐゴシック"/>
            <family val="3"/>
            <charset val="128"/>
          </rPr>
          <t>=IF(技術体系入力!D2=0,"",技術体系入力!D2)</t>
        </r>
      </text>
    </comment>
    <comment ref="A2" authorId="0">
      <text>
        <r>
          <rPr>
            <sz val="9"/>
            <color indexed="81"/>
            <rFont val="ＭＳ Ｐゴシック"/>
            <family val="3"/>
            <charset val="128"/>
          </rPr>
          <t>=作業名</t>
        </r>
      </text>
    </comment>
    <comment ref="B2" authorId="0">
      <text>
        <r>
          <rPr>
            <sz val="9"/>
            <color indexed="81"/>
            <rFont val="ＭＳ Ｐゴシック"/>
            <family val="3"/>
            <charset val="128"/>
          </rPr>
          <t>=月旬</t>
        </r>
      </text>
    </comment>
    <comment ref="C2" authorId="1">
      <text>
        <r>
          <rPr>
            <b/>
            <sz val="11"/>
            <color indexed="81"/>
            <rFont val="ＭＳ Ｐゴシック"/>
            <family val="3"/>
            <charset val="128"/>
          </rPr>
          <t>=「償却資産」シート
　「機械」</t>
        </r>
      </text>
    </comment>
    <comment ref="E2" authorId="2">
      <text>
        <r>
          <rPr>
            <b/>
            <sz val="9"/>
            <color indexed="81"/>
            <rFont val="ＭＳ Ｐゴシック"/>
            <family val="3"/>
            <charset val="128"/>
          </rPr>
          <t>黄色のセルは直接入力、緑のセルはプルダウンリストから選択してください。</t>
        </r>
        <r>
          <rPr>
            <sz val="9"/>
            <color indexed="81"/>
            <rFont val="ＭＳ Ｐゴシック"/>
            <family val="3"/>
            <charset val="128"/>
          </rPr>
          <t xml:space="preserve">
</t>
        </r>
      </text>
    </comment>
    <comment ref="F2" authorId="2">
      <text>
        <r>
          <rPr>
            <b/>
            <sz val="9"/>
            <color indexed="81"/>
            <rFont val="ＭＳ Ｐゴシック"/>
            <family val="3"/>
            <charset val="128"/>
          </rPr>
          <t>1作業あたりの
時間・人数を入力</t>
        </r>
      </text>
    </comment>
    <comment ref="L3" authorId="2">
      <text>
        <r>
          <rPr>
            <b/>
            <sz val="9"/>
            <color indexed="81"/>
            <rFont val="ＭＳ Ｐゴシック"/>
            <family val="3"/>
            <charset val="128"/>
          </rPr>
          <t>1作業あたりの
時間を入力</t>
        </r>
      </text>
    </comment>
  </commentList>
</comments>
</file>

<file path=xl/comments6.xml><?xml version="1.0" encoding="utf-8"?>
<comments xmlns="http://schemas.openxmlformats.org/spreadsheetml/2006/main">
  <authors>
    <author>山口県</author>
    <author>kazuoki3</author>
    <author>masa</author>
  </authors>
  <commentList>
    <comment ref="B1" authorId="0">
      <text>
        <r>
          <rPr>
            <b/>
            <sz val="9"/>
            <color indexed="81"/>
            <rFont val="ＭＳ Ｐゴシック"/>
            <family val="3"/>
            <charset val="128"/>
          </rPr>
          <t>黄色のセルは直接入力、緑のセルはプルダウンリストから選ぶか、または、自動計算されます。</t>
        </r>
      </text>
    </comment>
    <comment ref="B2" authorId="1">
      <text>
        <r>
          <rPr>
            <sz val="9"/>
            <color indexed="81"/>
            <rFont val="ＭＳ Ｐゴシック"/>
            <family val="3"/>
            <charset val="128"/>
          </rPr>
          <t>科目設定シート参照（=科目）</t>
        </r>
      </text>
    </comment>
    <comment ref="D2" authorId="2">
      <text>
        <r>
          <rPr>
            <sz val="11"/>
            <color indexed="8"/>
            <rFont val="ＭＳ Ｐゴシック"/>
            <family val="3"/>
            <charset val="128"/>
          </rPr>
          <t>経営全体あるいは該当作目全体で利用する数量を入力する。
ここでは案分を考慮した数値を入れない。
10a当りのあん分等は負担率で調整する</t>
        </r>
      </text>
    </comment>
    <comment ref="E2" authorId="1">
      <text>
        <r>
          <rPr>
            <sz val="9"/>
            <color indexed="81"/>
            <rFont val="ＭＳ Ｐゴシック"/>
            <family val="3"/>
            <charset val="128"/>
          </rPr>
          <t>=単位</t>
        </r>
      </text>
    </comment>
    <comment ref="F2" authorId="2">
      <text>
        <r>
          <rPr>
            <sz val="11"/>
            <color indexed="8"/>
            <rFont val="ＭＳ Ｐゴシック"/>
            <family val="3"/>
            <charset val="128"/>
          </rPr>
          <t>単価欄には物材そのものの金額（単価）を入力し、10a当りに案分する場合は負担率を使う。
例）１個１万円の資材を20aで使用する場合は、
　数量１、単価１万円、負担率50%と入力する。
　悪い例１：数量１、単価５千円、負担率100%
　悪い例２：数量0.5、単価１万円、負担率100%</t>
        </r>
      </text>
    </comment>
    <comment ref="G2" authorId="2">
      <text>
        <r>
          <rPr>
            <sz val="11"/>
            <color indexed="8"/>
            <rFont val="ＭＳ Ｐゴシック"/>
            <family val="3"/>
            <charset val="128"/>
          </rPr>
          <t>使用可能年数を入力
１０万円未満で複数年利用できる機械や資材等は、一般に単年度の経費とするが、ここでは使用年数で除した金額を単年度経費とする。</t>
        </r>
      </text>
    </comment>
    <comment ref="H2" authorId="2">
      <text>
        <r>
          <rPr>
            <sz val="11"/>
            <color indexed="8"/>
            <rFont val="ＭＳ Ｐゴシック"/>
            <family val="3"/>
            <charset val="128"/>
          </rPr>
          <t>①年間に該当作目が経営全体の中で負担する率を必ず入力
　例：抑制と促成の年２回利用する場合には、各作型で50%とする
②10a当りに換算するための調整数値として入力する。
　例：１個１万円の資材を20aで使用する場合は、
　　　数量１、単価１万円、負担率50%と入力する。
①と②両方が必要な場合は①×②の数値を入力する。
負担率の詳細を備考へメモしておく。</t>
        </r>
      </text>
    </comment>
    <comment ref="W2" authorId="2">
      <text>
        <r>
          <rPr>
            <sz val="9"/>
            <color indexed="8"/>
            <rFont val="ＭＳ Ｐゴシック"/>
            <family val="3"/>
            <charset val="128"/>
          </rPr>
          <t xml:space="preserve">負担率の根拠等を入力してください
</t>
        </r>
      </text>
    </comment>
  </commentList>
</comments>
</file>

<file path=xl/sharedStrings.xml><?xml version="1.0" encoding="utf-8"?>
<sst xmlns="http://schemas.openxmlformats.org/spreadsheetml/2006/main" count="1709" uniqueCount="855">
  <si>
    <t>品目</t>
  </si>
  <si>
    <t>品種</t>
  </si>
  <si>
    <t>該当する地域</t>
  </si>
  <si>
    <t>技術体系</t>
  </si>
  <si>
    <t>作業名</t>
  </si>
  <si>
    <t>作業内容</t>
  </si>
  <si>
    <t>時期</t>
  </si>
  <si>
    <t>投下資材及び使用設備</t>
  </si>
  <si>
    <t>備考（データ出典等）</t>
  </si>
  <si>
    <t>償却資産</t>
  </si>
  <si>
    <t>想定面積：</t>
  </si>
  <si>
    <t>a</t>
  </si>
  <si>
    <t>種  類</t>
  </si>
  <si>
    <t>構造能力</t>
  </si>
  <si>
    <t>数　量</t>
  </si>
  <si>
    <t>単　位</t>
  </si>
  <si>
    <t>残存率</t>
  </si>
  <si>
    <t>耐用年数</t>
  </si>
  <si>
    <t>農家負担率</t>
  </si>
  <si>
    <t>単価</t>
  </si>
  <si>
    <t>取得価格</t>
  </si>
  <si>
    <t>農 家</t>
  </si>
  <si>
    <t>該当作目</t>
  </si>
  <si>
    <t>(事業費)</t>
  </si>
  <si>
    <t>負担率</t>
  </si>
  <si>
    <t>負担価格</t>
  </si>
  <si>
    <t>残存価格</t>
  </si>
  <si>
    <t xml:space="preserve">総償却額  </t>
  </si>
  <si>
    <t xml:space="preserve">年償却額    </t>
  </si>
  <si>
    <t>年修理費</t>
  </si>
  <si>
    <t>備　考</t>
  </si>
  <si>
    <t>(10a当り)</t>
  </si>
  <si>
    <t>建</t>
  </si>
  <si>
    <t>物</t>
  </si>
  <si>
    <t>施</t>
  </si>
  <si>
    <t>設</t>
  </si>
  <si>
    <t>小 計(2)</t>
  </si>
  <si>
    <t>大植物</t>
  </si>
  <si>
    <t>小 計(3)</t>
  </si>
  <si>
    <t>計 (1)+(2)+(3)+(4)</t>
  </si>
  <si>
    <t>修理費係数の設定</t>
  </si>
  <si>
    <t>係数値</t>
  </si>
  <si>
    <t>負債利子計算</t>
  </si>
  <si>
    <t>全体</t>
  </si>
  <si>
    <t>建物・機械</t>
  </si>
  <si>
    <t>施設</t>
  </si>
  <si>
    <t>平均耐用年数</t>
  </si>
  <si>
    <t>①</t>
  </si>
  <si>
    <t>建物・施設</t>
  </si>
  <si>
    <t>平均負担価格</t>
  </si>
  <si>
    <t>建物</t>
  </si>
  <si>
    <t>②</t>
  </si>
  <si>
    <t>大農具</t>
  </si>
  <si>
    <t>投下固定資本中の借入資本比率</t>
  </si>
  <si>
    <t>借入資本額</t>
  </si>
  <si>
    <t>機械</t>
  </si>
  <si>
    <t>10a当たり借入資本額</t>
  </si>
  <si>
    <t>負債利子率</t>
  </si>
  <si>
    <t>10a当たり負債利子額</t>
  </si>
  <si>
    <t>作業期間</t>
  </si>
  <si>
    <t>原動機</t>
  </si>
  <si>
    <t>作業機械名
規格</t>
  </si>
  <si>
    <t>燃料</t>
  </si>
  <si>
    <t>備考</t>
  </si>
  <si>
    <t>基幹労働時間</t>
  </si>
  <si>
    <t>補助労働時間</t>
  </si>
  <si>
    <t>労働時間合計</t>
  </si>
  <si>
    <t>種類</t>
  </si>
  <si>
    <t>8月上旬</t>
  </si>
  <si>
    <t>軽油</t>
  </si>
  <si>
    <t>8月下旬</t>
  </si>
  <si>
    <t>ガソリン</t>
  </si>
  <si>
    <t>10月中旬</t>
  </si>
  <si>
    <t>9月下旬</t>
  </si>
  <si>
    <t>12月上旬</t>
  </si>
  <si>
    <t>11月上旬</t>
  </si>
  <si>
    <t>(10a当たり）</t>
  </si>
  <si>
    <t>科目</t>
  </si>
  <si>
    <t>名　称</t>
  </si>
  <si>
    <t>数量</t>
  </si>
  <si>
    <t>単位</t>
  </si>
  <si>
    <t>使用年数</t>
  </si>
  <si>
    <t>負担数量</t>
  </si>
  <si>
    <t>金　額</t>
  </si>
  <si>
    <t>使用濃度</t>
  </si>
  <si>
    <t>散布量</t>
  </si>
  <si>
    <t>散布回数</t>
  </si>
  <si>
    <t>参考使用量</t>
  </si>
  <si>
    <t>N成分率</t>
  </si>
  <si>
    <t>P成分率</t>
  </si>
  <si>
    <t>K成分率</t>
  </si>
  <si>
    <t>N成分量</t>
  </si>
  <si>
    <t>P成分量</t>
  </si>
  <si>
    <t>K成分量</t>
  </si>
  <si>
    <t>備    考</t>
  </si>
  <si>
    <t>肥料費</t>
  </si>
  <si>
    <t>土づくり肥料</t>
  </si>
  <si>
    <t>配合肥料</t>
  </si>
  <si>
    <t>種苗費</t>
  </si>
  <si>
    <t>種子</t>
  </si>
  <si>
    <t>袋</t>
  </si>
  <si>
    <t>農業薬剤費</t>
  </si>
  <si>
    <t>除草剤</t>
  </si>
  <si>
    <t>ml</t>
  </si>
  <si>
    <t>殺菌剤</t>
  </si>
  <si>
    <t>g</t>
  </si>
  <si>
    <t>殺虫剤</t>
  </si>
  <si>
    <t>通年</t>
  </si>
  <si>
    <t>管理費用</t>
  </si>
  <si>
    <t>保険料・共済掛金</t>
  </si>
  <si>
    <t>年間</t>
  </si>
  <si>
    <t>農業用租税公課</t>
  </si>
  <si>
    <t>粗収益</t>
  </si>
  <si>
    <t>主産物</t>
  </si>
  <si>
    <t>Kg</t>
  </si>
  <si>
    <t>諸材料費</t>
  </si>
  <si>
    <t>その他資材</t>
  </si>
  <si>
    <t>個</t>
  </si>
  <si>
    <t>賃借料・利用料</t>
  </si>
  <si>
    <t>施設・機械等リース料</t>
  </si>
  <si>
    <t>回</t>
  </si>
  <si>
    <t>土地改良・水利費</t>
  </si>
  <si>
    <t>水利費</t>
  </si>
  <si>
    <t>支払地代</t>
  </si>
  <si>
    <t>事務費</t>
  </si>
  <si>
    <t>販売費用</t>
  </si>
  <si>
    <t>運賃</t>
  </si>
  <si>
    <t>雇用労働費</t>
  </si>
  <si>
    <t>時間</t>
  </si>
  <si>
    <t>２．作業体系及び労働時間（10a当たり）</t>
  </si>
  <si>
    <t>単位：時間</t>
  </si>
  <si>
    <t>月　別</t>
  </si>
  <si>
    <t>合計</t>
  </si>
  <si>
    <t>上</t>
  </si>
  <si>
    <t>中</t>
  </si>
  <si>
    <t>下</t>
  </si>
  <si>
    <t>基幹労働</t>
  </si>
  <si>
    <t>補助労働</t>
  </si>
  <si>
    <t>基幹＋補助</t>
  </si>
  <si>
    <t>区分</t>
  </si>
  <si>
    <t>10a当り</t>
  </si>
  <si>
    <t>算  出  基  礎(10a当り)</t>
  </si>
  <si>
    <t>主  産  物</t>
  </si>
  <si>
    <t>副 産 物 等</t>
  </si>
  <si>
    <t xml:space="preserve">  合  計  (A)</t>
  </si>
  <si>
    <t>生産費用</t>
  </si>
  <si>
    <t>農薬費</t>
  </si>
  <si>
    <t>動力・光熱費</t>
  </si>
  <si>
    <t>農具費</t>
  </si>
  <si>
    <t>農機具修繕費</t>
  </si>
  <si>
    <t>小計</t>
  </si>
  <si>
    <t>手数料</t>
  </si>
  <si>
    <t>包装資材</t>
  </si>
  <si>
    <t>選果料</t>
  </si>
  <si>
    <t>その他</t>
  </si>
  <si>
    <t>支払利子</t>
  </si>
  <si>
    <t>合計　(B)</t>
  </si>
  <si>
    <t>台</t>
  </si>
  <si>
    <t>固定区分</t>
  </si>
  <si>
    <t>副産物</t>
  </si>
  <si>
    <t>奨励金</t>
  </si>
  <si>
    <t>苗</t>
  </si>
  <si>
    <t>その他種苗</t>
  </si>
  <si>
    <t>変動</t>
  </si>
  <si>
    <t>堆肥,有機質肥料</t>
  </si>
  <si>
    <t>微量要素</t>
  </si>
  <si>
    <t>液肥</t>
  </si>
  <si>
    <t>その他肥料</t>
  </si>
  <si>
    <t>殺虫殺菌剤</t>
  </si>
  <si>
    <t>成長調整剤</t>
  </si>
  <si>
    <t>その他農薬</t>
  </si>
  <si>
    <t>Ａ重油</t>
  </si>
  <si>
    <t>電気料</t>
  </si>
  <si>
    <t>畑潅水使用料</t>
  </si>
  <si>
    <t>混合油</t>
  </si>
  <si>
    <t>灯油</t>
  </si>
  <si>
    <t>水道</t>
  </si>
  <si>
    <t>育苗資材</t>
  </si>
  <si>
    <t>被覆資材</t>
  </si>
  <si>
    <t>誘引用資材</t>
  </si>
  <si>
    <t>ハウス被覆資材</t>
  </si>
  <si>
    <t>小農具</t>
  </si>
  <si>
    <t>その他農具</t>
  </si>
  <si>
    <t>修理費</t>
  </si>
  <si>
    <t>土地改良費</t>
  </si>
  <si>
    <t>賃借料</t>
  </si>
  <si>
    <t>利用料</t>
  </si>
  <si>
    <t>その他料金</t>
  </si>
  <si>
    <t>固定</t>
  </si>
  <si>
    <t>その他販売</t>
  </si>
  <si>
    <t>研修費</t>
  </si>
  <si>
    <t>通信費</t>
  </si>
  <si>
    <t>作業用衣料費</t>
  </si>
  <si>
    <t>その他管理</t>
  </si>
  <si>
    <t>月旬</t>
  </si>
  <si>
    <t>燃料種類</t>
  </si>
  <si>
    <t>1月上旬</t>
  </si>
  <si>
    <t>1月中旬</t>
  </si>
  <si>
    <t>t</t>
  </si>
  <si>
    <t>1月下旬</t>
  </si>
  <si>
    <t>不明</t>
  </si>
  <si>
    <t>2月上旬</t>
  </si>
  <si>
    <t>2月中旬</t>
  </si>
  <si>
    <t>ﾘｯﾄﾙ</t>
  </si>
  <si>
    <t>動力光熱費</t>
  </si>
  <si>
    <t>2月下旬</t>
  </si>
  <si>
    <t>錠</t>
  </si>
  <si>
    <t>3月上旬</t>
  </si>
  <si>
    <t>m</t>
  </si>
  <si>
    <t>3月中旬</t>
  </si>
  <si>
    <t>cc</t>
  </si>
  <si>
    <t>3月下旬</t>
  </si>
  <si>
    <t>mg</t>
  </si>
  <si>
    <t>4月上旬</t>
  </si>
  <si>
    <t>本</t>
  </si>
  <si>
    <t>販売経費</t>
  </si>
  <si>
    <t>4月中旬</t>
  </si>
  <si>
    <t>4月下旬</t>
  </si>
  <si>
    <t>kw</t>
  </si>
  <si>
    <t>その他（変動）</t>
  </si>
  <si>
    <t>5月上旬</t>
  </si>
  <si>
    <t>その他（固定）</t>
  </si>
  <si>
    <t>5月中旬</t>
  </si>
  <si>
    <t>箱</t>
  </si>
  <si>
    <t>5月下旬</t>
  </si>
  <si>
    <t>円</t>
  </si>
  <si>
    <t>6月上旬</t>
  </si>
  <si>
    <t>枚</t>
  </si>
  <si>
    <t>6月中旬</t>
  </si>
  <si>
    <t>組</t>
  </si>
  <si>
    <t>6月下旬</t>
  </si>
  <si>
    <t>7月上旬</t>
  </si>
  <si>
    <t>巻</t>
  </si>
  <si>
    <t>7月中旬</t>
  </si>
  <si>
    <t>7月下旬</t>
  </si>
  <si>
    <t>8月中旬</t>
  </si>
  <si>
    <t>Kg（本鉢・個）／10a</t>
  </si>
  <si>
    <t>箱／10a</t>
  </si>
  <si>
    <t>9月上旬</t>
  </si>
  <si>
    <t>円／10a</t>
  </si>
  <si>
    <t>9月中旬</t>
  </si>
  <si>
    <t>円／Kg（本鉢・個）</t>
  </si>
  <si>
    <t>10月上旬</t>
  </si>
  <si>
    <t>円／箱</t>
  </si>
  <si>
    <t>10月下旬</t>
  </si>
  <si>
    <t>11月中旬</t>
  </si>
  <si>
    <t>11月下旬</t>
  </si>
  <si>
    <t>12月中旬</t>
  </si>
  <si>
    <t>12月下旬</t>
  </si>
  <si>
    <t>基幹労働</t>
    <rPh sb="0" eb="2">
      <t>キカン</t>
    </rPh>
    <rPh sb="2" eb="4">
      <t>ロウドウ</t>
    </rPh>
    <phoneticPr fontId="14"/>
  </si>
  <si>
    <t>補助労働</t>
    <rPh sb="0" eb="2">
      <t>ホジョ</t>
    </rPh>
    <rPh sb="2" eb="4">
      <t>ロウドウ</t>
    </rPh>
    <phoneticPr fontId="14"/>
  </si>
  <si>
    <t>労働費（①）</t>
    <phoneticPr fontId="14"/>
  </si>
  <si>
    <t>支払地代（②）</t>
    <phoneticPr fontId="14"/>
  </si>
  <si>
    <t>利　　潤 (A-B=③)</t>
    <rPh sb="0" eb="1">
      <t>リ</t>
    </rPh>
    <rPh sb="3" eb="4">
      <t>ジュン</t>
    </rPh>
    <phoneticPr fontId="14"/>
  </si>
  <si>
    <t>構成員還元額（①＋②＋③）</t>
    <rPh sb="0" eb="3">
      <t>コウセイイン</t>
    </rPh>
    <rPh sb="3" eb="5">
      <t>カンゲン</t>
    </rPh>
    <rPh sb="5" eb="6">
      <t>ガク</t>
    </rPh>
    <phoneticPr fontId="14"/>
  </si>
  <si>
    <t>経営収支</t>
    <phoneticPr fontId="14"/>
  </si>
  <si>
    <t>経　営　費</t>
    <phoneticPr fontId="14"/>
  </si>
  <si>
    <t>アメダスポイント名</t>
    <rPh sb="8" eb="9">
      <t>メイ</t>
    </rPh>
    <phoneticPr fontId="14"/>
  </si>
  <si>
    <t>01岩国</t>
  </si>
  <si>
    <t>02柳井</t>
  </si>
  <si>
    <t>03玖珂</t>
  </si>
  <si>
    <t>04下松</t>
  </si>
  <si>
    <t>05防府</t>
  </si>
  <si>
    <t>06山口</t>
  </si>
  <si>
    <t>07秋吉台</t>
  </si>
  <si>
    <t>14須佐</t>
  </si>
  <si>
    <t>08宇部</t>
  </si>
  <si>
    <t>13徳佐</t>
  </si>
  <si>
    <t>12萩</t>
  </si>
  <si>
    <t>11油谷</t>
  </si>
  <si>
    <t>10豊田</t>
  </si>
  <si>
    <t>09下関</t>
  </si>
  <si>
    <t>支払利子</t>
    <rPh sb="0" eb="2">
      <t>シハライ</t>
    </rPh>
    <phoneticPr fontId="14"/>
  </si>
  <si>
    <t>技術・作型</t>
    <rPh sb="0" eb="2">
      <t>ギジュツ</t>
    </rPh>
    <phoneticPr fontId="14"/>
  </si>
  <si>
    <t>作業名</t>
    <rPh sb="0" eb="2">
      <t>サギョウ</t>
    </rPh>
    <rPh sb="2" eb="3">
      <t>メイ</t>
    </rPh>
    <phoneticPr fontId="14"/>
  </si>
  <si>
    <t>作業体系</t>
    <rPh sb="0" eb="2">
      <t>サギョウ</t>
    </rPh>
    <rPh sb="2" eb="4">
      <t>タイケイ</t>
    </rPh>
    <phoneticPr fontId="14"/>
  </si>
  <si>
    <t>収支データ入力</t>
    <phoneticPr fontId="14"/>
  </si>
  <si>
    <t>飼料費</t>
    <rPh sb="0" eb="2">
      <t>シリョウ</t>
    </rPh>
    <rPh sb="2" eb="3">
      <t>ヒ</t>
    </rPh>
    <phoneticPr fontId="14"/>
  </si>
  <si>
    <t>素畜費</t>
    <rPh sb="0" eb="1">
      <t>モト</t>
    </rPh>
    <rPh sb="1" eb="2">
      <t>チク</t>
    </rPh>
    <rPh sb="2" eb="3">
      <t>ヒ</t>
    </rPh>
    <phoneticPr fontId="14"/>
  </si>
  <si>
    <t>敷料費</t>
    <rPh sb="0" eb="1">
      <t>シ</t>
    </rPh>
    <rPh sb="1" eb="2">
      <t>リョウ</t>
    </rPh>
    <rPh sb="2" eb="3">
      <t>ヒ</t>
    </rPh>
    <phoneticPr fontId="14"/>
  </si>
  <si>
    <t>種付料</t>
    <rPh sb="0" eb="2">
      <t>タネツケ</t>
    </rPh>
    <rPh sb="2" eb="3">
      <t>リョウ</t>
    </rPh>
    <phoneticPr fontId="14"/>
  </si>
  <si>
    <t>診療・医薬品費</t>
    <rPh sb="0" eb="2">
      <t>シンリョウ</t>
    </rPh>
    <rPh sb="3" eb="6">
      <t>イヤクヒン</t>
    </rPh>
    <rPh sb="6" eb="7">
      <t>ヒ</t>
    </rPh>
    <phoneticPr fontId="14"/>
  </si>
  <si>
    <t>出荷運賃</t>
  </si>
  <si>
    <t>ＪＡ手数料</t>
  </si>
  <si>
    <t>全農手数料</t>
  </si>
  <si>
    <t>市場手数料</t>
  </si>
  <si>
    <t>機　械</t>
    <rPh sb="0" eb="1">
      <t>キ</t>
    </rPh>
    <rPh sb="2" eb="3">
      <t>カイ</t>
    </rPh>
    <phoneticPr fontId="14"/>
  </si>
  <si>
    <t/>
  </si>
  <si>
    <t>計</t>
    <rPh sb="0" eb="1">
      <t>ケイ</t>
    </rPh>
    <phoneticPr fontId="14"/>
  </si>
  <si>
    <t>基幹労働
人数</t>
    <rPh sb="0" eb="2">
      <t>キカン</t>
    </rPh>
    <rPh sb="2" eb="4">
      <t>ロウドウ</t>
    </rPh>
    <rPh sb="5" eb="7">
      <t>ニンズウ</t>
    </rPh>
    <phoneticPr fontId="14"/>
  </si>
  <si>
    <t>補助労働
人数</t>
    <rPh sb="0" eb="2">
      <t>ホジョ</t>
    </rPh>
    <rPh sb="2" eb="4">
      <t>ロウドウ</t>
    </rPh>
    <rPh sb="5" eb="7">
      <t>ニンズウ</t>
    </rPh>
    <phoneticPr fontId="14"/>
  </si>
  <si>
    <t>労働時間</t>
    <rPh sb="0" eb="2">
      <t>ロウドウ</t>
    </rPh>
    <rPh sb="2" eb="4">
      <t>ジカン</t>
    </rPh>
    <phoneticPr fontId="14"/>
  </si>
  <si>
    <t>基幹労働</t>
    <phoneticPr fontId="14"/>
  </si>
  <si>
    <t>補助労働</t>
    <phoneticPr fontId="14"/>
  </si>
  <si>
    <t>その他燃料</t>
    <phoneticPr fontId="14"/>
  </si>
  <si>
    <t>灯油</t>
    <rPh sb="0" eb="2">
      <t>トウユ</t>
    </rPh>
    <phoneticPr fontId="14"/>
  </si>
  <si>
    <t>[EI]</t>
    <phoneticPr fontId="14"/>
  </si>
  <si>
    <t>SpaceFor</t>
    <phoneticPr fontId="14"/>
  </si>
  <si>
    <t>Comment</t>
    <phoneticPr fontId="14"/>
  </si>
  <si>
    <t>Ver3.25</t>
    <phoneticPr fontId="14"/>
  </si>
  <si>
    <t>経営指標の概要</t>
    <rPh sb="0" eb="2">
      <t>ケイエイ</t>
    </rPh>
    <rPh sb="2" eb="4">
      <t>シヒョウ</t>
    </rPh>
    <rPh sb="5" eb="7">
      <t>ガイヨウ</t>
    </rPh>
    <phoneticPr fontId="14"/>
  </si>
  <si>
    <t>No.</t>
    <phoneticPr fontId="14"/>
  </si>
  <si>
    <t>地域</t>
    <phoneticPr fontId="14"/>
  </si>
  <si>
    <t>作目</t>
    <phoneticPr fontId="14"/>
  </si>
  <si>
    <t>作型・品種など</t>
    <phoneticPr fontId="14"/>
  </si>
  <si>
    <t>10ａ当たり粗収益 (円、kg)</t>
    <rPh sb="6" eb="7">
      <t>ソ</t>
    </rPh>
    <rPh sb="7" eb="9">
      <t>シュウエキ</t>
    </rPh>
    <phoneticPr fontId="14"/>
  </si>
  <si>
    <t>10ａ当たり作業労働時間 (時間)</t>
    <phoneticPr fontId="14"/>
  </si>
  <si>
    <t>土地利用</t>
    <rPh sb="0" eb="4">
      <t>トチリヨウ</t>
    </rPh>
    <phoneticPr fontId="14"/>
  </si>
  <si>
    <t>単位収量</t>
    <phoneticPr fontId="14"/>
  </si>
  <si>
    <t>１月上</t>
    <phoneticPr fontId="14"/>
  </si>
  <si>
    <t>７月上</t>
    <phoneticPr fontId="14"/>
  </si>
  <si>
    <t>作付地目</t>
    <phoneticPr fontId="14"/>
  </si>
  <si>
    <t>単価</t>
    <phoneticPr fontId="14"/>
  </si>
  <si>
    <t>１月中</t>
    <phoneticPr fontId="14"/>
  </si>
  <si>
    <t>７月中</t>
    <phoneticPr fontId="14"/>
  </si>
  <si>
    <t>主食用米</t>
    <rPh sb="0" eb="3">
      <t>シュショクヨウ</t>
    </rPh>
    <rPh sb="3" eb="4">
      <t>コメ</t>
    </rPh>
    <phoneticPr fontId="14"/>
  </si>
  <si>
    <t>その他の収益</t>
    <phoneticPr fontId="14"/>
  </si>
  <si>
    <t>１月下</t>
    <phoneticPr fontId="14"/>
  </si>
  <si>
    <t>７月下</t>
    <phoneticPr fontId="14"/>
  </si>
  <si>
    <t>圃場利用/始</t>
    <phoneticPr fontId="14"/>
  </si>
  <si>
    <t>合計</t>
    <phoneticPr fontId="14"/>
  </si>
  <si>
    <t>２月上</t>
    <phoneticPr fontId="14"/>
  </si>
  <si>
    <t>８月上</t>
    <phoneticPr fontId="14"/>
  </si>
  <si>
    <t>圃場利用/終</t>
    <phoneticPr fontId="14"/>
  </si>
  <si>
    <t>10ａ当たり変動費 (円)</t>
    <rPh sb="6" eb="9">
      <t>ヘンドウヒ</t>
    </rPh>
    <phoneticPr fontId="14"/>
  </si>
  <si>
    <t>２月中</t>
    <phoneticPr fontId="14"/>
  </si>
  <si>
    <t>８月中</t>
    <phoneticPr fontId="14"/>
  </si>
  <si>
    <t>作付下限</t>
    <phoneticPr fontId="14"/>
  </si>
  <si>
    <t>種苗費</t>
    <phoneticPr fontId="14"/>
  </si>
  <si>
    <t>２月下</t>
    <phoneticPr fontId="14"/>
  </si>
  <si>
    <t>８月下</t>
    <phoneticPr fontId="14"/>
  </si>
  <si>
    <t>作付上限</t>
    <phoneticPr fontId="14"/>
  </si>
  <si>
    <t>肥料費</t>
    <phoneticPr fontId="14"/>
  </si>
  <si>
    <t>３月上</t>
    <phoneticPr fontId="14"/>
  </si>
  <si>
    <t>９月上</t>
    <phoneticPr fontId="14"/>
  </si>
  <si>
    <t>農薬衛生費</t>
    <phoneticPr fontId="14"/>
  </si>
  <si>
    <t>３月中</t>
    <phoneticPr fontId="14"/>
  </si>
  <si>
    <t>９月中</t>
    <phoneticPr fontId="14"/>
  </si>
  <si>
    <t>光熱動力費</t>
    <phoneticPr fontId="14"/>
  </si>
  <si>
    <t>３月下</t>
    <phoneticPr fontId="14"/>
  </si>
  <si>
    <t>９月下</t>
    <phoneticPr fontId="14"/>
  </si>
  <si>
    <t>その他の諸材料費</t>
    <phoneticPr fontId="14"/>
  </si>
  <si>
    <t>４月上</t>
    <phoneticPr fontId="14"/>
  </si>
  <si>
    <t>10月上</t>
    <phoneticPr fontId="14"/>
  </si>
  <si>
    <t>土地改良・水利費</t>
    <phoneticPr fontId="14"/>
  </si>
  <si>
    <t>４月中</t>
    <phoneticPr fontId="14"/>
  </si>
  <si>
    <t>10月中</t>
    <phoneticPr fontId="14"/>
  </si>
  <si>
    <t>賃借料・料金</t>
    <phoneticPr fontId="14"/>
  </si>
  <si>
    <t>４月下</t>
    <phoneticPr fontId="14"/>
  </si>
  <si>
    <t>10月下</t>
    <phoneticPr fontId="14"/>
  </si>
  <si>
    <t>荷造運賃手数料</t>
    <phoneticPr fontId="14"/>
  </si>
  <si>
    <t>５月上</t>
    <phoneticPr fontId="14"/>
  </si>
  <si>
    <t>11月上</t>
    <phoneticPr fontId="14"/>
  </si>
  <si>
    <t>その他の費用</t>
    <phoneticPr fontId="14"/>
  </si>
  <si>
    <t>５月中</t>
    <phoneticPr fontId="14"/>
  </si>
  <si>
    <t>11月中</t>
    <phoneticPr fontId="14"/>
  </si>
  <si>
    <t>５月下</t>
    <phoneticPr fontId="14"/>
  </si>
  <si>
    <t>11月下</t>
    <phoneticPr fontId="14"/>
  </si>
  <si>
    <t>６月上</t>
    <phoneticPr fontId="14"/>
  </si>
  <si>
    <t>12月上</t>
    <phoneticPr fontId="14"/>
  </si>
  <si>
    <t>比例利益 (利益係数)</t>
    <rPh sb="0" eb="2">
      <t>ヒレイ</t>
    </rPh>
    <rPh sb="6" eb="8">
      <t>リエキ</t>
    </rPh>
    <rPh sb="8" eb="10">
      <t>ケイスウ</t>
    </rPh>
    <phoneticPr fontId="14"/>
  </si>
  <si>
    <t>６月中</t>
    <phoneticPr fontId="14"/>
  </si>
  <si>
    <t>12月中</t>
    <phoneticPr fontId="14"/>
  </si>
  <si>
    <t>する</t>
  </si>
  <si>
    <t>６月下</t>
    <phoneticPr fontId="14"/>
  </si>
  <si>
    <t>12月下</t>
    <phoneticPr fontId="14"/>
  </si>
  <si>
    <t>入力方法</t>
    <rPh sb="0" eb="2">
      <t>ニュウリョク</t>
    </rPh>
    <rPh sb="2" eb="4">
      <t>ホウホウ</t>
    </rPh>
    <phoneticPr fontId="14"/>
  </si>
  <si>
    <t>セルの色</t>
    <rPh sb="3" eb="4">
      <t>イロ</t>
    </rPh>
    <phoneticPr fontId="14"/>
  </si>
  <si>
    <t>手入力</t>
    <rPh sb="0" eb="1">
      <t>テ</t>
    </rPh>
    <rPh sb="1" eb="3">
      <t>ニュウリョク</t>
    </rPh>
    <phoneticPr fontId="14"/>
  </si>
  <si>
    <t>リストから選択</t>
    <rPh sb="5" eb="7">
      <t>センタク</t>
    </rPh>
    <phoneticPr fontId="14"/>
  </si>
  <si>
    <t>自動計算(手入力しないでください)</t>
    <rPh sb="0" eb="2">
      <t>ジドウ</t>
    </rPh>
    <rPh sb="2" eb="4">
      <t>ケイサン</t>
    </rPh>
    <rPh sb="5" eb="6">
      <t>テ</t>
    </rPh>
    <rPh sb="6" eb="8">
      <t>ニュウリョク</t>
    </rPh>
    <phoneticPr fontId="14"/>
  </si>
  <si>
    <t>シートの色</t>
    <rPh sb="4" eb="5">
      <t>イロ</t>
    </rPh>
    <phoneticPr fontId="14"/>
  </si>
  <si>
    <t>必要事項を入力してください</t>
    <rPh sb="0" eb="2">
      <t>ヒツヨウ</t>
    </rPh>
    <rPh sb="2" eb="4">
      <t>ジコウ</t>
    </rPh>
    <rPh sb="5" eb="7">
      <t>ニュウリョク</t>
    </rPh>
    <phoneticPr fontId="14"/>
  </si>
  <si>
    <t>結果が反映されます</t>
    <rPh sb="0" eb="2">
      <t>ケッカ</t>
    </rPh>
    <rPh sb="3" eb="5">
      <t>ハンエイ</t>
    </rPh>
    <phoneticPr fontId="14"/>
  </si>
  <si>
    <t>参考</t>
    <rPh sb="0" eb="2">
      <t>サンコウ</t>
    </rPh>
    <phoneticPr fontId="14"/>
  </si>
  <si>
    <t>当たり労働時間（単位：時間）</t>
    <rPh sb="0" eb="1">
      <t>ア</t>
    </rPh>
    <rPh sb="3" eb="5">
      <t>ロウドウ</t>
    </rPh>
    <rPh sb="5" eb="7">
      <t>ジカン</t>
    </rPh>
    <rPh sb="8" eb="10">
      <t>タンイ</t>
    </rPh>
    <rPh sb="11" eb="13">
      <t>ジカン</t>
    </rPh>
    <phoneticPr fontId="14"/>
  </si>
  <si>
    <t>必要となる労働時間の合計</t>
    <rPh sb="0" eb="2">
      <t>ヒツヨウ</t>
    </rPh>
    <rPh sb="5" eb="7">
      <t>ロウドウ</t>
    </rPh>
    <rPh sb="7" eb="9">
      <t>ジカン</t>
    </rPh>
    <rPh sb="10" eb="12">
      <t>ゴウケイ</t>
    </rPh>
    <phoneticPr fontId="14"/>
  </si>
  <si>
    <t>余剰または不足労力</t>
    <rPh sb="0" eb="2">
      <t>ヨジョウ</t>
    </rPh>
    <rPh sb="5" eb="7">
      <t>フソク</t>
    </rPh>
    <rPh sb="7" eb="9">
      <t>ロウリョク</t>
    </rPh>
    <phoneticPr fontId="14"/>
  </si>
  <si>
    <t>ａ</t>
    <phoneticPr fontId="14"/>
  </si>
  <si>
    <t>自家労力の上限</t>
    <rPh sb="0" eb="2">
      <t>ジカ</t>
    </rPh>
    <rPh sb="2" eb="4">
      <t>ロウリョク</t>
    </rPh>
    <rPh sb="5" eb="7">
      <t>ジョウゲン</t>
    </rPh>
    <phoneticPr fontId="14"/>
  </si>
  <si>
    <t>月</t>
    <rPh sb="0" eb="1">
      <t>ツキ</t>
    </rPh>
    <phoneticPr fontId="14"/>
  </si>
  <si>
    <t>粗収益(円/10a）</t>
    <rPh sb="4" eb="5">
      <t>エン</t>
    </rPh>
    <phoneticPr fontId="14"/>
  </si>
  <si>
    <t>合計</t>
    <rPh sb="0" eb="2">
      <t>ゴウケイ</t>
    </rPh>
    <phoneticPr fontId="14"/>
  </si>
  <si>
    <t>②償却資産　建物　年修理費（10a当り）</t>
    <rPh sb="1" eb="3">
      <t>ショウキャク</t>
    </rPh>
    <rPh sb="3" eb="5">
      <t>シサン</t>
    </rPh>
    <rPh sb="6" eb="8">
      <t>タテモノ</t>
    </rPh>
    <rPh sb="9" eb="10">
      <t>ネン</t>
    </rPh>
    <rPh sb="10" eb="13">
      <t>シュウリヒ</t>
    </rPh>
    <rPh sb="17" eb="18">
      <t>ア</t>
    </rPh>
    <phoneticPr fontId="14"/>
  </si>
  <si>
    <t>施設修繕費</t>
    <rPh sb="0" eb="2">
      <t>シセツ</t>
    </rPh>
    <phoneticPr fontId="14"/>
  </si>
  <si>
    <t>②償却資産　施設　年修理費（10a当り）</t>
    <rPh sb="1" eb="3">
      <t>ショウキャク</t>
    </rPh>
    <rPh sb="3" eb="5">
      <t>シサン</t>
    </rPh>
    <rPh sb="6" eb="8">
      <t>シセツ</t>
    </rPh>
    <rPh sb="9" eb="10">
      <t>ネン</t>
    </rPh>
    <rPh sb="10" eb="13">
      <t>シュウリヒ</t>
    </rPh>
    <rPh sb="17" eb="18">
      <t>ア</t>
    </rPh>
    <phoneticPr fontId="14"/>
  </si>
  <si>
    <t>②償却資産　機械　年修理費（10a当り）</t>
    <rPh sb="1" eb="3">
      <t>ショウキャク</t>
    </rPh>
    <rPh sb="3" eb="5">
      <t>シサン</t>
    </rPh>
    <rPh sb="6" eb="8">
      <t>キカイ</t>
    </rPh>
    <rPh sb="9" eb="10">
      <t>ネン</t>
    </rPh>
    <rPh sb="10" eb="13">
      <t>シュウリヒ</t>
    </rPh>
    <rPh sb="17" eb="18">
      <t>ア</t>
    </rPh>
    <phoneticPr fontId="14"/>
  </si>
  <si>
    <t>修繕費</t>
    <rPh sb="0" eb="3">
      <t>シュウゼンヒ</t>
    </rPh>
    <phoneticPr fontId="14"/>
  </si>
  <si>
    <t>減価償却費</t>
    <rPh sb="0" eb="2">
      <t>ゲンカ</t>
    </rPh>
    <rPh sb="2" eb="4">
      <t>ショウキャク</t>
    </rPh>
    <rPh sb="4" eb="5">
      <t>ヒ</t>
    </rPh>
    <phoneticPr fontId="14"/>
  </si>
  <si>
    <t>施設</t>
    <rPh sb="0" eb="2">
      <t>シセツ</t>
    </rPh>
    <phoneticPr fontId="14"/>
  </si>
  <si>
    <t>農機具</t>
    <phoneticPr fontId="14"/>
  </si>
  <si>
    <t>大植物</t>
    <rPh sb="0" eb="1">
      <t>ダイ</t>
    </rPh>
    <rPh sb="1" eb="3">
      <t>ショクブツ</t>
    </rPh>
    <phoneticPr fontId="14"/>
  </si>
  <si>
    <t>②償却資産　建物　年償却費（10a当り）</t>
    <rPh sb="1" eb="3">
      <t>ショウキャク</t>
    </rPh>
    <rPh sb="3" eb="5">
      <t>シサン</t>
    </rPh>
    <rPh sb="6" eb="8">
      <t>タテモノ</t>
    </rPh>
    <rPh sb="9" eb="10">
      <t>ネン</t>
    </rPh>
    <rPh sb="10" eb="12">
      <t>ショウキャク</t>
    </rPh>
    <rPh sb="12" eb="13">
      <t>ヒ</t>
    </rPh>
    <rPh sb="17" eb="18">
      <t>ア</t>
    </rPh>
    <phoneticPr fontId="14"/>
  </si>
  <si>
    <t>想定規模(ha)</t>
    <phoneticPr fontId="14"/>
  </si>
  <si>
    <t>作業
回数</t>
    <phoneticPr fontId="14"/>
  </si>
  <si>
    <t>時間当り消費量</t>
    <phoneticPr fontId="14"/>
  </si>
  <si>
    <t>10a当り
消費量</t>
    <phoneticPr fontId="14"/>
  </si>
  <si>
    <t>農具費</t>
    <rPh sb="0" eb="2">
      <t>ノウグ</t>
    </rPh>
    <rPh sb="2" eb="3">
      <t>ヒ</t>
    </rPh>
    <phoneticPr fontId="14"/>
  </si>
  <si>
    <t>賃借料・利用料</t>
    <phoneticPr fontId="14"/>
  </si>
  <si>
    <t>労働配分</t>
    <rPh sb="0" eb="2">
      <t>ロウドウ</t>
    </rPh>
    <rPh sb="2" eb="4">
      <t>ハイブン</t>
    </rPh>
    <phoneticPr fontId="14"/>
  </si>
  <si>
    <t>建物修繕費</t>
    <phoneticPr fontId="14"/>
  </si>
  <si>
    <t>建物</t>
    <phoneticPr fontId="14"/>
  </si>
  <si>
    <t>時給(イ)</t>
    <rPh sb="0" eb="2">
      <t>ジキュウ</t>
    </rPh>
    <phoneticPr fontId="14"/>
  </si>
  <si>
    <t>労働費(ア)×(イ)</t>
    <rPh sb="0" eb="3">
      <t>ロウドウヒ</t>
    </rPh>
    <phoneticPr fontId="14"/>
  </si>
  <si>
    <t>粗収益</t>
    <rPh sb="0" eb="1">
      <t>ソ</t>
    </rPh>
    <rPh sb="1" eb="3">
      <t>シュウエキ</t>
    </rPh>
    <phoneticPr fontId="14"/>
  </si>
  <si>
    <t>通年</t>
    <rPh sb="0" eb="2">
      <t>ツウネン</t>
    </rPh>
    <phoneticPr fontId="14"/>
  </si>
  <si>
    <t>副産物
(円/10a)</t>
    <rPh sb="0" eb="3">
      <t>フクサンブツ</t>
    </rPh>
    <rPh sb="5" eb="6">
      <t>エン</t>
    </rPh>
    <phoneticPr fontId="14"/>
  </si>
  <si>
    <t>その他奨励金
(円/10a)</t>
    <rPh sb="2" eb="3">
      <t>タ</t>
    </rPh>
    <rPh sb="3" eb="6">
      <t>ショウレイキン</t>
    </rPh>
    <rPh sb="8" eb="9">
      <t>エン</t>
    </rPh>
    <phoneticPr fontId="14"/>
  </si>
  <si>
    <t>その他奨励金</t>
    <rPh sb="2" eb="3">
      <t>タ</t>
    </rPh>
    <rPh sb="3" eb="6">
      <t>ショウレイキン</t>
    </rPh>
    <phoneticPr fontId="14"/>
  </si>
  <si>
    <t>④収入　粗収益</t>
    <rPh sb="1" eb="3">
      <t>シュウニュウ</t>
    </rPh>
    <rPh sb="4" eb="5">
      <t>ソ</t>
    </rPh>
    <rPh sb="5" eb="7">
      <t>シュウエキ</t>
    </rPh>
    <phoneticPr fontId="14"/>
  </si>
  <si>
    <t>④収入　副産物</t>
    <rPh sb="1" eb="3">
      <t>シュウニュウ</t>
    </rPh>
    <rPh sb="4" eb="7">
      <t>フクサンブツ</t>
    </rPh>
    <phoneticPr fontId="14"/>
  </si>
  <si>
    <t>④収入　その他奨励金</t>
    <rPh sb="1" eb="3">
      <t>シュウニュウ</t>
    </rPh>
    <rPh sb="6" eb="7">
      <t>タ</t>
    </rPh>
    <rPh sb="7" eb="10">
      <t>ショウレイキン</t>
    </rPh>
    <phoneticPr fontId="14"/>
  </si>
  <si>
    <t>⑤支出　種苗費</t>
    <rPh sb="1" eb="3">
      <t>シシュツ</t>
    </rPh>
    <rPh sb="4" eb="6">
      <t>シュビョウ</t>
    </rPh>
    <rPh sb="6" eb="7">
      <t>ヒ</t>
    </rPh>
    <phoneticPr fontId="14"/>
  </si>
  <si>
    <t>⑤支出　肥料費</t>
    <rPh sb="1" eb="3">
      <t>シシュツ</t>
    </rPh>
    <rPh sb="4" eb="6">
      <t>ヒリョウ</t>
    </rPh>
    <rPh sb="6" eb="7">
      <t>ヒ</t>
    </rPh>
    <phoneticPr fontId="14"/>
  </si>
  <si>
    <t>⑤支出　農業薬剤費</t>
    <rPh sb="1" eb="3">
      <t>シシュツ</t>
    </rPh>
    <rPh sb="4" eb="6">
      <t>ノウギョウ</t>
    </rPh>
    <rPh sb="6" eb="9">
      <t>ヤクザイヒ</t>
    </rPh>
    <phoneticPr fontId="14"/>
  </si>
  <si>
    <t>⑤支出　動力光熱費</t>
    <rPh sb="1" eb="3">
      <t>シシュツ</t>
    </rPh>
    <rPh sb="4" eb="6">
      <t>ドウリョク</t>
    </rPh>
    <rPh sb="6" eb="9">
      <t>コウネツヒ</t>
    </rPh>
    <phoneticPr fontId="14"/>
  </si>
  <si>
    <t>⑤支出　諸材料費</t>
    <rPh sb="1" eb="3">
      <t>シシュツ</t>
    </rPh>
    <rPh sb="4" eb="5">
      <t>ショ</t>
    </rPh>
    <rPh sb="5" eb="8">
      <t>ザイリョウヒ</t>
    </rPh>
    <phoneticPr fontId="14"/>
  </si>
  <si>
    <t>⑤支出　農具費</t>
    <rPh sb="1" eb="3">
      <t>シシュツ</t>
    </rPh>
    <rPh sb="4" eb="6">
      <t>ノウグ</t>
    </rPh>
    <rPh sb="6" eb="7">
      <t>ヒ</t>
    </rPh>
    <phoneticPr fontId="14"/>
  </si>
  <si>
    <t>⑤支出　賃借料・利用料</t>
    <rPh sb="1" eb="3">
      <t>シシュツ</t>
    </rPh>
    <rPh sb="4" eb="7">
      <t>チンシャクリョウ</t>
    </rPh>
    <rPh sb="8" eb="11">
      <t>リヨウリョウ</t>
    </rPh>
    <phoneticPr fontId="14"/>
  </si>
  <si>
    <t>土地改良・水利費</t>
    <phoneticPr fontId="14"/>
  </si>
  <si>
    <t>⑤支出　土地改良・水利費</t>
    <rPh sb="1" eb="3">
      <t>シシュツ</t>
    </rPh>
    <phoneticPr fontId="14"/>
  </si>
  <si>
    <t>土地改良
・水利費</t>
    <phoneticPr fontId="14"/>
  </si>
  <si>
    <t>支払地代</t>
    <phoneticPr fontId="14"/>
  </si>
  <si>
    <t>賃借料・
利用料</t>
    <phoneticPr fontId="14"/>
  </si>
  <si>
    <t>保険料・共済掛金</t>
    <phoneticPr fontId="14"/>
  </si>
  <si>
    <t>保険料・
共済掛金</t>
    <phoneticPr fontId="14"/>
  </si>
  <si>
    <t>一般管理費</t>
    <phoneticPr fontId="14"/>
  </si>
  <si>
    <t>一般管理費</t>
    <phoneticPr fontId="14"/>
  </si>
  <si>
    <t>農業用租税公課</t>
    <phoneticPr fontId="14"/>
  </si>
  <si>
    <t>農業用
租税公課</t>
    <phoneticPr fontId="14"/>
  </si>
  <si>
    <t>その他</t>
    <rPh sb="2" eb="3">
      <t>タ</t>
    </rPh>
    <phoneticPr fontId="14"/>
  </si>
  <si>
    <t>⑤支出　支払地代</t>
    <rPh sb="1" eb="3">
      <t>シシュツ</t>
    </rPh>
    <rPh sb="4" eb="6">
      <t>シハライ</t>
    </rPh>
    <rPh sb="6" eb="8">
      <t>チダイ</t>
    </rPh>
    <phoneticPr fontId="14"/>
  </si>
  <si>
    <t>⑤支出　保険料・共済掛金</t>
    <rPh sb="1" eb="3">
      <t>シシュツ</t>
    </rPh>
    <rPh sb="4" eb="7">
      <t>ホケンリョウ</t>
    </rPh>
    <rPh sb="8" eb="10">
      <t>キョウサイ</t>
    </rPh>
    <rPh sb="10" eb="12">
      <t>カケキン</t>
    </rPh>
    <phoneticPr fontId="14"/>
  </si>
  <si>
    <t>⑤支出　一般管理費</t>
    <rPh sb="1" eb="3">
      <t>シシュツ</t>
    </rPh>
    <rPh sb="4" eb="6">
      <t>イッパン</t>
    </rPh>
    <rPh sb="6" eb="9">
      <t>カンリヒ</t>
    </rPh>
    <phoneticPr fontId="14"/>
  </si>
  <si>
    <t>⑤支出　農業用租税公課</t>
    <rPh sb="1" eb="3">
      <t>シシュツ</t>
    </rPh>
    <rPh sb="4" eb="7">
      <t>ノウギョウヨウ</t>
    </rPh>
    <rPh sb="7" eb="9">
      <t>ソゼイ</t>
    </rPh>
    <rPh sb="9" eb="11">
      <t>コウカ</t>
    </rPh>
    <phoneticPr fontId="14"/>
  </si>
  <si>
    <t>その他</t>
    <phoneticPr fontId="14"/>
  </si>
  <si>
    <t>⑤支出　その他</t>
    <rPh sb="1" eb="3">
      <t>シシュツ</t>
    </rPh>
    <rPh sb="6" eb="7">
      <t>タ</t>
    </rPh>
    <phoneticPr fontId="14"/>
  </si>
  <si>
    <t>出荷袋</t>
  </si>
  <si>
    <t>黒毛和種</t>
    <rPh sb="0" eb="2">
      <t>クロゲ</t>
    </rPh>
    <rPh sb="2" eb="3">
      <t>ワ</t>
    </rPh>
    <rPh sb="3" eb="4">
      <t>シュ</t>
    </rPh>
    <phoneticPr fontId="15"/>
  </si>
  <si>
    <t>県全域</t>
  </si>
  <si>
    <t>成牛市場で2頭購入</t>
  </si>
  <si>
    <t>経産牛２頭、家畜運搬車</t>
  </si>
  <si>
    <t>放牧馴致</t>
  </si>
  <si>
    <t>農林総合技術Ｃ畜産技術部で放牧馴致開始</t>
  </si>
  <si>
    <t>家畜運搬車</t>
  </si>
  <si>
    <t>導入日同日運搬</t>
  </si>
  <si>
    <t>下草刈り</t>
  </si>
  <si>
    <t>電気牧柵設置場所の草刈り</t>
  </si>
  <si>
    <t>刈払機</t>
  </si>
  <si>
    <t>放牧施設設置</t>
  </si>
  <si>
    <t>電牧器、電牧線、電牧柱、検電器</t>
  </si>
  <si>
    <t>家畜運搬車、殺ダニ剤</t>
  </si>
  <si>
    <t>放牧馴致終了日同日</t>
  </si>
  <si>
    <t>刈払機</t>
    <rPh sb="0" eb="1">
      <t>カ</t>
    </rPh>
    <rPh sb="1" eb="2">
      <t>ハラ</t>
    </rPh>
    <rPh sb="2" eb="3">
      <t>キ</t>
    </rPh>
    <phoneticPr fontId="15"/>
  </si>
  <si>
    <t>頭</t>
    <rPh sb="0" eb="1">
      <t>トウ</t>
    </rPh>
    <phoneticPr fontId="15"/>
  </si>
  <si>
    <t>市場購買手数料</t>
    <rPh sb="0" eb="2">
      <t>シジョウ</t>
    </rPh>
    <rPh sb="2" eb="4">
      <t>コウバイ</t>
    </rPh>
    <rPh sb="4" eb="7">
      <t>テスウリョウ</t>
    </rPh>
    <phoneticPr fontId="15"/>
  </si>
  <si>
    <t>3,240円/頭×2頭分の購買手数料</t>
    <rPh sb="5" eb="6">
      <t>エン</t>
    </rPh>
    <rPh sb="7" eb="8">
      <t>トウ</t>
    </rPh>
    <rPh sb="10" eb="11">
      <t>トウ</t>
    </rPh>
    <rPh sb="11" eb="12">
      <t>ブン</t>
    </rPh>
    <rPh sb="13" eb="15">
      <t>コウバイ</t>
    </rPh>
    <rPh sb="15" eb="18">
      <t>テスウリョウ</t>
    </rPh>
    <phoneticPr fontId="15"/>
  </si>
  <si>
    <t>家畜運搬車による輸送料</t>
    <rPh sb="0" eb="2">
      <t>カチク</t>
    </rPh>
    <rPh sb="2" eb="5">
      <t>ウンパンシャ</t>
    </rPh>
    <rPh sb="8" eb="10">
      <t>ユソウ</t>
    </rPh>
    <rPh sb="10" eb="11">
      <t>リョウ</t>
    </rPh>
    <phoneticPr fontId="15"/>
  </si>
  <si>
    <t>JA山口中央(H26),5,000円/頭×2頭</t>
    <rPh sb="2" eb="4">
      <t>ヤマグチ</t>
    </rPh>
    <rPh sb="4" eb="6">
      <t>チュウオウ</t>
    </rPh>
    <rPh sb="17" eb="18">
      <t>エン</t>
    </rPh>
    <rPh sb="19" eb="20">
      <t>トウ</t>
    </rPh>
    <rPh sb="22" eb="23">
      <t>トウ</t>
    </rPh>
    <phoneticPr fontId="32"/>
  </si>
  <si>
    <t>家畜共済掛金</t>
    <rPh sb="0" eb="2">
      <t>カチク</t>
    </rPh>
    <rPh sb="2" eb="4">
      <t>キョウサイ</t>
    </rPh>
    <rPh sb="4" eb="6">
      <t>カケキン</t>
    </rPh>
    <phoneticPr fontId="15"/>
  </si>
  <si>
    <t>別シート共済掛金算出参照</t>
    <rPh sb="0" eb="1">
      <t>ベツ</t>
    </rPh>
    <rPh sb="4" eb="6">
      <t>キョウサイ</t>
    </rPh>
    <rPh sb="6" eb="8">
      <t>カケキン</t>
    </rPh>
    <rPh sb="8" eb="10">
      <t>サンシュツ</t>
    </rPh>
    <rPh sb="10" eb="12">
      <t>サンショウ</t>
    </rPh>
    <phoneticPr fontId="15"/>
  </si>
  <si>
    <t>ｸﾞﾗｽﾎﾟｰﾙ（14Φ×1,600）</t>
  </si>
  <si>
    <t>ｸﾞﾗｽﾎﾟｰﾙ（20Φ×1,600）</t>
  </si>
  <si>
    <t>ｹﾞｰﾄﾊﾝﾄﾞﾙ（強ﾊﾞﾈ）</t>
    <rPh sb="10" eb="11">
      <t>ツヨ</t>
    </rPh>
    <phoneticPr fontId="15"/>
  </si>
  <si>
    <t>ｱｰｽ棒(2連)</t>
    <rPh sb="3" eb="4">
      <t>ボウ</t>
    </rPh>
    <rPh sb="6" eb="7">
      <t>レン</t>
    </rPh>
    <phoneticPr fontId="32"/>
  </si>
  <si>
    <t>電牧線(2.5Φ×400m）</t>
    <rPh sb="0" eb="1">
      <t>デン</t>
    </rPh>
    <rPh sb="1" eb="2">
      <t>ボク</t>
    </rPh>
    <rPh sb="2" eb="3">
      <t>セン</t>
    </rPh>
    <phoneticPr fontId="15"/>
  </si>
  <si>
    <t>検電器（漏電ﾃｽﾀｰ）</t>
    <rPh sb="0" eb="3">
      <t>ケンデンキ</t>
    </rPh>
    <rPh sb="4" eb="6">
      <t>ロウデン</t>
    </rPh>
    <phoneticPr fontId="15"/>
  </si>
  <si>
    <t>殺ﾀﾞﾆ剤（ﾊﾞｲﾁｺｰﾙ）</t>
    <rPh sb="0" eb="1">
      <t>サツ</t>
    </rPh>
    <rPh sb="4" eb="5">
      <t>ザイ</t>
    </rPh>
    <phoneticPr fontId="32"/>
  </si>
  <si>
    <t>黒毛和種子牛</t>
    <rPh sb="0" eb="2">
      <t>クロゲ</t>
    </rPh>
    <rPh sb="2" eb="3">
      <t>ワ</t>
    </rPh>
    <rPh sb="3" eb="4">
      <t>シュ</t>
    </rPh>
    <rPh sb="4" eb="6">
      <t>コウシ</t>
    </rPh>
    <phoneticPr fontId="15"/>
  </si>
  <si>
    <t>耕作放棄地親子放牧</t>
    <rPh sb="0" eb="2">
      <t>コウサク</t>
    </rPh>
    <rPh sb="2" eb="4">
      <t>ホウキ</t>
    </rPh>
    <rPh sb="4" eb="5">
      <t>チ</t>
    </rPh>
    <rPh sb="5" eb="7">
      <t>オヤコ</t>
    </rPh>
    <rPh sb="7" eb="9">
      <t>ホウボク</t>
    </rPh>
    <phoneticPr fontId="15"/>
  </si>
  <si>
    <t>妊娠牛導入</t>
  </si>
  <si>
    <t>４中</t>
  </si>
  <si>
    <t>４中～５上</t>
  </si>
  <si>
    <t>簡易牛舎設置</t>
  </si>
  <si>
    <t>ビニールハウス・牛柵の自家施工</t>
  </si>
  <si>
    <t>ﾋﾞﾆｰﾙﾊｳｽ・鋼管・ｸﾗﾝﾌﾟ等</t>
  </si>
  <si>
    <t>４下</t>
  </si>
  <si>
    <t>電気牧柵設置等</t>
  </si>
  <si>
    <t>別ｼｰﾄｲﾒｰｼﾞ</t>
  </si>
  <si>
    <t>入牧</t>
  </si>
  <si>
    <t>牛の運搬・殺ダニ剤塗布</t>
  </si>
  <si>
    <t>５中</t>
  </si>
  <si>
    <t>放牧管理</t>
  </si>
  <si>
    <t>健康観察、電牧管理、給餌（分娩前増飼）</t>
  </si>
  <si>
    <t>５中～５下</t>
  </si>
  <si>
    <t>検電器、繁殖用濃厚飼料</t>
  </si>
  <si>
    <t>分娩管理</t>
  </si>
  <si>
    <t>分娩前後２週間舎飼、給餌（分娩前後増飼）</t>
  </si>
  <si>
    <t>６上～６下</t>
  </si>
  <si>
    <t>繁殖用濃厚飼料</t>
  </si>
  <si>
    <t>親子放牧管理</t>
  </si>
  <si>
    <t>健康観察、電牧管理、給餌、殺ダニ剤塗布（１月毎）</t>
  </si>
  <si>
    <t>７上～１１下</t>
  </si>
  <si>
    <t>繁殖・子牛用濃厚飼料、子牛用乾草</t>
  </si>
  <si>
    <t>種付け</t>
  </si>
  <si>
    <t>発情観察</t>
  </si>
  <si>
    <t>８中～</t>
  </si>
  <si>
    <t>人工授精は共済獣医師及び農協委託</t>
  </si>
  <si>
    <t>離乳・去勢</t>
  </si>
  <si>
    <t>５カ月齢で離乳、雄の場合去勢</t>
  </si>
  <si>
    <t>１１中</t>
  </si>
  <si>
    <t>共済獣医師対応</t>
  </si>
  <si>
    <t>親子の別飼管理</t>
  </si>
  <si>
    <t>給餌（子牛は舎飼、親牛は原則放牧地）</t>
  </si>
  <si>
    <t>繁殖・子牛用濃厚飼料、子牛用乾草、ｲﾈＷＣＳ</t>
  </si>
  <si>
    <t>子牛出荷</t>
  </si>
  <si>
    <t>子牛市場で子牛２頭の出荷</t>
  </si>
  <si>
    <t>３中</t>
  </si>
  <si>
    <t>子牛２頭、家畜運搬車</t>
  </si>
  <si>
    <t>100㎡</t>
  </si>
  <si>
    <t>棟</t>
    <rPh sb="0" eb="1">
      <t>ムネ</t>
    </rPh>
    <phoneticPr fontId="15"/>
  </si>
  <si>
    <t>資材庫・農機具庫</t>
    <phoneticPr fontId="14"/>
  </si>
  <si>
    <t>負担率2ha/30haとした</t>
    <rPh sb="0" eb="2">
      <t>フタン</t>
    </rPh>
    <rPh sb="2" eb="3">
      <t>リツ</t>
    </rPh>
    <phoneticPr fontId="15"/>
  </si>
  <si>
    <t>簡易牛舎</t>
    <phoneticPr fontId="14"/>
  </si>
  <si>
    <t>　ビニールハウス鋼管仕立（3.6m×10.8m）</t>
    <rPh sb="8" eb="10">
      <t>コウカン</t>
    </rPh>
    <rPh sb="10" eb="12">
      <t>シタ</t>
    </rPh>
    <phoneticPr fontId="15"/>
  </si>
  <si>
    <t>乗用管理機</t>
    <rPh sb="0" eb="2">
      <t>ジョウヨウ</t>
    </rPh>
    <rPh sb="2" eb="4">
      <t>カンリ</t>
    </rPh>
    <rPh sb="4" eb="5">
      <t>キ</t>
    </rPh>
    <phoneticPr fontId="15"/>
  </si>
  <si>
    <t>作溝機</t>
    <rPh sb="0" eb="1">
      <t>ツク</t>
    </rPh>
    <rPh sb="1" eb="2">
      <t>ミゾ</t>
    </rPh>
    <rPh sb="2" eb="3">
      <t>キ</t>
    </rPh>
    <phoneticPr fontId="15"/>
  </si>
  <si>
    <t>共済初診料</t>
    <rPh sb="0" eb="2">
      <t>キョウサイ</t>
    </rPh>
    <rPh sb="2" eb="5">
      <t>ショシンリョウ</t>
    </rPh>
    <phoneticPr fontId="15"/>
  </si>
  <si>
    <t>回</t>
    <rPh sb="0" eb="1">
      <t>カイ</t>
    </rPh>
    <phoneticPr fontId="15"/>
  </si>
  <si>
    <t>平均的な受診回数を共済より聞き取り</t>
    <rPh sb="0" eb="3">
      <t>ヘイキンテキ</t>
    </rPh>
    <rPh sb="4" eb="6">
      <t>ジュシン</t>
    </rPh>
    <rPh sb="6" eb="8">
      <t>カイスウ</t>
    </rPh>
    <rPh sb="9" eb="11">
      <t>キョウサイ</t>
    </rPh>
    <rPh sb="13" eb="14">
      <t>キ</t>
    </rPh>
    <rPh sb="15" eb="16">
      <t>ト</t>
    </rPh>
    <phoneticPr fontId="15"/>
  </si>
  <si>
    <t>和牛登録移動手数料</t>
    <rPh sb="0" eb="2">
      <t>ワギュウ</t>
    </rPh>
    <rPh sb="2" eb="4">
      <t>トウロク</t>
    </rPh>
    <rPh sb="4" eb="6">
      <t>イドウ</t>
    </rPh>
    <rPh sb="6" eb="9">
      <t>テスウリョウ</t>
    </rPh>
    <phoneticPr fontId="15"/>
  </si>
  <si>
    <t>和牛登録年会費</t>
    <rPh sb="0" eb="2">
      <t>ワギュウ</t>
    </rPh>
    <rPh sb="2" eb="4">
      <t>トウロク</t>
    </rPh>
    <rPh sb="4" eb="7">
      <t>ネンカイヒ</t>
    </rPh>
    <phoneticPr fontId="15"/>
  </si>
  <si>
    <t>登録規定により</t>
    <rPh sb="0" eb="2">
      <t>トウロク</t>
    </rPh>
    <rPh sb="2" eb="4">
      <t>キテイ</t>
    </rPh>
    <phoneticPr fontId="15"/>
  </si>
  <si>
    <t>ワクチン</t>
  </si>
  <si>
    <t>親牛濃厚飼料</t>
    <rPh sb="0" eb="2">
      <t>オヤウシ</t>
    </rPh>
    <rPh sb="2" eb="4">
      <t>ノウコウ</t>
    </rPh>
    <rPh sb="4" eb="6">
      <t>シリョウ</t>
    </rPh>
    <phoneticPr fontId="15"/>
  </si>
  <si>
    <t>子牛濃厚飼料</t>
    <rPh sb="0" eb="2">
      <t>コウシ</t>
    </rPh>
    <rPh sb="2" eb="4">
      <t>ノウコウ</t>
    </rPh>
    <rPh sb="4" eb="6">
      <t>シリョウ</t>
    </rPh>
    <phoneticPr fontId="15"/>
  </si>
  <si>
    <t>子牛粗飼料</t>
    <rPh sb="0" eb="2">
      <t>コウシ</t>
    </rPh>
    <rPh sb="2" eb="5">
      <t>ソシリョウ</t>
    </rPh>
    <phoneticPr fontId="15"/>
  </si>
  <si>
    <t>人工授精料金</t>
    <rPh sb="0" eb="2">
      <t>ジンコウ</t>
    </rPh>
    <rPh sb="2" eb="4">
      <t>ジュセイ</t>
    </rPh>
    <rPh sb="4" eb="6">
      <t>リョウキン</t>
    </rPh>
    <phoneticPr fontId="15"/>
  </si>
  <si>
    <t>母牛への牛異常産3種ワクチン</t>
    <rPh sb="0" eb="1">
      <t>ハハ</t>
    </rPh>
    <rPh sb="1" eb="2">
      <t>ウシ</t>
    </rPh>
    <rPh sb="4" eb="5">
      <t>ウシ</t>
    </rPh>
    <rPh sb="5" eb="7">
      <t>イジョウ</t>
    </rPh>
    <rPh sb="7" eb="8">
      <t>サン</t>
    </rPh>
    <rPh sb="9" eb="10">
      <t>シュ</t>
    </rPh>
    <phoneticPr fontId="15"/>
  </si>
  <si>
    <t>517kg×2頭分(別シート餌代根基）</t>
    <rPh sb="7" eb="8">
      <t>トウ</t>
    </rPh>
    <rPh sb="8" eb="9">
      <t>ブン</t>
    </rPh>
    <rPh sb="10" eb="11">
      <t>ベツ</t>
    </rPh>
    <rPh sb="14" eb="15">
      <t>エサ</t>
    </rPh>
    <rPh sb="15" eb="16">
      <t>ダイ</t>
    </rPh>
    <rPh sb="16" eb="17">
      <t>ネ</t>
    </rPh>
    <rPh sb="17" eb="18">
      <t>モト</t>
    </rPh>
    <phoneticPr fontId="15"/>
  </si>
  <si>
    <t>607kg×2頭分（別ｼｰﾄ餌代根基）</t>
    <rPh sb="7" eb="8">
      <t>トウ</t>
    </rPh>
    <rPh sb="8" eb="9">
      <t>ブン</t>
    </rPh>
    <rPh sb="10" eb="11">
      <t>ベツ</t>
    </rPh>
    <rPh sb="14" eb="15">
      <t>エサ</t>
    </rPh>
    <rPh sb="15" eb="16">
      <t>ダイ</t>
    </rPh>
    <rPh sb="16" eb="17">
      <t>ネ</t>
    </rPh>
    <rPh sb="17" eb="18">
      <t>モト</t>
    </rPh>
    <phoneticPr fontId="15"/>
  </si>
  <si>
    <t>332kg×2頭分（別ｼｰﾄ餌代根基）</t>
    <rPh sb="7" eb="8">
      <t>トウ</t>
    </rPh>
    <rPh sb="8" eb="9">
      <t>ブン</t>
    </rPh>
    <rPh sb="10" eb="11">
      <t>ベツ</t>
    </rPh>
    <rPh sb="14" eb="15">
      <t>エサ</t>
    </rPh>
    <rPh sb="15" eb="16">
      <t>ダイ</t>
    </rPh>
    <rPh sb="16" eb="17">
      <t>ネ</t>
    </rPh>
    <rPh sb="17" eb="18">
      <t>モト</t>
    </rPh>
    <phoneticPr fontId="15"/>
  </si>
  <si>
    <t>1.5回×2頭分（8月中旬以降から種付け）</t>
    <rPh sb="3" eb="4">
      <t>カイ</t>
    </rPh>
    <rPh sb="6" eb="7">
      <t>トウ</t>
    </rPh>
    <rPh sb="7" eb="8">
      <t>ブン</t>
    </rPh>
    <rPh sb="10" eb="11">
      <t>ガツ</t>
    </rPh>
    <rPh sb="11" eb="13">
      <t>チュウジュン</t>
    </rPh>
    <rPh sb="13" eb="15">
      <t>イコウ</t>
    </rPh>
    <rPh sb="17" eb="19">
      <t>タネツ</t>
    </rPh>
    <phoneticPr fontId="15"/>
  </si>
  <si>
    <t>子牛登記料</t>
    <rPh sb="0" eb="2">
      <t>コウシ</t>
    </rPh>
    <rPh sb="2" eb="4">
      <t>トウキ</t>
    </rPh>
    <rPh sb="4" eb="5">
      <t>リョウ</t>
    </rPh>
    <phoneticPr fontId="15"/>
  </si>
  <si>
    <t>去勢</t>
    <rPh sb="0" eb="2">
      <t>キョセイ</t>
    </rPh>
    <phoneticPr fontId="15"/>
  </si>
  <si>
    <t>雄確立50％×2頭分</t>
    <rPh sb="0" eb="1">
      <t>オス</t>
    </rPh>
    <rPh sb="1" eb="3">
      <t>カクリツ</t>
    </rPh>
    <rPh sb="8" eb="9">
      <t>トウ</t>
    </rPh>
    <rPh sb="9" eb="10">
      <t>ブン</t>
    </rPh>
    <phoneticPr fontId="15"/>
  </si>
  <si>
    <t>子牛への5種混合ワクチン</t>
    <rPh sb="0" eb="2">
      <t>コウシ</t>
    </rPh>
    <rPh sb="5" eb="6">
      <t>シュ</t>
    </rPh>
    <rPh sb="6" eb="8">
      <t>コンゴウ</t>
    </rPh>
    <phoneticPr fontId="15"/>
  </si>
  <si>
    <t>売値の４％</t>
    <rPh sb="0" eb="2">
      <t>ウリネ</t>
    </rPh>
    <phoneticPr fontId="15"/>
  </si>
  <si>
    <t>①6歳の妊娠牛（根基下表(ｲ)）を536,000円(根基下表(ｱ)）で購入し、5年間飼養（根基下表(ｴ)－(ｲ)）で５年償却（残額297,000円(根基下表(ｳ)）で年47,800円の償却）</t>
    <rPh sb="2" eb="3">
      <t>サイ</t>
    </rPh>
    <rPh sb="4" eb="6">
      <t>ニンシン</t>
    </rPh>
    <rPh sb="6" eb="7">
      <t>ギュウ</t>
    </rPh>
    <rPh sb="8" eb="9">
      <t>コン</t>
    </rPh>
    <rPh sb="9" eb="10">
      <t>モト</t>
    </rPh>
    <rPh sb="10" eb="12">
      <t>カヒョウ</t>
    </rPh>
    <rPh sb="24" eb="25">
      <t>エン</t>
    </rPh>
    <rPh sb="26" eb="27">
      <t>ネ</t>
    </rPh>
    <rPh sb="27" eb="28">
      <t>モト</t>
    </rPh>
    <rPh sb="28" eb="30">
      <t>カヒョウ</t>
    </rPh>
    <rPh sb="35" eb="37">
      <t>コウニュウ</t>
    </rPh>
    <rPh sb="40" eb="42">
      <t>ネンカン</t>
    </rPh>
    <rPh sb="42" eb="44">
      <t>シヨウ</t>
    </rPh>
    <rPh sb="45" eb="46">
      <t>コン</t>
    </rPh>
    <rPh sb="46" eb="47">
      <t>モト</t>
    </rPh>
    <rPh sb="47" eb="49">
      <t>カヒョウ</t>
    </rPh>
    <rPh sb="59" eb="60">
      <t>ネン</t>
    </rPh>
    <rPh sb="60" eb="62">
      <t>ショウキャク</t>
    </rPh>
    <rPh sb="63" eb="65">
      <t>ザンガク</t>
    </rPh>
    <rPh sb="72" eb="73">
      <t>エン</t>
    </rPh>
    <rPh sb="74" eb="75">
      <t>コン</t>
    </rPh>
    <rPh sb="75" eb="76">
      <t>モト</t>
    </rPh>
    <rPh sb="76" eb="78">
      <t>カヒョウ</t>
    </rPh>
    <rPh sb="83" eb="84">
      <t>ネン</t>
    </rPh>
    <rPh sb="90" eb="91">
      <t>エン</t>
    </rPh>
    <rPh sb="92" eb="94">
      <t>ショウキャク</t>
    </rPh>
    <phoneticPr fontId="14"/>
  </si>
  <si>
    <t>②5年間で4頭の子牛を分娩（365日×5年間÷414日(山口県平均分娩間隔）＝4.4産）…妊娠牛購入なので相当ゆるい条件設定　　</t>
    <rPh sb="2" eb="4">
      <t>ネンカン</t>
    </rPh>
    <rPh sb="6" eb="7">
      <t>トウ</t>
    </rPh>
    <rPh sb="8" eb="10">
      <t>コウシ</t>
    </rPh>
    <rPh sb="11" eb="13">
      <t>ブンベン</t>
    </rPh>
    <rPh sb="17" eb="18">
      <t>ニチ</t>
    </rPh>
    <rPh sb="20" eb="22">
      <t>ネンカン</t>
    </rPh>
    <rPh sb="26" eb="27">
      <t>ニチ</t>
    </rPh>
    <rPh sb="28" eb="31">
      <t>ヤマグチケン</t>
    </rPh>
    <rPh sb="31" eb="33">
      <t>ヘイキン</t>
    </rPh>
    <rPh sb="33" eb="35">
      <t>ブンベン</t>
    </rPh>
    <rPh sb="35" eb="37">
      <t>カンカク</t>
    </rPh>
    <rPh sb="42" eb="43">
      <t>サン</t>
    </rPh>
    <rPh sb="45" eb="47">
      <t>ニンシン</t>
    </rPh>
    <rPh sb="47" eb="48">
      <t>ギュウ</t>
    </rPh>
    <rPh sb="48" eb="50">
      <t>コウニュウ</t>
    </rPh>
    <rPh sb="53" eb="55">
      <t>ソウトウ</t>
    </rPh>
    <rPh sb="58" eb="60">
      <t>ジョウケン</t>
    </rPh>
    <rPh sb="60" eb="62">
      <t>セッテイ</t>
    </rPh>
    <phoneticPr fontId="14"/>
  </si>
  <si>
    <t>H26年度成牛市場全妊娠牛取引データ</t>
    <rPh sb="3" eb="5">
      <t>ネンド</t>
    </rPh>
    <rPh sb="5" eb="7">
      <t>セイギュウ</t>
    </rPh>
    <rPh sb="7" eb="9">
      <t>シジョウ</t>
    </rPh>
    <rPh sb="9" eb="10">
      <t>ゼン</t>
    </rPh>
    <rPh sb="10" eb="12">
      <t>ニンシン</t>
    </rPh>
    <rPh sb="12" eb="13">
      <t>ギュウ</t>
    </rPh>
    <rPh sb="13" eb="15">
      <t>トリヒキ</t>
    </rPh>
    <phoneticPr fontId="14"/>
  </si>
  <si>
    <t>H26年度成牛市場全繁殖廃用牛取引データ</t>
    <rPh sb="3" eb="5">
      <t>ネンド</t>
    </rPh>
    <rPh sb="5" eb="7">
      <t>セイギュウ</t>
    </rPh>
    <rPh sb="7" eb="9">
      <t>シジョウ</t>
    </rPh>
    <rPh sb="9" eb="10">
      <t>ゼン</t>
    </rPh>
    <rPh sb="10" eb="12">
      <t>ハンショク</t>
    </rPh>
    <rPh sb="12" eb="13">
      <t>ハイ</t>
    </rPh>
    <rPh sb="13" eb="14">
      <t>ヨウ</t>
    </rPh>
    <rPh sb="14" eb="15">
      <t>ギュウ</t>
    </rPh>
    <rPh sb="15" eb="17">
      <t>トリヒキ</t>
    </rPh>
    <phoneticPr fontId="14"/>
  </si>
  <si>
    <t>市場開設日</t>
  </si>
  <si>
    <t>妊娠牛取引頭数</t>
    <rPh sb="0" eb="2">
      <t>ニンシン</t>
    </rPh>
    <phoneticPr fontId="14"/>
  </si>
  <si>
    <t>平均価格</t>
  </si>
  <si>
    <t>高値</t>
  </si>
  <si>
    <t>安値</t>
  </si>
  <si>
    <t>平均体重</t>
  </si>
  <si>
    <t>平均日齢</t>
    <rPh sb="0" eb="2">
      <t>ヘイキン</t>
    </rPh>
    <rPh sb="2" eb="4">
      <t>ニチレイ</t>
    </rPh>
    <phoneticPr fontId="14"/>
  </si>
  <si>
    <t>ｋｇ単価</t>
  </si>
  <si>
    <t>平均価格×頭数</t>
  </si>
  <si>
    <t>平均体重×頭数</t>
  </si>
  <si>
    <t>平均日齢×頭数</t>
    <rPh sb="2" eb="4">
      <t>ニチレイ</t>
    </rPh>
    <phoneticPr fontId="14"/>
  </si>
  <si>
    <t>廃用牛取引頭数</t>
    <rPh sb="0" eb="1">
      <t>ハイ</t>
    </rPh>
    <rPh sb="1" eb="2">
      <t>ヨウ</t>
    </rPh>
    <rPh sb="2" eb="3">
      <t>ウシ</t>
    </rPh>
    <phoneticPr fontId="14"/>
  </si>
  <si>
    <t>計又は単純平均</t>
  </si>
  <si>
    <t>加重平均</t>
    <rPh sb="0" eb="2">
      <t>カジュウ</t>
    </rPh>
    <rPh sb="2" eb="4">
      <t>ヘイキン</t>
    </rPh>
    <phoneticPr fontId="14"/>
  </si>
  <si>
    <t>年齢</t>
    <rPh sb="0" eb="2">
      <t>ネンレイ</t>
    </rPh>
    <phoneticPr fontId="14"/>
  </si>
  <si>
    <t>上記導入牛の内H17以降生まれの妊娠牛</t>
    <rPh sb="0" eb="2">
      <t>ジョウキ</t>
    </rPh>
    <rPh sb="2" eb="4">
      <t>ドウニュウ</t>
    </rPh>
    <rPh sb="4" eb="5">
      <t>ウシ</t>
    </rPh>
    <rPh sb="6" eb="7">
      <t>ウチ</t>
    </rPh>
    <rPh sb="10" eb="12">
      <t>イコウ</t>
    </rPh>
    <rPh sb="12" eb="13">
      <t>ウ</t>
    </rPh>
    <rPh sb="16" eb="18">
      <t>ニンシン</t>
    </rPh>
    <rPh sb="18" eb="19">
      <t>ギュウ</t>
    </rPh>
    <phoneticPr fontId="14"/>
  </si>
  <si>
    <t>生年月日</t>
    <rPh sb="0" eb="2">
      <t>セイネン</t>
    </rPh>
    <rPh sb="2" eb="4">
      <t>ガッピ</t>
    </rPh>
    <phoneticPr fontId="14"/>
  </si>
  <si>
    <t>価格</t>
    <phoneticPr fontId="14"/>
  </si>
  <si>
    <t>体重</t>
    <phoneticPr fontId="14"/>
  </si>
  <si>
    <t>日齢</t>
    <rPh sb="0" eb="2">
      <t>ニチレイ</t>
    </rPh>
    <phoneticPr fontId="14"/>
  </si>
  <si>
    <t>（ウ）</t>
    <phoneticPr fontId="14"/>
  </si>
  <si>
    <t>加重平均年齢</t>
    <rPh sb="0" eb="2">
      <t>カジュウ</t>
    </rPh>
    <rPh sb="2" eb="4">
      <t>ヘイキン</t>
    </rPh>
    <rPh sb="4" eb="6">
      <t>ネンレイ</t>
    </rPh>
    <phoneticPr fontId="14"/>
  </si>
  <si>
    <t>（エ）</t>
    <phoneticPr fontId="14"/>
  </si>
  <si>
    <t>平均</t>
    <rPh sb="0" eb="2">
      <t>ヘイキン</t>
    </rPh>
    <phoneticPr fontId="14"/>
  </si>
  <si>
    <t>（ア）</t>
    <phoneticPr fontId="14"/>
  </si>
  <si>
    <t>平均年齢</t>
    <rPh sb="0" eb="2">
      <t>ヘイキン</t>
    </rPh>
    <rPh sb="2" eb="4">
      <t>ネンレイ</t>
    </rPh>
    <phoneticPr fontId="14"/>
  </si>
  <si>
    <t>（イ）</t>
    <phoneticPr fontId="14"/>
  </si>
  <si>
    <t>6歳の妊娠牛2頭購入で年間家畜共済掛金は産出子牛を含めて計28,877.4円（1頭当たり14,438.7円)</t>
    <rPh sb="1" eb="2">
      <t>サイ</t>
    </rPh>
    <rPh sb="3" eb="5">
      <t>ニンシン</t>
    </rPh>
    <rPh sb="5" eb="6">
      <t>ギュウ</t>
    </rPh>
    <rPh sb="7" eb="8">
      <t>トウ</t>
    </rPh>
    <rPh sb="8" eb="10">
      <t>コウニュウ</t>
    </rPh>
    <rPh sb="11" eb="13">
      <t>ネンカン</t>
    </rPh>
    <rPh sb="13" eb="15">
      <t>カチク</t>
    </rPh>
    <rPh sb="15" eb="17">
      <t>キョウサイ</t>
    </rPh>
    <rPh sb="17" eb="19">
      <t>カケキン</t>
    </rPh>
    <rPh sb="20" eb="22">
      <t>サンシュツ</t>
    </rPh>
    <rPh sb="22" eb="24">
      <t>コウシ</t>
    </rPh>
    <rPh sb="25" eb="26">
      <t>フク</t>
    </rPh>
    <rPh sb="28" eb="29">
      <t>ケイ</t>
    </rPh>
    <rPh sb="37" eb="38">
      <t>エン</t>
    </rPh>
    <rPh sb="40" eb="41">
      <t>トウ</t>
    </rPh>
    <rPh sb="41" eb="42">
      <t>ア</t>
    </rPh>
    <rPh sb="52" eb="53">
      <t>エン</t>
    </rPh>
    <phoneticPr fontId="14"/>
  </si>
  <si>
    <t>農家掛金＝家畜評価額×（40～80％(選択)）×（掛金率（3年毎改定））×（50％農家負担割合）</t>
    <rPh sb="0" eb="2">
      <t>ノウカ</t>
    </rPh>
    <rPh sb="2" eb="4">
      <t>カケキン</t>
    </rPh>
    <rPh sb="5" eb="7">
      <t>カチク</t>
    </rPh>
    <rPh sb="7" eb="10">
      <t>ヒョウカガク</t>
    </rPh>
    <rPh sb="19" eb="21">
      <t>センタク</t>
    </rPh>
    <rPh sb="25" eb="27">
      <t>カケキン</t>
    </rPh>
    <rPh sb="27" eb="28">
      <t>リツ</t>
    </rPh>
    <rPh sb="30" eb="31">
      <t>ネン</t>
    </rPh>
    <rPh sb="31" eb="32">
      <t>ゴト</t>
    </rPh>
    <rPh sb="32" eb="34">
      <t>カイテイ</t>
    </rPh>
    <rPh sb="41" eb="43">
      <t>ノウカ</t>
    </rPh>
    <rPh sb="43" eb="45">
      <t>フタン</t>
    </rPh>
    <rPh sb="45" eb="47">
      <t>ワリアイ</t>
    </rPh>
    <phoneticPr fontId="14"/>
  </si>
  <si>
    <t>親牛分①</t>
    <rPh sb="0" eb="2">
      <t>オヤウシ</t>
    </rPh>
    <rPh sb="2" eb="3">
      <t>ブン</t>
    </rPh>
    <phoneticPr fontId="14"/>
  </si>
  <si>
    <t>1頭536,000円で購入した6歳繁殖雌牛評価は598,000円（購入価格によらず繁殖牛年齢により決まっている）、補償50％を選択し、掛金率（死廃・病傷対応で農家付加金も含む）は山口中部・東部の5.718％、1年間加入とした場合の農家掛金は</t>
    <rPh sb="1" eb="2">
      <t>トウ</t>
    </rPh>
    <rPh sb="9" eb="10">
      <t>エン</t>
    </rPh>
    <rPh sb="11" eb="13">
      <t>コウニュウ</t>
    </rPh>
    <rPh sb="16" eb="17">
      <t>サイ</t>
    </rPh>
    <rPh sb="17" eb="19">
      <t>ハンショク</t>
    </rPh>
    <rPh sb="19" eb="20">
      <t>メス</t>
    </rPh>
    <rPh sb="20" eb="21">
      <t>ウシ</t>
    </rPh>
    <rPh sb="21" eb="23">
      <t>ヒョウカ</t>
    </rPh>
    <rPh sb="31" eb="32">
      <t>エン</t>
    </rPh>
    <rPh sb="33" eb="35">
      <t>コウニュウ</t>
    </rPh>
    <rPh sb="35" eb="37">
      <t>カカク</t>
    </rPh>
    <rPh sb="41" eb="43">
      <t>ハンショク</t>
    </rPh>
    <rPh sb="43" eb="44">
      <t>ウシ</t>
    </rPh>
    <rPh sb="44" eb="46">
      <t>ネンレイ</t>
    </rPh>
    <rPh sb="49" eb="50">
      <t>キ</t>
    </rPh>
    <rPh sb="57" eb="59">
      <t>ホショウ</t>
    </rPh>
    <rPh sb="63" eb="65">
      <t>センタク</t>
    </rPh>
    <rPh sb="67" eb="69">
      <t>カケキン</t>
    </rPh>
    <rPh sb="69" eb="70">
      <t>リツ</t>
    </rPh>
    <rPh sb="71" eb="72">
      <t>シ</t>
    </rPh>
    <rPh sb="72" eb="73">
      <t>ハイ</t>
    </rPh>
    <rPh sb="74" eb="75">
      <t>ビョウ</t>
    </rPh>
    <rPh sb="75" eb="76">
      <t>キズ</t>
    </rPh>
    <rPh sb="76" eb="78">
      <t>タイオウ</t>
    </rPh>
    <rPh sb="79" eb="81">
      <t>ノウカ</t>
    </rPh>
    <rPh sb="81" eb="83">
      <t>フカ</t>
    </rPh>
    <rPh sb="83" eb="84">
      <t>キン</t>
    </rPh>
    <rPh sb="85" eb="86">
      <t>フク</t>
    </rPh>
    <rPh sb="89" eb="91">
      <t>ヤマグチ</t>
    </rPh>
    <rPh sb="91" eb="93">
      <t>チュウブ</t>
    </rPh>
    <rPh sb="94" eb="96">
      <t>トウブ</t>
    </rPh>
    <rPh sb="105" eb="107">
      <t>ネンカン</t>
    </rPh>
    <rPh sb="107" eb="109">
      <t>カニュウ</t>
    </rPh>
    <rPh sb="112" eb="114">
      <t>バアイ</t>
    </rPh>
    <rPh sb="115" eb="117">
      <t>ノウカ</t>
    </rPh>
    <rPh sb="117" eb="119">
      <t>カケキン</t>
    </rPh>
    <phoneticPr fontId="14"/>
  </si>
  <si>
    <t>子牛分②</t>
    <rPh sb="0" eb="2">
      <t>コウシ</t>
    </rPh>
    <rPh sb="2" eb="3">
      <t>ブン</t>
    </rPh>
    <phoneticPr fontId="14"/>
  </si>
  <si>
    <t>繁殖雌牛を家畜共済共済加入した場合は、その性質上、子牛を生産することから子牛分も含めて加入することが義務付け。子牛は評価額が一律197,000円、補償50％を選択し、掛金率（死廃・病傷対応で農家付加金も含む）は山口県中部・東部の11.96％、1年間加入した場合の農家掛金は</t>
    <rPh sb="0" eb="2">
      <t>ハンショク</t>
    </rPh>
    <rPh sb="2" eb="3">
      <t>メス</t>
    </rPh>
    <rPh sb="3" eb="4">
      <t>ウシ</t>
    </rPh>
    <rPh sb="5" eb="7">
      <t>カチク</t>
    </rPh>
    <rPh sb="7" eb="9">
      <t>キョウサイ</t>
    </rPh>
    <rPh sb="9" eb="11">
      <t>キョウサイ</t>
    </rPh>
    <rPh sb="11" eb="13">
      <t>カニュウ</t>
    </rPh>
    <rPh sb="15" eb="17">
      <t>バアイ</t>
    </rPh>
    <rPh sb="21" eb="24">
      <t>セイシツジョウ</t>
    </rPh>
    <rPh sb="25" eb="27">
      <t>コウシ</t>
    </rPh>
    <rPh sb="28" eb="30">
      <t>セイサン</t>
    </rPh>
    <rPh sb="36" eb="38">
      <t>コウシ</t>
    </rPh>
    <rPh sb="38" eb="39">
      <t>ブン</t>
    </rPh>
    <rPh sb="40" eb="41">
      <t>フク</t>
    </rPh>
    <rPh sb="43" eb="45">
      <t>カニュウ</t>
    </rPh>
    <rPh sb="50" eb="53">
      <t>ギムヅ</t>
    </rPh>
    <rPh sb="55" eb="57">
      <t>コウシ</t>
    </rPh>
    <rPh sb="58" eb="61">
      <t>ヒョウカガク</t>
    </rPh>
    <rPh sb="62" eb="64">
      <t>イチリツ</t>
    </rPh>
    <rPh sb="71" eb="72">
      <t>エン</t>
    </rPh>
    <rPh sb="73" eb="75">
      <t>ホショウ</t>
    </rPh>
    <rPh sb="79" eb="81">
      <t>センタク</t>
    </rPh>
    <rPh sb="83" eb="85">
      <t>カケキン</t>
    </rPh>
    <rPh sb="85" eb="86">
      <t>リツ</t>
    </rPh>
    <rPh sb="87" eb="88">
      <t>シ</t>
    </rPh>
    <rPh sb="88" eb="89">
      <t>ハイ</t>
    </rPh>
    <rPh sb="90" eb="91">
      <t>ビョウ</t>
    </rPh>
    <rPh sb="91" eb="92">
      <t>キズ</t>
    </rPh>
    <rPh sb="92" eb="94">
      <t>タイオウ</t>
    </rPh>
    <rPh sb="95" eb="97">
      <t>ノウカ</t>
    </rPh>
    <rPh sb="97" eb="99">
      <t>フカ</t>
    </rPh>
    <rPh sb="99" eb="100">
      <t>キン</t>
    </rPh>
    <rPh sb="101" eb="102">
      <t>フク</t>
    </rPh>
    <rPh sb="105" eb="108">
      <t>ヤマグチケン</t>
    </rPh>
    <rPh sb="108" eb="110">
      <t>チュウブ</t>
    </rPh>
    <rPh sb="111" eb="113">
      <t>トウブ</t>
    </rPh>
    <rPh sb="122" eb="124">
      <t>ネンカン</t>
    </rPh>
    <rPh sb="124" eb="126">
      <t>カニュウ</t>
    </rPh>
    <rPh sb="128" eb="130">
      <t>バアイ</t>
    </rPh>
    <rPh sb="131" eb="133">
      <t>ノウカ</t>
    </rPh>
    <rPh sb="133" eb="135">
      <t>カケキン</t>
    </rPh>
    <phoneticPr fontId="14"/>
  </si>
  <si>
    <t>円</t>
    <rPh sb="0" eb="1">
      <t>エン</t>
    </rPh>
    <phoneticPr fontId="14"/>
  </si>
  <si>
    <t>×</t>
    <phoneticPr fontId="14"/>
  </si>
  <si>
    <t>頭</t>
    <rPh sb="0" eb="1">
      <t>トウ</t>
    </rPh>
    <phoneticPr fontId="14"/>
  </si>
  <si>
    <t>=</t>
    <phoneticPr fontId="14"/>
  </si>
  <si>
    <t>(1頭当たり）</t>
    <rPh sb="2" eb="3">
      <t>トウ</t>
    </rPh>
    <rPh sb="3" eb="4">
      <t>ア</t>
    </rPh>
    <phoneticPr fontId="14"/>
  </si>
  <si>
    <t>0.5m</t>
    <phoneticPr fontId="14"/>
  </si>
  <si>
    <t>繁殖牛2頭分の簡易牛舎は、施工の簡易性、コストを考慮し外装はビニールハウス、牛柵は鋼管とする。</t>
    <rPh sb="0" eb="2">
      <t>ハンショク</t>
    </rPh>
    <rPh sb="2" eb="3">
      <t>ギュウ</t>
    </rPh>
    <rPh sb="4" eb="5">
      <t>トウ</t>
    </rPh>
    <rPh sb="5" eb="6">
      <t>ブン</t>
    </rPh>
    <rPh sb="7" eb="9">
      <t>カンイ</t>
    </rPh>
    <rPh sb="9" eb="11">
      <t>ギュウシャ</t>
    </rPh>
    <rPh sb="13" eb="15">
      <t>セコウ</t>
    </rPh>
    <rPh sb="16" eb="18">
      <t>カンイ</t>
    </rPh>
    <rPh sb="18" eb="19">
      <t>セイ</t>
    </rPh>
    <rPh sb="24" eb="26">
      <t>コウリョ</t>
    </rPh>
    <rPh sb="27" eb="29">
      <t>ガイソウ</t>
    </rPh>
    <rPh sb="38" eb="39">
      <t>ギュウ</t>
    </rPh>
    <rPh sb="39" eb="40">
      <t>サク</t>
    </rPh>
    <rPh sb="41" eb="43">
      <t>コウカン</t>
    </rPh>
    <phoneticPr fontId="14"/>
  </si>
  <si>
    <t xml:space="preserve">  0.9m</t>
    <phoneticPr fontId="14"/>
  </si>
  <si>
    <t>子牛増飼ｽﾍﾟｰｽ</t>
    <rPh sb="0" eb="2">
      <t>コウシ</t>
    </rPh>
    <rPh sb="2" eb="3">
      <t>マ</t>
    </rPh>
    <rPh sb="3" eb="4">
      <t>カ</t>
    </rPh>
    <phoneticPr fontId="14"/>
  </si>
  <si>
    <t>太線がビニールハウス牛舎で3.6m×10.8m、値段は</t>
    <rPh sb="0" eb="2">
      <t>フトセン</t>
    </rPh>
    <rPh sb="10" eb="12">
      <t>ギュウシャ</t>
    </rPh>
    <rPh sb="24" eb="26">
      <t>ネダン</t>
    </rPh>
    <phoneticPr fontId="14"/>
  </si>
  <si>
    <t>宮田物産（株）ネット検索</t>
    <rPh sb="0" eb="2">
      <t>ミヤタ</t>
    </rPh>
    <rPh sb="2" eb="4">
      <t>ブッサン</t>
    </rPh>
    <rPh sb="5" eb="6">
      <t>カブ</t>
    </rPh>
    <rPh sb="10" eb="12">
      <t>ケンサク</t>
    </rPh>
    <phoneticPr fontId="14"/>
  </si>
  <si>
    <t>3.6mの間口を2カ所設置で値段はプラス6,800円×２</t>
    <rPh sb="5" eb="7">
      <t>マグチ</t>
    </rPh>
    <rPh sb="10" eb="11">
      <t>ショ</t>
    </rPh>
    <rPh sb="11" eb="13">
      <t>セッチ</t>
    </rPh>
    <rPh sb="14" eb="16">
      <t>ネダン</t>
    </rPh>
    <rPh sb="25" eb="26">
      <t>エン</t>
    </rPh>
    <phoneticPr fontId="14"/>
  </si>
  <si>
    <t>細線は牛柵で鋼管とクランプで施工</t>
    <rPh sb="0" eb="1">
      <t>ホソ</t>
    </rPh>
    <rPh sb="1" eb="2">
      <t>セン</t>
    </rPh>
    <rPh sb="3" eb="4">
      <t>ギュウ</t>
    </rPh>
    <rPh sb="4" eb="5">
      <t>サク</t>
    </rPh>
    <rPh sb="6" eb="8">
      <t>コウカン</t>
    </rPh>
    <rPh sb="14" eb="16">
      <t>セコウ</t>
    </rPh>
    <phoneticPr fontId="14"/>
  </si>
  <si>
    <t>必要資材</t>
    <rPh sb="0" eb="2">
      <t>ヒツヨウ</t>
    </rPh>
    <rPh sb="2" eb="4">
      <t>シザイ</t>
    </rPh>
    <phoneticPr fontId="14"/>
  </si>
  <si>
    <t>鋼管</t>
    <rPh sb="0" eb="2">
      <t>コウカン</t>
    </rPh>
    <phoneticPr fontId="14"/>
  </si>
  <si>
    <t>5m</t>
    <phoneticPr fontId="14"/>
  </si>
  <si>
    <t>1,980円×8本</t>
    <rPh sb="5" eb="6">
      <t>エン</t>
    </rPh>
    <rPh sb="8" eb="9">
      <t>ホン</t>
    </rPh>
    <phoneticPr fontId="14"/>
  </si>
  <si>
    <t>コメリドットコム　ネット検索</t>
    <rPh sb="12" eb="14">
      <t>ケンサク</t>
    </rPh>
    <phoneticPr fontId="14"/>
  </si>
  <si>
    <t>　　子牛のみ進入でき るように上段1段</t>
    <rPh sb="2" eb="4">
      <t>コウシ</t>
    </rPh>
    <rPh sb="6" eb="8">
      <t>シンニュウ</t>
    </rPh>
    <rPh sb="15" eb="17">
      <t>ジョウダン</t>
    </rPh>
    <rPh sb="18" eb="19">
      <t>ダン</t>
    </rPh>
    <phoneticPr fontId="14"/>
  </si>
  <si>
    <t>3m</t>
    <phoneticPr fontId="14"/>
  </si>
  <si>
    <t>1,250円×6本</t>
    <rPh sb="5" eb="6">
      <t>エン</t>
    </rPh>
    <rPh sb="8" eb="9">
      <t>ホン</t>
    </rPh>
    <phoneticPr fontId="14"/>
  </si>
  <si>
    <t>2m</t>
    <phoneticPr fontId="14"/>
  </si>
  <si>
    <t xml:space="preserve">  880円×2本</t>
    <rPh sb="5" eb="6">
      <t>エン</t>
    </rPh>
    <rPh sb="8" eb="9">
      <t>ホン</t>
    </rPh>
    <phoneticPr fontId="14"/>
  </si>
  <si>
    <t>1.5m</t>
    <phoneticPr fontId="14"/>
  </si>
  <si>
    <t xml:space="preserve">  660円×8本</t>
    <rPh sb="5" eb="6">
      <t>エン</t>
    </rPh>
    <rPh sb="8" eb="9">
      <t>ホン</t>
    </rPh>
    <phoneticPr fontId="14"/>
  </si>
  <si>
    <t>2.7m</t>
    <phoneticPr fontId="14"/>
  </si>
  <si>
    <t>クランプ</t>
    <phoneticPr fontId="14"/>
  </si>
  <si>
    <t xml:space="preserve">  158円×20個</t>
    <rPh sb="5" eb="6">
      <t>エン</t>
    </rPh>
    <rPh sb="9" eb="10">
      <t>コ</t>
    </rPh>
    <phoneticPr fontId="14"/>
  </si>
  <si>
    <t>ビニールハウス施工は自家施工で施工時間2人×8時間</t>
    <rPh sb="7" eb="9">
      <t>セコウ</t>
    </rPh>
    <rPh sb="10" eb="12">
      <t>ジカ</t>
    </rPh>
    <rPh sb="12" eb="14">
      <t>セコウ</t>
    </rPh>
    <rPh sb="15" eb="17">
      <t>セコウ</t>
    </rPh>
    <rPh sb="17" eb="19">
      <t>ジカン</t>
    </rPh>
    <rPh sb="20" eb="21">
      <t>ニン</t>
    </rPh>
    <rPh sb="23" eb="25">
      <t>ジカン</t>
    </rPh>
    <phoneticPr fontId="14"/>
  </si>
  <si>
    <t>牛柵施工も自家施工で施工時間2人×5時間</t>
    <rPh sb="0" eb="1">
      <t>ギュウ</t>
    </rPh>
    <rPh sb="1" eb="2">
      <t>サク</t>
    </rPh>
    <rPh sb="2" eb="4">
      <t>セコウ</t>
    </rPh>
    <rPh sb="5" eb="7">
      <t>ジカ</t>
    </rPh>
    <rPh sb="7" eb="9">
      <t>セコウ</t>
    </rPh>
    <rPh sb="10" eb="12">
      <t>セコウ</t>
    </rPh>
    <rPh sb="12" eb="14">
      <t>ジカン</t>
    </rPh>
    <rPh sb="15" eb="16">
      <t>ニン</t>
    </rPh>
    <rPh sb="18" eb="20">
      <t>ジカン</t>
    </rPh>
    <phoneticPr fontId="14"/>
  </si>
  <si>
    <t>牛舎代金の189,800円を10年償却</t>
    <rPh sb="0" eb="2">
      <t>ギュウシャ</t>
    </rPh>
    <rPh sb="2" eb="4">
      <t>ダイキン</t>
    </rPh>
    <rPh sb="12" eb="13">
      <t>エン</t>
    </rPh>
    <rPh sb="16" eb="17">
      <t>ネン</t>
    </rPh>
    <rPh sb="17" eb="19">
      <t>ショウキャク</t>
    </rPh>
    <phoneticPr fontId="14"/>
  </si>
  <si>
    <t>支出</t>
    <rPh sb="0" eb="2">
      <t>シシュツ</t>
    </rPh>
    <phoneticPr fontId="14"/>
  </si>
  <si>
    <t>10a当り費用</t>
    <rPh sb="3" eb="4">
      <t>アタ</t>
    </rPh>
    <rPh sb="5" eb="7">
      <t>ヒヨウ</t>
    </rPh>
    <phoneticPr fontId="14"/>
  </si>
  <si>
    <t>1ha当り費用</t>
    <rPh sb="3" eb="4">
      <t>ア</t>
    </rPh>
    <rPh sb="5" eb="7">
      <t>ヒヨウ</t>
    </rPh>
    <phoneticPr fontId="14"/>
  </si>
  <si>
    <t>作業時期</t>
    <rPh sb="0" eb="2">
      <t>サギョウ</t>
    </rPh>
    <rPh sb="2" eb="4">
      <t>ジキ</t>
    </rPh>
    <phoneticPr fontId="14"/>
  </si>
  <si>
    <t>出典</t>
    <rPh sb="0" eb="2">
      <t>シュッテン</t>
    </rPh>
    <phoneticPr fontId="14"/>
  </si>
  <si>
    <t>育苗作業</t>
    <rPh sb="0" eb="2">
      <t>イクビョウ</t>
    </rPh>
    <rPh sb="2" eb="4">
      <t>サギョウ</t>
    </rPh>
    <phoneticPr fontId="14"/>
  </si>
  <si>
    <t>種苗費</t>
    <rPh sb="0" eb="2">
      <t>シュビョウ</t>
    </rPh>
    <rPh sb="2" eb="3">
      <t>ヒ</t>
    </rPh>
    <phoneticPr fontId="14"/>
  </si>
  <si>
    <t>播種量：3kg/10a</t>
    <rPh sb="0" eb="2">
      <t>ハシュ</t>
    </rPh>
    <rPh sb="2" eb="3">
      <t>リョウ</t>
    </rPh>
    <phoneticPr fontId="14"/>
  </si>
  <si>
    <t>26,960円/20kg</t>
    <rPh sb="6" eb="7">
      <t>エン</t>
    </rPh>
    <phoneticPr fontId="14"/>
  </si>
  <si>
    <t>育苗資材</t>
    <rPh sb="0" eb="2">
      <t>イクビョウ</t>
    </rPh>
    <rPh sb="2" eb="4">
      <t>シザイ</t>
    </rPh>
    <phoneticPr fontId="14"/>
  </si>
  <si>
    <t>山口県農業経営指針(日本晴6ha）</t>
    <rPh sb="0" eb="3">
      <t>ヤマグチケン</t>
    </rPh>
    <rPh sb="3" eb="5">
      <t>ノウギョウ</t>
    </rPh>
    <rPh sb="5" eb="7">
      <t>ケイエイ</t>
    </rPh>
    <rPh sb="7" eb="9">
      <t>シシン</t>
    </rPh>
    <rPh sb="10" eb="13">
      <t>ニホンバ</t>
    </rPh>
    <phoneticPr fontId="14"/>
  </si>
  <si>
    <t>施肥</t>
    <rPh sb="0" eb="2">
      <t>セヒ</t>
    </rPh>
    <phoneticPr fontId="14"/>
  </si>
  <si>
    <t>肥料代</t>
    <rPh sb="0" eb="2">
      <t>ヒリョウ</t>
    </rPh>
    <rPh sb="2" eb="3">
      <t>ダイ</t>
    </rPh>
    <phoneticPr fontId="14"/>
  </si>
  <si>
    <t>害虫防除</t>
    <rPh sb="0" eb="2">
      <t>ガイチュウ</t>
    </rPh>
    <rPh sb="2" eb="4">
      <t>ボウジョ</t>
    </rPh>
    <phoneticPr fontId="14"/>
  </si>
  <si>
    <t>農薬代</t>
    <rPh sb="0" eb="2">
      <t>ノウヤク</t>
    </rPh>
    <rPh sb="2" eb="3">
      <t>ダイ</t>
    </rPh>
    <phoneticPr fontId="14"/>
  </si>
  <si>
    <t>動力光熱費</t>
    <rPh sb="0" eb="2">
      <t>ドウリョク</t>
    </rPh>
    <rPh sb="2" eb="5">
      <t>コウネツヒ</t>
    </rPh>
    <phoneticPr fontId="14"/>
  </si>
  <si>
    <t>ｶﾞｿﾘﾝ・経由・電気代</t>
    <rPh sb="6" eb="8">
      <t>ケイユ</t>
    </rPh>
    <rPh sb="9" eb="12">
      <t>デンキダイ</t>
    </rPh>
    <phoneticPr fontId="14"/>
  </si>
  <si>
    <t>収穫調製</t>
    <rPh sb="0" eb="2">
      <t>シュウカク</t>
    </rPh>
    <rPh sb="2" eb="4">
      <t>チョウセイ</t>
    </rPh>
    <phoneticPr fontId="14"/>
  </si>
  <si>
    <t>刈取・反転集草・梱包・ラッピングは作業委託</t>
    <rPh sb="0" eb="2">
      <t>カリト</t>
    </rPh>
    <rPh sb="3" eb="5">
      <t>ハンテン</t>
    </rPh>
    <rPh sb="5" eb="7">
      <t>シュウソウ</t>
    </rPh>
    <rPh sb="8" eb="10">
      <t>コンポウ</t>
    </rPh>
    <rPh sb="17" eb="19">
      <t>サギョウ</t>
    </rPh>
    <rPh sb="19" eb="21">
      <t>イタク</t>
    </rPh>
    <phoneticPr fontId="14"/>
  </si>
  <si>
    <t>固定費</t>
    <rPh sb="0" eb="3">
      <t>コテイヒ</t>
    </rPh>
    <phoneticPr fontId="14"/>
  </si>
  <si>
    <t>建物修繕</t>
    <rPh sb="0" eb="2">
      <t>タテモノ</t>
    </rPh>
    <rPh sb="2" eb="4">
      <t>シュウゼン</t>
    </rPh>
    <phoneticPr fontId="14"/>
  </si>
  <si>
    <t>山口県農業経営指針の負担率(日本晴6ha/30ha）を参考にタチスズカ1ha/30haにより利用率6.7％とした</t>
    <rPh sb="0" eb="3">
      <t>ヤマグチケン</t>
    </rPh>
    <rPh sb="3" eb="5">
      <t>ノウギョウ</t>
    </rPh>
    <rPh sb="5" eb="7">
      <t>ケイエイ</t>
    </rPh>
    <rPh sb="7" eb="9">
      <t>シシン</t>
    </rPh>
    <rPh sb="10" eb="12">
      <t>フタン</t>
    </rPh>
    <rPh sb="12" eb="13">
      <t>リツ</t>
    </rPh>
    <rPh sb="14" eb="17">
      <t>ニホンバ</t>
    </rPh>
    <rPh sb="27" eb="29">
      <t>サンコウ</t>
    </rPh>
    <rPh sb="46" eb="49">
      <t>リヨウリツ</t>
    </rPh>
    <phoneticPr fontId="14"/>
  </si>
  <si>
    <t>建物償却</t>
    <rPh sb="0" eb="2">
      <t>タテモノ</t>
    </rPh>
    <rPh sb="2" eb="4">
      <t>ショウキャク</t>
    </rPh>
    <phoneticPr fontId="14"/>
  </si>
  <si>
    <t>農機具等修繕</t>
    <rPh sb="0" eb="3">
      <t>ノウキグ</t>
    </rPh>
    <rPh sb="3" eb="4">
      <t>トウ</t>
    </rPh>
    <rPh sb="4" eb="6">
      <t>シュウゼン</t>
    </rPh>
    <phoneticPr fontId="14"/>
  </si>
  <si>
    <t>山口県農業経営指針(日本晴6ha）を参考にｺﾝﾊﾞｲﾝを除いてタチスズカ1haにより利用率6.7％とした</t>
    <rPh sb="0" eb="3">
      <t>ヤマグチケン</t>
    </rPh>
    <rPh sb="3" eb="5">
      <t>ノウギョウ</t>
    </rPh>
    <rPh sb="5" eb="7">
      <t>ケイエイ</t>
    </rPh>
    <rPh sb="7" eb="9">
      <t>シシン</t>
    </rPh>
    <rPh sb="10" eb="13">
      <t>ニホンバ</t>
    </rPh>
    <rPh sb="18" eb="20">
      <t>サンコウ</t>
    </rPh>
    <rPh sb="28" eb="29">
      <t>ノゾ</t>
    </rPh>
    <rPh sb="42" eb="45">
      <t>リヨウリツ</t>
    </rPh>
    <phoneticPr fontId="14"/>
  </si>
  <si>
    <t>農機具等償却</t>
    <rPh sb="0" eb="3">
      <t>ノウキグ</t>
    </rPh>
    <rPh sb="3" eb="4">
      <t>トウ</t>
    </rPh>
    <rPh sb="4" eb="6">
      <t>ショウキャク</t>
    </rPh>
    <phoneticPr fontId="14"/>
  </si>
  <si>
    <t>土地改良・水利費</t>
    <rPh sb="0" eb="2">
      <t>トチ</t>
    </rPh>
    <rPh sb="2" eb="4">
      <t>カイリョウ</t>
    </rPh>
    <rPh sb="5" eb="7">
      <t>スイリ</t>
    </rPh>
    <rPh sb="7" eb="8">
      <t>ヒ</t>
    </rPh>
    <phoneticPr fontId="14"/>
  </si>
  <si>
    <t>労務費</t>
    <rPh sb="0" eb="2">
      <t>ロウム</t>
    </rPh>
    <rPh sb="2" eb="3">
      <t>ヒ</t>
    </rPh>
    <phoneticPr fontId="14"/>
  </si>
  <si>
    <t>山口県農業経営指針(日本晴6ha）の労働時間のうち収穫以降の時間を引いて均等計算</t>
    <rPh sb="0" eb="3">
      <t>ヤマグチケン</t>
    </rPh>
    <rPh sb="3" eb="5">
      <t>ノウギョウ</t>
    </rPh>
    <rPh sb="5" eb="7">
      <t>ケイエイ</t>
    </rPh>
    <rPh sb="7" eb="9">
      <t>シシン</t>
    </rPh>
    <rPh sb="10" eb="13">
      <t>ニホンバ</t>
    </rPh>
    <rPh sb="18" eb="20">
      <t>ロウドウ</t>
    </rPh>
    <rPh sb="20" eb="22">
      <t>ジカン</t>
    </rPh>
    <rPh sb="25" eb="27">
      <t>シュウカク</t>
    </rPh>
    <rPh sb="27" eb="29">
      <t>イコウ</t>
    </rPh>
    <rPh sb="30" eb="32">
      <t>ジカン</t>
    </rPh>
    <rPh sb="33" eb="34">
      <t>ヒ</t>
    </rPh>
    <rPh sb="36" eb="38">
      <t>キントウ</t>
    </rPh>
    <rPh sb="38" eb="40">
      <t>ケイサン</t>
    </rPh>
    <phoneticPr fontId="14"/>
  </si>
  <si>
    <t>管理費用</t>
    <rPh sb="0" eb="2">
      <t>カンリ</t>
    </rPh>
    <rPh sb="2" eb="4">
      <t>ヒヨウ</t>
    </rPh>
    <phoneticPr fontId="14"/>
  </si>
  <si>
    <t>支払地代</t>
    <rPh sb="0" eb="2">
      <t>シハライ</t>
    </rPh>
    <rPh sb="2" eb="4">
      <t>チダイ</t>
    </rPh>
    <phoneticPr fontId="14"/>
  </si>
  <si>
    <t>収入</t>
    <rPh sb="0" eb="2">
      <t>シュウニュウ</t>
    </rPh>
    <phoneticPr fontId="14"/>
  </si>
  <si>
    <t>補助金</t>
    <rPh sb="0" eb="3">
      <t>ホジョキン</t>
    </rPh>
    <phoneticPr fontId="14"/>
  </si>
  <si>
    <t>戸別所得補償</t>
    <rPh sb="0" eb="2">
      <t>コベツ</t>
    </rPh>
    <rPh sb="2" eb="4">
      <t>ショトク</t>
    </rPh>
    <rPh sb="4" eb="6">
      <t>ホショウ</t>
    </rPh>
    <phoneticPr fontId="14"/>
  </si>
  <si>
    <t>稲ＷＣＳ単価80,000円/10a</t>
    <rPh sb="0" eb="1">
      <t>イネ</t>
    </rPh>
    <rPh sb="4" eb="6">
      <t>タンカ</t>
    </rPh>
    <rPh sb="12" eb="13">
      <t>エン</t>
    </rPh>
    <phoneticPr fontId="14"/>
  </si>
  <si>
    <t>販売</t>
    <rPh sb="0" eb="2">
      <t>ハンバイ</t>
    </rPh>
    <phoneticPr fontId="14"/>
  </si>
  <si>
    <t>稲ＷＣＳ販売</t>
    <rPh sb="0" eb="1">
      <t>イネ</t>
    </rPh>
    <rPh sb="4" eb="6">
      <t>ハンバイ</t>
    </rPh>
    <phoneticPr fontId="14"/>
  </si>
  <si>
    <t>1,500kg/10aで12ﾛｰﾙ(125kg/ﾛｰﾙ）とし120ﾛｰﾙ/1haで自家用40ﾛｰﾙを差し引いて80ﾛｰﾙの販売(3,000円/ﾛｰﾙ）</t>
    <rPh sb="41" eb="44">
      <t>ジカヨウ</t>
    </rPh>
    <rPh sb="50" eb="51">
      <t>サ</t>
    </rPh>
    <rPh sb="52" eb="53">
      <t>ヒ</t>
    </rPh>
    <rPh sb="61" eb="63">
      <t>ハンバイ</t>
    </rPh>
    <rPh sb="69" eb="70">
      <t>エン</t>
    </rPh>
    <phoneticPr fontId="14"/>
  </si>
  <si>
    <t>差引金額</t>
    <rPh sb="0" eb="2">
      <t>サシヒキ</t>
    </rPh>
    <rPh sb="2" eb="4">
      <t>キンガク</t>
    </rPh>
    <phoneticPr fontId="14"/>
  </si>
  <si>
    <t>給餌量(1頭分）</t>
    <rPh sb="0" eb="2">
      <t>キュウジ</t>
    </rPh>
    <rPh sb="2" eb="3">
      <t>リョウ</t>
    </rPh>
    <rPh sb="5" eb="6">
      <t>トウ</t>
    </rPh>
    <rPh sb="6" eb="7">
      <t>ブン</t>
    </rPh>
    <phoneticPr fontId="14"/>
  </si>
  <si>
    <t>親</t>
    <rPh sb="0" eb="1">
      <t>オヤ</t>
    </rPh>
    <phoneticPr fontId="14"/>
  </si>
  <si>
    <t>5月</t>
    <rPh sb="1" eb="2">
      <t>ガツ</t>
    </rPh>
    <phoneticPr fontId="14"/>
  </si>
  <si>
    <t>6月</t>
    <rPh sb="1" eb="2">
      <t>ガツ</t>
    </rPh>
    <phoneticPr fontId="14"/>
  </si>
  <si>
    <t>7月</t>
  </si>
  <si>
    <t>8月</t>
  </si>
  <si>
    <t>9月</t>
  </si>
  <si>
    <t>10月</t>
  </si>
  <si>
    <t>11月</t>
  </si>
  <si>
    <t>12月</t>
  </si>
  <si>
    <t>1月</t>
    <rPh sb="1" eb="2">
      <t>ツキ</t>
    </rPh>
    <phoneticPr fontId="14"/>
  </si>
  <si>
    <t>2月</t>
    <rPh sb="1" eb="2">
      <t>ツキ</t>
    </rPh>
    <phoneticPr fontId="14"/>
  </si>
  <si>
    <t>3月</t>
  </si>
  <si>
    <t>ステージ</t>
    <phoneticPr fontId="14"/>
  </si>
  <si>
    <t>分娩</t>
    <rPh sb="0" eb="2">
      <t>ブンベン</t>
    </rPh>
    <phoneticPr fontId="14"/>
  </si>
  <si>
    <t>哺乳</t>
    <rPh sb="0" eb="2">
      <t>ホニュウ</t>
    </rPh>
    <phoneticPr fontId="14"/>
  </si>
  <si>
    <t>飼養方式</t>
    <rPh sb="0" eb="2">
      <t>シヨウ</t>
    </rPh>
    <rPh sb="2" eb="4">
      <t>ホウシキ</t>
    </rPh>
    <phoneticPr fontId="14"/>
  </si>
  <si>
    <t>放牧</t>
    <rPh sb="0" eb="2">
      <t>ホウボク</t>
    </rPh>
    <phoneticPr fontId="14"/>
  </si>
  <si>
    <t>舎飼</t>
    <rPh sb="0" eb="1">
      <t>シャ</t>
    </rPh>
    <rPh sb="1" eb="2">
      <t>カ</t>
    </rPh>
    <phoneticPr fontId="14"/>
  </si>
  <si>
    <t>親子放牧</t>
    <rPh sb="0" eb="2">
      <t>オヤコ</t>
    </rPh>
    <rPh sb="2" eb="4">
      <t>ホウボク</t>
    </rPh>
    <phoneticPr fontId="14"/>
  </si>
  <si>
    <t>単価H27（畜試購入額</t>
    <rPh sb="0" eb="2">
      <t>タンカ</t>
    </rPh>
    <rPh sb="6" eb="7">
      <t>チク</t>
    </rPh>
    <rPh sb="7" eb="8">
      <t>タメシ</t>
    </rPh>
    <rPh sb="8" eb="10">
      <t>コウニュウ</t>
    </rPh>
    <rPh sb="10" eb="11">
      <t>ガク</t>
    </rPh>
    <phoneticPr fontId="14"/>
  </si>
  <si>
    <t>配合飼料</t>
    <rPh sb="0" eb="2">
      <t>ハイゴウ</t>
    </rPh>
    <rPh sb="2" eb="4">
      <t>シリョウ</t>
    </rPh>
    <phoneticPr fontId="14"/>
  </si>
  <si>
    <t>乾草</t>
    <rPh sb="0" eb="1">
      <t>イヌイ</t>
    </rPh>
    <rPh sb="1" eb="2">
      <t>クサ</t>
    </rPh>
    <phoneticPr fontId="14"/>
  </si>
  <si>
    <t>野草給餌</t>
    <rPh sb="0" eb="2">
      <t>ヤソウ</t>
    </rPh>
    <rPh sb="2" eb="4">
      <t>キュウジ</t>
    </rPh>
    <phoneticPr fontId="14"/>
  </si>
  <si>
    <t>イネWCS</t>
    <phoneticPr fontId="14"/>
  </si>
  <si>
    <t>子牛</t>
    <rPh sb="0" eb="2">
      <t>コウシ</t>
    </rPh>
    <phoneticPr fontId="14"/>
  </si>
  <si>
    <t>出生</t>
    <rPh sb="0" eb="2">
      <t>シュッセイ</t>
    </rPh>
    <phoneticPr fontId="14"/>
  </si>
  <si>
    <t>出荷</t>
    <rPh sb="0" eb="2">
      <t>シュッカ</t>
    </rPh>
    <phoneticPr fontId="14"/>
  </si>
  <si>
    <t>重量</t>
    <rPh sb="0" eb="2">
      <t>ジュウリョウ</t>
    </rPh>
    <phoneticPr fontId="14"/>
  </si>
  <si>
    <t>金額</t>
    <rPh sb="0" eb="2">
      <t>キンガク</t>
    </rPh>
    <phoneticPr fontId="14"/>
  </si>
  <si>
    <t>親牛餌代(1頭分）</t>
    <rPh sb="0" eb="2">
      <t>オヤウシ</t>
    </rPh>
    <rPh sb="2" eb="3">
      <t>エ</t>
    </rPh>
    <rPh sb="3" eb="4">
      <t>ダイ</t>
    </rPh>
    <rPh sb="6" eb="7">
      <t>トウ</t>
    </rPh>
    <rPh sb="7" eb="8">
      <t>ブン</t>
    </rPh>
    <phoneticPr fontId="14"/>
  </si>
  <si>
    <t>濃厚飼料</t>
    <rPh sb="0" eb="2">
      <t>ノウコウ</t>
    </rPh>
    <rPh sb="2" eb="4">
      <t>シリョウ</t>
    </rPh>
    <phoneticPr fontId="14"/>
  </si>
  <si>
    <t>親牛餌代(２頭分）</t>
    <rPh sb="0" eb="2">
      <t>オヤウシ</t>
    </rPh>
    <rPh sb="2" eb="3">
      <t>エ</t>
    </rPh>
    <rPh sb="3" eb="4">
      <t>ダイ</t>
    </rPh>
    <rPh sb="6" eb="7">
      <t>トウ</t>
    </rPh>
    <rPh sb="7" eb="8">
      <t>ブン</t>
    </rPh>
    <phoneticPr fontId="14"/>
  </si>
  <si>
    <t>イネＷＣＳ</t>
    <phoneticPr fontId="14"/>
  </si>
  <si>
    <t>子牛餌代（1頭分）</t>
    <rPh sb="0" eb="2">
      <t>コウシ</t>
    </rPh>
    <rPh sb="2" eb="3">
      <t>エサ</t>
    </rPh>
    <rPh sb="3" eb="4">
      <t>ダイ</t>
    </rPh>
    <rPh sb="6" eb="7">
      <t>トウ</t>
    </rPh>
    <rPh sb="7" eb="8">
      <t>ブン</t>
    </rPh>
    <phoneticPr fontId="14"/>
  </si>
  <si>
    <t>子牛餌代（２頭分）</t>
    <rPh sb="0" eb="2">
      <t>コウシ</t>
    </rPh>
    <rPh sb="2" eb="3">
      <t>エサ</t>
    </rPh>
    <rPh sb="3" eb="4">
      <t>ダイ</t>
    </rPh>
    <rPh sb="6" eb="7">
      <t>トウ</t>
    </rPh>
    <rPh sb="7" eb="8">
      <t>ブン</t>
    </rPh>
    <phoneticPr fontId="14"/>
  </si>
  <si>
    <t>6歳</t>
    <rPh sb="1" eb="2">
      <t>サイ</t>
    </rPh>
    <phoneticPr fontId="15"/>
  </si>
  <si>
    <t>妊娠牛</t>
    <rPh sb="0" eb="2">
      <t>ニンシン</t>
    </rPh>
    <rPh sb="2" eb="3">
      <t>ギュウ</t>
    </rPh>
    <phoneticPr fontId="15"/>
  </si>
  <si>
    <t>合計
(円/10a)</t>
    <rPh sb="0" eb="2">
      <t>ゴウケイ</t>
    </rPh>
    <phoneticPr fontId="14"/>
  </si>
  <si>
    <t>販売量(頭)</t>
    <rPh sb="4" eb="5">
      <t>トウ</t>
    </rPh>
    <phoneticPr fontId="14"/>
  </si>
  <si>
    <t>単価(円)</t>
    <rPh sb="0" eb="2">
      <t>タンカ</t>
    </rPh>
    <rPh sb="3" eb="4">
      <t>エン</t>
    </rPh>
    <phoneticPr fontId="14"/>
  </si>
  <si>
    <t>式</t>
    <rPh sb="0" eb="1">
      <t>シキ</t>
    </rPh>
    <phoneticPr fontId="14"/>
  </si>
  <si>
    <t>②償却資産　施設　年償却費（10a当り）</t>
    <rPh sb="1" eb="3">
      <t>ショウキャク</t>
    </rPh>
    <rPh sb="3" eb="5">
      <t>シサン</t>
    </rPh>
    <rPh sb="6" eb="8">
      <t>シセツ</t>
    </rPh>
    <rPh sb="9" eb="10">
      <t>ネン</t>
    </rPh>
    <rPh sb="10" eb="12">
      <t>ショウキャク</t>
    </rPh>
    <rPh sb="12" eb="13">
      <t>ヒ</t>
    </rPh>
    <rPh sb="17" eb="18">
      <t>ア</t>
    </rPh>
    <phoneticPr fontId="14"/>
  </si>
  <si>
    <t>②償却資産　機械　年償却費（10a当り）</t>
    <rPh sb="1" eb="3">
      <t>ショウキャク</t>
    </rPh>
    <rPh sb="3" eb="5">
      <t>シサン</t>
    </rPh>
    <rPh sb="6" eb="8">
      <t>キカイ</t>
    </rPh>
    <rPh sb="9" eb="10">
      <t>ネン</t>
    </rPh>
    <rPh sb="10" eb="12">
      <t>ショウキャク</t>
    </rPh>
    <rPh sb="12" eb="13">
      <t>ヒ</t>
    </rPh>
    <rPh sb="17" eb="18">
      <t>ア</t>
    </rPh>
    <phoneticPr fontId="14"/>
  </si>
  <si>
    <t>②償却資産　大植物　年償却費（10a当り）</t>
    <rPh sb="1" eb="3">
      <t>ショウキャク</t>
    </rPh>
    <rPh sb="3" eb="5">
      <t>シサン</t>
    </rPh>
    <rPh sb="6" eb="9">
      <t>ダイショクブツ</t>
    </rPh>
    <rPh sb="10" eb="11">
      <t>ネン</t>
    </rPh>
    <rPh sb="11" eb="13">
      <t>ショウキャク</t>
    </rPh>
    <rPh sb="13" eb="14">
      <t>ヒ</t>
    </rPh>
    <rPh sb="18" eb="19">
      <t>ア</t>
    </rPh>
    <phoneticPr fontId="14"/>
  </si>
  <si>
    <t>混合油</t>
    <rPh sb="0" eb="2">
      <t>コンゴウ</t>
    </rPh>
    <rPh sb="2" eb="3">
      <t>ユ</t>
    </rPh>
    <phoneticPr fontId="14"/>
  </si>
  <si>
    <t>基幹労働</t>
    <rPh sb="0" eb="2">
      <t>キカン</t>
    </rPh>
    <rPh sb="2" eb="4">
      <t>ロウドウ</t>
    </rPh>
    <phoneticPr fontId="14"/>
  </si>
  <si>
    <t>補助労働</t>
    <rPh sb="0" eb="2">
      <t>ホジョ</t>
    </rPh>
    <rPh sb="2" eb="4">
      <t>ロウドウ</t>
    </rPh>
    <phoneticPr fontId="14"/>
  </si>
  <si>
    <t>機械利用
時間</t>
    <phoneticPr fontId="14"/>
  </si>
  <si>
    <t>種類</t>
    <rPh sb="0" eb="2">
      <t>シュルイ</t>
    </rPh>
    <phoneticPr fontId="14"/>
  </si>
  <si>
    <t>単位</t>
    <rPh sb="0" eb="2">
      <t>タンイ</t>
    </rPh>
    <phoneticPr fontId="14"/>
  </si>
  <si>
    <t>植付本数</t>
    <rPh sb="0" eb="2">
      <t>ウエツケ</t>
    </rPh>
    <rPh sb="2" eb="4">
      <t>ホンスウ</t>
    </rPh>
    <phoneticPr fontId="14"/>
  </si>
  <si>
    <t>本</t>
    <rPh sb="0" eb="1">
      <t>ホン</t>
    </rPh>
    <phoneticPr fontId="14"/>
  </si>
  <si>
    <t>播種量</t>
    <rPh sb="0" eb="2">
      <t>ハシュ</t>
    </rPh>
    <rPh sb="2" eb="3">
      <t>リョウ</t>
    </rPh>
    <phoneticPr fontId="14"/>
  </si>
  <si>
    <t>kg</t>
    <phoneticPr fontId="14"/>
  </si>
  <si>
    <t>飼養頭数</t>
    <rPh sb="0" eb="2">
      <t>シヨウ</t>
    </rPh>
    <rPh sb="2" eb="4">
      <t>トウスウ</t>
    </rPh>
    <phoneticPr fontId="14"/>
  </si>
  <si>
    <t>労働費</t>
    <rPh sb="0" eb="3">
      <t>ロウドウヒ</t>
    </rPh>
    <phoneticPr fontId="14"/>
  </si>
  <si>
    <t>基幹労働</t>
    <rPh sb="0" eb="2">
      <t>キカン</t>
    </rPh>
    <rPh sb="2" eb="4">
      <t>ロウドウ</t>
    </rPh>
    <phoneticPr fontId="31"/>
  </si>
  <si>
    <t>自家労賃を含む</t>
    <rPh sb="0" eb="2">
      <t>ジカ</t>
    </rPh>
    <rPh sb="2" eb="4">
      <t>ロウチン</t>
    </rPh>
    <rPh sb="5" eb="6">
      <t>フク</t>
    </rPh>
    <phoneticPr fontId="14"/>
  </si>
  <si>
    <t>補助労働</t>
    <rPh sb="0" eb="2">
      <t>ホジョ</t>
    </rPh>
    <rPh sb="2" eb="4">
      <t>ロウドウ</t>
    </rPh>
    <phoneticPr fontId="31"/>
  </si>
  <si>
    <t>10a当たり</t>
    <rPh sb="3" eb="4">
      <t>ア</t>
    </rPh>
    <phoneticPr fontId="14"/>
  </si>
  <si>
    <t>商品化率</t>
    <rPh sb="0" eb="3">
      <t>ショウヒンカ</t>
    </rPh>
    <rPh sb="3" eb="4">
      <t>リツ</t>
    </rPh>
    <phoneticPr fontId="14"/>
  </si>
  <si>
    <t>補助労働(ア)</t>
    <rPh sb="0" eb="2">
      <t>ホジョ</t>
    </rPh>
    <rPh sb="2" eb="4">
      <t>ロウドウ</t>
    </rPh>
    <phoneticPr fontId="14"/>
  </si>
  <si>
    <t>備考</t>
    <rPh sb="0" eb="2">
      <t>ビコウ</t>
    </rPh>
    <phoneticPr fontId="14"/>
  </si>
  <si>
    <t>山口市場Ｈ２７去勢・雌の平均価格</t>
    <rPh sb="0" eb="2">
      <t>ヤマグチ</t>
    </rPh>
    <rPh sb="2" eb="4">
      <t>シジョウ</t>
    </rPh>
    <rPh sb="7" eb="9">
      <t>キョセイ</t>
    </rPh>
    <rPh sb="10" eb="11">
      <t>メス</t>
    </rPh>
    <rPh sb="12" eb="14">
      <t>ヘイキン</t>
    </rPh>
    <rPh sb="14" eb="16">
      <t>カカク</t>
    </rPh>
    <phoneticPr fontId="15"/>
  </si>
  <si>
    <t>１１中～３中</t>
  </si>
  <si>
    <t>親牛飼養管理</t>
  </si>
  <si>
    <t>健康観察、給餌</t>
  </si>
  <si>
    <t>３下</t>
  </si>
  <si>
    <t>繁殖用濃厚飼料、イネＷＣＳ</t>
  </si>
  <si>
    <t>改良資材散布</t>
  </si>
  <si>
    <t>土壌改良資材散布</t>
  </si>
  <si>
    <t>ﾄﾗｸﾀｰ30ps、ﾗｲﾑｿﾜｰ、ﾐﾈﾗﾙGF</t>
  </si>
  <si>
    <t>山口県農業経営指針（日本晴）</t>
  </si>
  <si>
    <t>耕転</t>
  </si>
  <si>
    <t>耕起、砕土、土づくり</t>
  </si>
  <si>
    <t>ﾄﾗｸﾀｰ30ps、ﾛｰﾀﾘｰ</t>
  </si>
  <si>
    <t>播種</t>
  </si>
  <si>
    <t>種子消毒</t>
  </si>
  <si>
    <t>播種機</t>
  </si>
  <si>
    <t>育苗</t>
  </si>
  <si>
    <t>かん水、その他管理等</t>
  </si>
  <si>
    <t>５中～６上</t>
  </si>
  <si>
    <t>代かき</t>
  </si>
  <si>
    <t>代かき（２回）</t>
  </si>
  <si>
    <t>５下～６上</t>
  </si>
  <si>
    <t>ﾄﾗｸﾀｰ30ps、代かきﾊﾛｰ</t>
  </si>
  <si>
    <t>苗運搬</t>
  </si>
  <si>
    <t>６上</t>
  </si>
  <si>
    <t>箱施用</t>
  </si>
  <si>
    <t>箱施用剤散布（病害虫防除）</t>
  </si>
  <si>
    <t>移植・施肥</t>
  </si>
  <si>
    <t>機械移植</t>
  </si>
  <si>
    <t>多目的田植機（施肥機付・乗用６条）</t>
  </si>
  <si>
    <t>移植・施肥補助</t>
  </si>
  <si>
    <t>水管理</t>
  </si>
  <si>
    <t>灌水、間断かん水、落水</t>
  </si>
  <si>
    <t>６中～９下</t>
  </si>
  <si>
    <t>除草剤散布</t>
  </si>
  <si>
    <t>アロアブル散布剤</t>
  </si>
  <si>
    <t>６中</t>
  </si>
  <si>
    <t>ｻﾗﾌﾞﾚｯﾄRXｱﾛｱﾌﾞﾙ</t>
  </si>
  <si>
    <t>草刈り</t>
  </si>
  <si>
    <t>畦畔管理</t>
  </si>
  <si>
    <t>５上、７下</t>
  </si>
  <si>
    <t>作溝</t>
  </si>
  <si>
    <t>溝切り</t>
  </si>
  <si>
    <t>７上</t>
  </si>
  <si>
    <t>乗用管理機、作溝機</t>
  </si>
  <si>
    <t>病害虫防除</t>
  </si>
  <si>
    <t>防除（３回）</t>
  </si>
  <si>
    <t>７中、８中、９上</t>
  </si>
  <si>
    <t>乗用管理機、ﾌﾞｰﾑｽﾌﾟﾚｰﾔｰ10m</t>
  </si>
  <si>
    <t>山口県農業経営指針（日本晴）参考</t>
  </si>
  <si>
    <t>収穫・調整</t>
  </si>
  <si>
    <t>刈取・反転・集草・梱包・ラッピング</t>
  </si>
  <si>
    <t>９下</t>
  </si>
  <si>
    <t>作業委託</t>
  </si>
  <si>
    <t>(WCS)</t>
    <phoneticPr fontId="14"/>
  </si>
  <si>
    <t>電牧器(ｿｰﾗ・ﾊﾞｯﾃﾘｰ一体型）</t>
    <rPh sb="0" eb="1">
      <t>デン</t>
    </rPh>
    <rPh sb="1" eb="2">
      <t>ボク</t>
    </rPh>
    <rPh sb="2" eb="3">
      <t>キ</t>
    </rPh>
    <rPh sb="14" eb="17">
      <t>イッタイガタ</t>
    </rPh>
    <phoneticPr fontId="14"/>
  </si>
  <si>
    <t>トラクター</t>
    <phoneticPr fontId="14"/>
  </si>
  <si>
    <t>代かきハロー</t>
    <rPh sb="0" eb="1">
      <t>シロ</t>
    </rPh>
    <phoneticPr fontId="14"/>
  </si>
  <si>
    <t>ライムソワー</t>
    <phoneticPr fontId="14"/>
  </si>
  <si>
    <t>多目的田植機（施肥機付）</t>
    <rPh sb="0" eb="3">
      <t>タモクテキ</t>
    </rPh>
    <rPh sb="3" eb="5">
      <t>タウエ</t>
    </rPh>
    <rPh sb="5" eb="6">
      <t>キ</t>
    </rPh>
    <rPh sb="7" eb="9">
      <t>セヒ</t>
    </rPh>
    <rPh sb="9" eb="10">
      <t>キ</t>
    </rPh>
    <rPh sb="10" eb="11">
      <t>ツキ</t>
    </rPh>
    <phoneticPr fontId="14"/>
  </si>
  <si>
    <t>乗用管理機</t>
    <rPh sb="0" eb="2">
      <t>ジョウヨウ</t>
    </rPh>
    <rPh sb="2" eb="4">
      <t>カンリ</t>
    </rPh>
    <rPh sb="4" eb="5">
      <t>キ</t>
    </rPh>
    <phoneticPr fontId="14"/>
  </si>
  <si>
    <t>ブームスプレーヤ</t>
    <phoneticPr fontId="14"/>
  </si>
  <si>
    <t>作溝機</t>
    <rPh sb="0" eb="1">
      <t>ツク</t>
    </rPh>
    <rPh sb="1" eb="2">
      <t>ミゾ</t>
    </rPh>
    <rPh sb="2" eb="3">
      <t>キ</t>
    </rPh>
    <phoneticPr fontId="14"/>
  </si>
  <si>
    <t>刈払機</t>
    <rPh sb="0" eb="1">
      <t>カ</t>
    </rPh>
    <rPh sb="1" eb="2">
      <t>ハラ</t>
    </rPh>
    <rPh sb="2" eb="3">
      <t>キ</t>
    </rPh>
    <phoneticPr fontId="14"/>
  </si>
  <si>
    <t>水稲播種機</t>
    <rPh sb="0" eb="2">
      <t>スイトウ</t>
    </rPh>
    <rPh sb="2" eb="4">
      <t>ハシュ</t>
    </rPh>
    <rPh sb="4" eb="5">
      <t>キ</t>
    </rPh>
    <phoneticPr fontId="14"/>
  </si>
  <si>
    <t>軽4輪トラック</t>
    <rPh sb="0" eb="1">
      <t>ケイ</t>
    </rPh>
    <rPh sb="2" eb="3">
      <t>リン</t>
    </rPh>
    <phoneticPr fontId="14"/>
  </si>
  <si>
    <t>台</t>
    <rPh sb="0" eb="1">
      <t>ダイ</t>
    </rPh>
    <phoneticPr fontId="14"/>
  </si>
  <si>
    <t>30ps、ロータリー</t>
    <phoneticPr fontId="14"/>
  </si>
  <si>
    <t>2.4m</t>
    <phoneticPr fontId="14"/>
  </si>
  <si>
    <t>300ﾘｯﾄﾙ</t>
    <phoneticPr fontId="14"/>
  </si>
  <si>
    <t>乗用6条</t>
    <rPh sb="0" eb="2">
      <t>ジョウヨウ</t>
    </rPh>
    <rPh sb="3" eb="4">
      <t>ジョウ</t>
    </rPh>
    <phoneticPr fontId="14"/>
  </si>
  <si>
    <t>10m</t>
    <phoneticPr fontId="14"/>
  </si>
  <si>
    <t>乗用管理機用</t>
    <rPh sb="0" eb="2">
      <t>ジョウヨウ</t>
    </rPh>
    <rPh sb="2" eb="4">
      <t>カンリ</t>
    </rPh>
    <rPh sb="4" eb="5">
      <t>キ</t>
    </rPh>
    <rPh sb="5" eb="6">
      <t>ヨウ</t>
    </rPh>
    <phoneticPr fontId="14"/>
  </si>
  <si>
    <t>25.4cc</t>
    <phoneticPr fontId="14"/>
  </si>
  <si>
    <t>電動</t>
    <rPh sb="0" eb="2">
      <t>デンドウ</t>
    </rPh>
    <phoneticPr fontId="14"/>
  </si>
  <si>
    <t>660cc</t>
    <phoneticPr fontId="14"/>
  </si>
  <si>
    <t>ﾄﾗｸﾀｰ30ps</t>
  </si>
  <si>
    <t>ﾗｲﾑｿﾜｰ</t>
  </si>
  <si>
    <t>ﾛｰﾀﾘｰ</t>
  </si>
  <si>
    <t>代かきﾊﾛｰ</t>
    <rPh sb="0" eb="1">
      <t>シロ</t>
    </rPh>
    <phoneticPr fontId="15"/>
  </si>
  <si>
    <t>田植機（6条）</t>
    <rPh sb="0" eb="2">
      <t>タウエ</t>
    </rPh>
    <rPh sb="2" eb="3">
      <t>キ</t>
    </rPh>
    <rPh sb="5" eb="6">
      <t>ジョウ</t>
    </rPh>
    <phoneticPr fontId="15"/>
  </si>
  <si>
    <t>施肥機付</t>
    <rPh sb="0" eb="2">
      <t>セヒ</t>
    </rPh>
    <rPh sb="2" eb="3">
      <t>キ</t>
    </rPh>
    <rPh sb="3" eb="4">
      <t>ツキ</t>
    </rPh>
    <phoneticPr fontId="15"/>
  </si>
  <si>
    <t>軽トラ</t>
    <rPh sb="0" eb="1">
      <t>ケイ</t>
    </rPh>
    <phoneticPr fontId="15"/>
  </si>
  <si>
    <t>家畜市場購入後運搬委託</t>
    <rPh sb="0" eb="2">
      <t>カチク</t>
    </rPh>
    <rPh sb="2" eb="4">
      <t>シジョウ</t>
    </rPh>
    <rPh sb="4" eb="7">
      <t>コウニュウゴ</t>
    </rPh>
    <rPh sb="7" eb="9">
      <t>ウンパン</t>
    </rPh>
    <rPh sb="9" eb="11">
      <t>イタク</t>
    </rPh>
    <phoneticPr fontId="14"/>
  </si>
  <si>
    <t>タチスズカ種子代</t>
    <rPh sb="5" eb="7">
      <t>シュシ</t>
    </rPh>
    <rPh sb="7" eb="8">
      <t>ダイ</t>
    </rPh>
    <phoneticPr fontId="15"/>
  </si>
  <si>
    <t>アロアブル散布剤</t>
    <rPh sb="5" eb="7">
      <t>サンプ</t>
    </rPh>
    <rPh sb="7" eb="8">
      <t>ザイ</t>
    </rPh>
    <phoneticPr fontId="15"/>
  </si>
  <si>
    <t>殺菌剤</t>
    <rPh sb="0" eb="3">
      <t>サッキンザイ</t>
    </rPh>
    <phoneticPr fontId="15"/>
  </si>
  <si>
    <t>殺虫剤</t>
    <rPh sb="0" eb="3">
      <t>サッチュウザイ</t>
    </rPh>
    <phoneticPr fontId="15"/>
  </si>
  <si>
    <t>山口農業経営指針（日本晴）</t>
    <rPh sb="0" eb="2">
      <t>ヤマグチ</t>
    </rPh>
    <rPh sb="2" eb="4">
      <t>ノウギョウ</t>
    </rPh>
    <rPh sb="4" eb="6">
      <t>ケイエイ</t>
    </rPh>
    <rPh sb="6" eb="8">
      <t>シシン</t>
    </rPh>
    <rPh sb="9" eb="10">
      <t>ヒ</t>
    </rPh>
    <rPh sb="10" eb="11">
      <t>ホン</t>
    </rPh>
    <rPh sb="11" eb="12">
      <t>ハ</t>
    </rPh>
    <phoneticPr fontId="15"/>
  </si>
  <si>
    <t>土づくり肥料・配合肥料</t>
    <rPh sb="0" eb="1">
      <t>ツチ</t>
    </rPh>
    <rPh sb="4" eb="6">
      <t>ヒリョウ</t>
    </rPh>
    <rPh sb="7" eb="9">
      <t>ハイゴウ</t>
    </rPh>
    <rPh sb="9" eb="11">
      <t>ヒリョウ</t>
    </rPh>
    <phoneticPr fontId="15"/>
  </si>
  <si>
    <t>水利費</t>
    <rPh sb="0" eb="2">
      <t>スイリ</t>
    </rPh>
    <rPh sb="2" eb="3">
      <t>ヒ</t>
    </rPh>
    <phoneticPr fontId="15"/>
  </si>
  <si>
    <t>育苗資材費</t>
    <rPh sb="0" eb="2">
      <t>イクビョウ</t>
    </rPh>
    <rPh sb="2" eb="4">
      <t>シザイ</t>
    </rPh>
    <rPh sb="4" eb="5">
      <t>ヒ</t>
    </rPh>
    <phoneticPr fontId="15"/>
  </si>
  <si>
    <t>山口農業経営指針（日本晴）</t>
  </si>
  <si>
    <t>作業委託</t>
    <rPh sb="0" eb="2">
      <t>サギョウ</t>
    </rPh>
    <rPh sb="2" eb="4">
      <t>イタク</t>
    </rPh>
    <phoneticPr fontId="15"/>
  </si>
  <si>
    <t>オイル(自動計算)</t>
    <rPh sb="4" eb="6">
      <t>ジドウ</t>
    </rPh>
    <rPh sb="6" eb="8">
      <t>ケイサン</t>
    </rPh>
    <phoneticPr fontId="14"/>
  </si>
  <si>
    <t>H27年平均価格　石油情報センターより</t>
    <rPh sb="3" eb="4">
      <t>ネン</t>
    </rPh>
    <rPh sb="4" eb="6">
      <t>ヘイキン</t>
    </rPh>
    <rPh sb="6" eb="8">
      <t>カカク</t>
    </rPh>
    <rPh sb="9" eb="11">
      <t>セキユ</t>
    </rPh>
    <rPh sb="11" eb="13">
      <t>ジョウホウ</t>
    </rPh>
    <phoneticPr fontId="14"/>
  </si>
  <si>
    <t>山口県最低賃金（H28.10.1）</t>
    <phoneticPr fontId="14"/>
  </si>
  <si>
    <t>田</t>
  </si>
  <si>
    <t>=</t>
    <phoneticPr fontId="14"/>
  </si>
  <si>
    <t>×</t>
    <phoneticPr fontId="14"/>
  </si>
  <si>
    <t>3.6m</t>
    <phoneticPr fontId="14"/>
  </si>
  <si>
    <t>4.5m</t>
    <phoneticPr fontId="14"/>
  </si>
  <si>
    <t>10.8m</t>
    <phoneticPr fontId="14"/>
  </si>
  <si>
    <t xml:space="preserve">       2.0m</t>
    <phoneticPr fontId="14"/>
  </si>
  <si>
    <t>0.4m</t>
    <phoneticPr fontId="14"/>
  </si>
  <si>
    <t>イネWCS</t>
    <phoneticPr fontId="14"/>
  </si>
  <si>
    <t>ステージ</t>
    <phoneticPr fontId="14"/>
  </si>
  <si>
    <t>オイル(自動計算)</t>
  </si>
  <si>
    <t>自家施工</t>
    <rPh sb="0" eb="2">
      <t>ジカ</t>
    </rPh>
    <rPh sb="2" eb="4">
      <t>セコウ</t>
    </rPh>
    <phoneticPr fontId="14"/>
  </si>
  <si>
    <t>人員(人)</t>
    <rPh sb="0" eb="2">
      <t>ジンイン</t>
    </rPh>
    <rPh sb="3" eb="4">
      <t>ヒト</t>
    </rPh>
    <phoneticPr fontId="14"/>
  </si>
  <si>
    <t>時間(h)</t>
    <rPh sb="0" eb="2">
      <t>ジカン</t>
    </rPh>
    <phoneticPr fontId="14"/>
  </si>
  <si>
    <t>時給(円)</t>
    <rPh sb="0" eb="2">
      <t>ジキュウ</t>
    </rPh>
    <rPh sb="3" eb="4">
      <t>エン</t>
    </rPh>
    <phoneticPr fontId="14"/>
  </si>
  <si>
    <t>労賃(円)</t>
    <rPh sb="0" eb="2">
      <t>ロウチン</t>
    </rPh>
    <rPh sb="3" eb="4">
      <t>エン</t>
    </rPh>
    <phoneticPr fontId="14"/>
  </si>
  <si>
    <t>1本1000ml入　2頭分で1回100ml×７回分</t>
    <rPh sb="1" eb="2">
      <t>ホン</t>
    </rPh>
    <rPh sb="8" eb="9">
      <t>イ</t>
    </rPh>
    <rPh sb="11" eb="12">
      <t>トウ</t>
    </rPh>
    <rPh sb="12" eb="13">
      <t>ブン</t>
    </rPh>
    <rPh sb="15" eb="16">
      <t>カイ</t>
    </rPh>
    <rPh sb="23" eb="25">
      <t>カイブン</t>
    </rPh>
    <phoneticPr fontId="15"/>
  </si>
  <si>
    <t>別ｼｰﾄ：簡易牛舎算出根基、自家労賃含む</t>
    <rPh sb="0" eb="1">
      <t>ベツ</t>
    </rPh>
    <rPh sb="5" eb="7">
      <t>カンイ</t>
    </rPh>
    <rPh sb="7" eb="9">
      <t>ギュウシャ</t>
    </rPh>
    <rPh sb="9" eb="11">
      <t>サンシュツ</t>
    </rPh>
    <rPh sb="11" eb="12">
      <t>ネ</t>
    </rPh>
    <rPh sb="12" eb="13">
      <t>モト</t>
    </rPh>
    <rPh sb="14" eb="16">
      <t>ジカ</t>
    </rPh>
    <rPh sb="16" eb="18">
      <t>ロウチン</t>
    </rPh>
    <rPh sb="18" eb="19">
      <t>フク</t>
    </rPh>
    <phoneticPr fontId="15"/>
  </si>
  <si>
    <t>別ｼｰﾄ牛購入根基、労賃含む</t>
    <rPh sb="0" eb="1">
      <t>ベツ</t>
    </rPh>
    <rPh sb="4" eb="5">
      <t>ウシ</t>
    </rPh>
    <rPh sb="5" eb="7">
      <t>コウニュウ</t>
    </rPh>
    <rPh sb="7" eb="8">
      <t>ネ</t>
    </rPh>
    <rPh sb="8" eb="9">
      <t>モト</t>
    </rPh>
    <rPh sb="10" eb="12">
      <t>ロウチン</t>
    </rPh>
    <rPh sb="12" eb="13">
      <t>フク</t>
    </rPh>
    <phoneticPr fontId="15"/>
  </si>
  <si>
    <t>４Ｌ/2ha使用</t>
    <rPh sb="6" eb="8">
      <t>シヨウ</t>
    </rPh>
    <phoneticPr fontId="15"/>
  </si>
  <si>
    <t>(1人×4時間×1回)/2ha</t>
    <rPh sb="2" eb="3">
      <t>ヒト</t>
    </rPh>
    <rPh sb="5" eb="7">
      <t>ジカン</t>
    </rPh>
    <rPh sb="9" eb="10">
      <t>カイ</t>
    </rPh>
    <phoneticPr fontId="14"/>
  </si>
  <si>
    <t>(1人×1時間×1回)/2ha</t>
    <rPh sb="2" eb="3">
      <t>ヒト</t>
    </rPh>
    <rPh sb="5" eb="7">
      <t>ジカン</t>
    </rPh>
    <rPh sb="9" eb="10">
      <t>カイ</t>
    </rPh>
    <phoneticPr fontId="14"/>
  </si>
  <si>
    <t>(1人×1時間×10回)/2ha</t>
    <rPh sb="2" eb="3">
      <t>ヒト</t>
    </rPh>
    <rPh sb="5" eb="7">
      <t>ジカン</t>
    </rPh>
    <rPh sb="10" eb="11">
      <t>カイ</t>
    </rPh>
    <phoneticPr fontId="14"/>
  </si>
  <si>
    <t>(分娩時1人×3時間×2回)2ha</t>
    <rPh sb="1" eb="3">
      <t>ブンベン</t>
    </rPh>
    <rPh sb="3" eb="4">
      <t>ジ</t>
    </rPh>
    <rPh sb="5" eb="6">
      <t>ヒト</t>
    </rPh>
    <rPh sb="8" eb="10">
      <t>ジカン</t>
    </rPh>
    <rPh sb="12" eb="13">
      <t>カイ</t>
    </rPh>
    <phoneticPr fontId="14"/>
  </si>
  <si>
    <t>(種付補助1人×30分×1.5回×2頭)/2ha</t>
    <rPh sb="1" eb="3">
      <t>タネツ</t>
    </rPh>
    <rPh sb="3" eb="5">
      <t>ホジョ</t>
    </rPh>
    <rPh sb="6" eb="7">
      <t>ヒト</t>
    </rPh>
    <rPh sb="10" eb="11">
      <t>フン</t>
    </rPh>
    <rPh sb="15" eb="16">
      <t>カイ</t>
    </rPh>
    <rPh sb="18" eb="19">
      <t>トウ</t>
    </rPh>
    <phoneticPr fontId="14"/>
  </si>
  <si>
    <t>(去勢補助離乳等1人×1時間×2頭)2ha</t>
    <rPh sb="1" eb="3">
      <t>キョセイ</t>
    </rPh>
    <rPh sb="3" eb="5">
      <t>ホジョ</t>
    </rPh>
    <rPh sb="5" eb="7">
      <t>リニュウ</t>
    </rPh>
    <rPh sb="7" eb="8">
      <t>トウ</t>
    </rPh>
    <rPh sb="9" eb="10">
      <t>ヒト</t>
    </rPh>
    <rPh sb="12" eb="14">
      <t>ジカン</t>
    </rPh>
    <rPh sb="16" eb="17">
      <t>トウ</t>
    </rPh>
    <phoneticPr fontId="14"/>
  </si>
  <si>
    <t>(1人×5時間×1回)2ha</t>
    <rPh sb="2" eb="3">
      <t>ヒト</t>
    </rPh>
    <rPh sb="5" eb="7">
      <t>ジカン</t>
    </rPh>
    <rPh sb="9" eb="10">
      <t>カイ</t>
    </rPh>
    <phoneticPr fontId="14"/>
  </si>
  <si>
    <t>山口県農業経営方針（日本晴）10/2a</t>
    <rPh sb="0" eb="3">
      <t>ヤマグチケン</t>
    </rPh>
    <rPh sb="3" eb="5">
      <t>ノウギョウ</t>
    </rPh>
    <rPh sb="5" eb="7">
      <t>ケイエイ</t>
    </rPh>
    <rPh sb="7" eb="9">
      <t>ホウシン</t>
    </rPh>
    <rPh sb="10" eb="13">
      <t>ニホンバ</t>
    </rPh>
    <phoneticPr fontId="14"/>
  </si>
  <si>
    <t>エスケー資材カタログより  150本/2ha</t>
    <rPh sb="4" eb="6">
      <t>シザイ</t>
    </rPh>
    <rPh sb="17" eb="18">
      <t>ホン</t>
    </rPh>
    <phoneticPr fontId="32"/>
  </si>
  <si>
    <t>エスケー資材カタログより  30本/2ha</t>
    <rPh sb="4" eb="6">
      <t>シザイ</t>
    </rPh>
    <rPh sb="16" eb="17">
      <t>ホン</t>
    </rPh>
    <phoneticPr fontId="32"/>
  </si>
  <si>
    <t>エスケー資材カタログより  10個/2ha</t>
    <rPh sb="4" eb="6">
      <t>シザイ</t>
    </rPh>
    <rPh sb="16" eb="17">
      <t>コ</t>
    </rPh>
    <phoneticPr fontId="32"/>
  </si>
  <si>
    <t>エスケー資材カタログより  1個/2ha</t>
    <rPh sb="4" eb="6">
      <t>シザイ</t>
    </rPh>
    <rPh sb="15" eb="16">
      <t>コ</t>
    </rPh>
    <phoneticPr fontId="32"/>
  </si>
  <si>
    <t>エスケー資材カタログより  4巻/2ha</t>
    <rPh sb="4" eb="6">
      <t>シザイ</t>
    </rPh>
    <rPh sb="15" eb="16">
      <t>マ</t>
    </rPh>
    <phoneticPr fontId="32"/>
  </si>
  <si>
    <t>畜試購入額（H25） 1台/2ha</t>
    <rPh sb="0" eb="1">
      <t>チク</t>
    </rPh>
    <rPh sb="1" eb="2">
      <t>タメシ</t>
    </rPh>
    <rPh sb="2" eb="4">
      <t>コウニュウ</t>
    </rPh>
    <rPh sb="4" eb="5">
      <t>ガク</t>
    </rPh>
    <rPh sb="12" eb="13">
      <t>ダイ</t>
    </rPh>
    <phoneticPr fontId="15"/>
  </si>
  <si>
    <t>反</t>
    <rPh sb="0" eb="1">
      <t>ハン</t>
    </rPh>
    <phoneticPr fontId="14"/>
  </si>
  <si>
    <t>該当しない</t>
  </si>
  <si>
    <t>Ａ法人作業体系</t>
    <rPh sb="1" eb="3">
      <t>ホウジン</t>
    </rPh>
    <phoneticPr fontId="14"/>
  </si>
  <si>
    <t>（Ｋ法人調査事例より）</t>
    <rPh sb="2" eb="4">
      <t>ホウジン</t>
    </rPh>
    <rPh sb="4" eb="6">
      <t>チョウサ</t>
    </rPh>
    <rPh sb="6" eb="8">
      <t>ジレイ</t>
    </rPh>
    <phoneticPr fontId="14"/>
  </si>
  <si>
    <t>Ｋ法人より</t>
    <rPh sb="1" eb="3">
      <t>ホウジン</t>
    </rPh>
    <phoneticPr fontId="14"/>
  </si>
  <si>
    <t>Ａ法人と近隣畜産農家との作業委託より</t>
    <rPh sb="1" eb="3">
      <t>ホウジン</t>
    </rPh>
    <rPh sb="4" eb="6">
      <t>キンリン</t>
    </rPh>
    <rPh sb="6" eb="8">
      <t>チクサン</t>
    </rPh>
    <rPh sb="8" eb="10">
      <t>ノウカ</t>
    </rPh>
    <rPh sb="12" eb="14">
      <t>サギョウ</t>
    </rPh>
    <rPh sb="14" eb="16">
      <t>イタク</t>
    </rPh>
    <phoneticPr fontId="14"/>
  </si>
  <si>
    <t>Ａ法人の実績12ﾛｰﾙ・125kg/10a</t>
    <rPh sb="1" eb="3">
      <t>ホウジン</t>
    </rPh>
    <rPh sb="4" eb="6">
      <t>ジッセキ</t>
    </rPh>
    <phoneticPr fontId="14"/>
  </si>
  <si>
    <t>別ｼｰﾄ牛購入根基（エクセルデータ参照）</t>
    <rPh sb="17" eb="19">
      <t>サンショウ</t>
    </rPh>
    <phoneticPr fontId="14"/>
  </si>
  <si>
    <t>別ｼｰﾄ簡易牛舎算出根基（エクセルデータ参照）</t>
    <rPh sb="20" eb="22">
      <t>サンショウ</t>
    </rPh>
    <phoneticPr fontId="14"/>
  </si>
  <si>
    <t>イメージ</t>
    <phoneticPr fontId="14"/>
  </si>
  <si>
    <t>　　　　（エクセルデータ参照）</t>
    <rPh sb="12" eb="14">
      <t>サンショウ</t>
    </rPh>
    <phoneticPr fontId="14"/>
  </si>
  <si>
    <t>（エクセルデータ参照）</t>
    <rPh sb="8" eb="10">
      <t>サンショウ</t>
    </rPh>
    <phoneticPr fontId="14"/>
  </si>
  <si>
    <t>3,000円/1ﾛｰﾙ(別ｼｰﾄ)、WCS経営安定対策80,000円/10a、5a</t>
    <rPh sb="21" eb="23">
      <t>ケイエイ</t>
    </rPh>
    <rPh sb="23" eb="25">
      <t>アンテイ</t>
    </rPh>
    <rPh sb="25" eb="27">
      <t>タイサク</t>
    </rPh>
    <phoneticPr fontId="14"/>
  </si>
  <si>
    <t>3kg/10a、2,6960円/20kg</t>
    <rPh sb="14" eb="15">
      <t>エン</t>
    </rPh>
    <phoneticPr fontId="15"/>
  </si>
  <si>
    <t>16,700円/10a(別ｼｰﾄ)</t>
    <rPh sb="6" eb="7">
      <t>エン</t>
    </rPh>
    <rPh sb="12" eb="13">
      <t>ベツ</t>
    </rPh>
    <phoneticPr fontId="15"/>
  </si>
</sst>
</file>

<file path=xl/styles.xml><?xml version="1.0" encoding="utf-8"?>
<styleSheet xmlns="http://schemas.openxmlformats.org/spreadsheetml/2006/main">
  <numFmts count="35">
    <numFmt numFmtId="176" formatCode="0.0&quot;ha&quot;"/>
    <numFmt numFmtId="177" formatCode="0.0&quot; a&quot;"/>
    <numFmt numFmtId="178" formatCode="0.0"/>
    <numFmt numFmtId="179" formatCode="#,##0.0;[Red]\-#,##0.0"/>
    <numFmt numFmtId="180" formatCode="0.0&quot;a当り&quot;"/>
    <numFmt numFmtId="181" formatCode="#,##0.0"/>
    <numFmt numFmtId="182" formatCode="#,##0\ ;\(#,##0\)"/>
    <numFmt numFmtId="183" formatCode="0&quot;月&quot;"/>
    <numFmt numFmtId="184" formatCode="\["/>
    <numFmt numFmtId="185" formatCode="#,##0_ ;[Red]\-#,##0\ "/>
    <numFmt numFmtId="186" formatCode="&quot;購入補充&quot;#,##0&quot;円&quot;"/>
    <numFmt numFmtId="187" formatCode="&quot;修繕費(負担取得価格の1%)&quot;#,##0&quot;円&quot;"/>
    <numFmt numFmtId="188" formatCode="&quot;所得率&quot;0.0%"/>
    <numFmt numFmtId="189" formatCode="0.0%"/>
    <numFmt numFmtId="190" formatCode="#,##0&quot;円&quot;"/>
    <numFmt numFmtId="191" formatCode="#,##0_ "/>
    <numFmt numFmtId="192" formatCode="0\ &quot;月&quot;"/>
    <numFmt numFmtId="193" formatCode="&quot; &quot;@&quot;旬&quot;"/>
    <numFmt numFmtId="194" formatCode="0.00\ &quot;ha&quot;"/>
    <numFmt numFmtId="195" formatCode="_ * #,##0.0_ ;_ * \-#,##0.0_ ;_ * &quot;&quot;??_ ;_ @_ "/>
    <numFmt numFmtId="196" formatCode="0.0_);[Red]\(0.0\)"/>
    <numFmt numFmtId="197" formatCode="#,##0;&quot;▲ &quot;#,##0"/>
    <numFmt numFmtId="198" formatCode="#,###"/>
    <numFmt numFmtId="199" formatCode="_ * #,##0.00_ ;_ * \-#,##0.00_ ;_ * &quot;&quot;??_ ;_ @_ "/>
    <numFmt numFmtId="200" formatCode="#,##0.0_);[Red]\(#,##0.0\)"/>
    <numFmt numFmtId="201" formatCode="#,###&quot;円&quot;"/>
    <numFmt numFmtId="202" formatCode="#"/>
    <numFmt numFmtId="203" formatCode="0_);[Red]\(0\)"/>
    <numFmt numFmtId="204" formatCode="0.0_ "/>
    <numFmt numFmtId="205" formatCode="#,##0_);[Red]\(#,##0\)"/>
    <numFmt numFmtId="206" formatCode="#,##0.0_ "/>
    <numFmt numFmtId="207" formatCode="0_ "/>
    <numFmt numFmtId="208" formatCode="0.00000_ "/>
    <numFmt numFmtId="209" formatCode="_ * #,##0.0_ ;[Red]_ * \-#,##0.0_ ;_ * &quot;&quot;??_ ;_ @_ "/>
    <numFmt numFmtId="210" formatCode="#,##0.#"/>
  </numFmts>
  <fonts count="42">
    <font>
      <sz val="11"/>
      <name val="ＭＳ Ｐゴシック"/>
      <family val="3"/>
      <charset val="128"/>
    </font>
    <font>
      <sz val="11"/>
      <color theme="1"/>
      <name val="ＭＳ Ｐゴシック"/>
      <family val="2"/>
      <charset val="128"/>
      <scheme val="minor"/>
    </font>
    <font>
      <sz val="9.5"/>
      <name val="明朝"/>
      <family val="1"/>
      <charset val="128"/>
    </font>
    <font>
      <sz val="11"/>
      <color indexed="8"/>
      <name val="ＭＳ Ｐゴシック"/>
      <family val="3"/>
      <charset val="128"/>
    </font>
    <font>
      <sz val="10"/>
      <name val="ＭＳ 明朝"/>
      <family val="1"/>
      <charset val="128"/>
    </font>
    <font>
      <sz val="10"/>
      <name val="ＭＳ ゴシック"/>
      <family val="3"/>
      <charset val="128"/>
    </font>
    <font>
      <b/>
      <sz val="9"/>
      <color indexed="8"/>
      <name val="ＭＳ Ｐゴシック"/>
      <family val="3"/>
      <charset val="128"/>
    </font>
    <font>
      <sz val="9"/>
      <color indexed="8"/>
      <name val="ＭＳ Ｐゴシック"/>
      <family val="3"/>
      <charset val="128"/>
    </font>
    <font>
      <sz val="8"/>
      <name val="ＭＳ 明朝"/>
      <family val="1"/>
      <charset val="128"/>
    </font>
    <font>
      <sz val="9"/>
      <name val="ＭＳ Ｐゴシック"/>
      <family val="3"/>
      <charset val="128"/>
    </font>
    <font>
      <b/>
      <sz val="11"/>
      <name val="ＭＳ Ｐゴシック"/>
      <family val="3"/>
      <charset val="128"/>
    </font>
    <font>
      <sz val="9"/>
      <name val="ＭＳ 明朝"/>
      <family val="1"/>
      <charset val="128"/>
    </font>
    <font>
      <b/>
      <sz val="10"/>
      <name val="ＭＳ Ｐゴシック"/>
      <family val="3"/>
      <charset val="128"/>
    </font>
    <font>
      <b/>
      <sz val="10"/>
      <color indexed="12"/>
      <name val="ＭＳ Ｐゴシック"/>
      <family val="3"/>
      <charset val="128"/>
    </font>
    <font>
      <sz val="6"/>
      <name val="ＭＳ Ｐゴシック"/>
      <family val="3"/>
      <charset val="128"/>
    </font>
    <font>
      <sz val="9.5"/>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1"/>
      <color indexed="8"/>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b/>
      <sz val="10"/>
      <color indexed="10"/>
      <name val="ＭＳ Ｐゴシック"/>
      <family val="3"/>
      <charset val="128"/>
    </font>
    <font>
      <b/>
      <sz val="9"/>
      <name val="ＭＳ Ｐゴシック"/>
      <family val="3"/>
      <charset val="128"/>
    </font>
    <font>
      <b/>
      <i/>
      <sz val="9"/>
      <name val="ＭＳ Ｐゴシック"/>
      <family val="3"/>
      <charset val="128"/>
    </font>
    <font>
      <b/>
      <i/>
      <sz val="10"/>
      <name val="ＭＳ Ｐゴシック"/>
      <family val="3"/>
      <charset val="128"/>
    </font>
    <font>
      <sz val="10"/>
      <color rgb="FFFF0000"/>
      <name val="ＭＳ Ｐゴシック"/>
      <family val="3"/>
      <charset val="128"/>
    </font>
    <font>
      <sz val="11"/>
      <color theme="1"/>
      <name val="ＭＳ Ｐゴシック"/>
      <family val="3"/>
      <charset val="128"/>
      <scheme val="minor"/>
    </font>
    <font>
      <sz val="8"/>
      <color rgb="FFFF0000"/>
      <name val="ＭＳ Ｐゴシック"/>
      <family val="3"/>
      <charset val="128"/>
    </font>
    <font>
      <sz val="14"/>
      <name val="ＭＳ Ｐゴシック"/>
      <family val="3"/>
      <charset val="128"/>
    </font>
    <font>
      <sz val="11"/>
      <color indexed="9"/>
      <name val="ＭＳ Ｐゴシック"/>
      <family val="3"/>
      <charset val="128"/>
    </font>
    <font>
      <sz val="11"/>
      <color indexed="81"/>
      <name val="ＭＳ Ｐゴシック"/>
      <family val="3"/>
      <charset val="128"/>
    </font>
    <font>
      <b/>
      <sz val="11"/>
      <color indexed="10"/>
      <name val="ＭＳ Ｐゴシック"/>
      <family val="3"/>
      <charset val="128"/>
    </font>
    <font>
      <sz val="14"/>
      <name val="ＭＳ 明朝"/>
      <family val="1"/>
      <charset val="128"/>
    </font>
    <font>
      <b/>
      <sz val="14"/>
      <name val="ＭＳ Ｐゴシック"/>
      <family val="3"/>
      <charset val="128"/>
    </font>
    <font>
      <sz val="11"/>
      <color theme="0"/>
      <name val="ＭＳ Ｐゴシック"/>
      <family val="3"/>
      <charset val="128"/>
    </font>
    <font>
      <sz val="10"/>
      <name val="ＭＳ Ｐゴシック"/>
      <family val="3"/>
      <charset val="128"/>
      <scheme val="minor"/>
    </font>
    <font>
      <b/>
      <sz val="12"/>
      <color indexed="81"/>
      <name val="ＭＳ Ｐゴシック"/>
      <family val="3"/>
      <charset val="128"/>
    </font>
  </fonts>
  <fills count="27">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26"/>
        <bgColor indexed="43"/>
      </patternFill>
    </fill>
    <fill>
      <patternFill patternType="solid">
        <fgColor indexed="22"/>
        <bgColor indexed="31"/>
      </patternFill>
    </fill>
    <fill>
      <patternFill patternType="solid">
        <fgColor theme="8" tint="0.59999389629810485"/>
        <bgColor indexed="64"/>
      </patternFill>
    </fill>
    <fill>
      <patternFill patternType="solid">
        <fgColor rgb="FFCCFFCC"/>
        <bgColor indexed="64"/>
      </patternFill>
    </fill>
    <fill>
      <patternFill patternType="solid">
        <fgColor theme="8" tint="0.59999389629810485"/>
        <bgColor indexed="49"/>
      </patternFill>
    </fill>
    <fill>
      <patternFill patternType="solid">
        <fgColor theme="8" tint="0.59999389629810485"/>
        <bgColor indexed="42"/>
      </patternFill>
    </fill>
    <fill>
      <patternFill patternType="solid">
        <fgColor rgb="FFCCFFCC"/>
        <bgColor indexed="42"/>
      </patternFill>
    </fill>
    <fill>
      <patternFill patternType="solid">
        <fgColor rgb="FFCCFFCC"/>
        <bgColor indexed="49"/>
      </patternFill>
    </fill>
    <fill>
      <patternFill patternType="solid">
        <fgColor rgb="FFFFFF99"/>
        <bgColor indexed="64"/>
      </patternFill>
    </fill>
    <fill>
      <patternFill patternType="solid">
        <fgColor rgb="FFFFFF99"/>
        <bgColor indexed="26"/>
      </patternFill>
    </fill>
    <fill>
      <patternFill patternType="solid">
        <fgColor rgb="FFCCFFCC"/>
        <bgColor indexed="27"/>
      </patternFill>
    </fill>
    <fill>
      <patternFill patternType="solid">
        <fgColor theme="5" tint="0.59999389629810485"/>
        <bgColor indexed="27"/>
      </patternFill>
    </fill>
    <fill>
      <patternFill patternType="solid">
        <fgColor theme="5" tint="0.59999389629810485"/>
        <bgColor indexed="26"/>
      </patternFill>
    </fill>
    <fill>
      <patternFill patternType="solid">
        <fgColor theme="5" tint="0.59999389629810485"/>
        <bgColor indexed="49"/>
      </patternFill>
    </fill>
    <fill>
      <patternFill patternType="solid">
        <fgColor theme="5" tint="0.59999389629810485"/>
        <bgColor indexed="64"/>
      </patternFill>
    </fill>
    <fill>
      <patternFill patternType="mediumGray">
        <fgColor indexed="42"/>
      </patternFill>
    </fill>
    <fill>
      <patternFill patternType="mediumGray">
        <fgColor indexed="47"/>
      </patternFill>
    </fill>
    <fill>
      <patternFill patternType="darkGray">
        <fgColor indexed="42"/>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27"/>
      </patternFill>
    </fill>
    <fill>
      <patternFill patternType="solid">
        <fgColor rgb="FFFF0000"/>
        <bgColor indexed="64"/>
      </patternFill>
    </fill>
  </fills>
  <borders count="25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top/>
      <bottom style="hair">
        <color indexed="8"/>
      </bottom>
      <diagonal/>
    </border>
    <border>
      <left style="hair">
        <color indexed="8"/>
      </left>
      <right style="medium">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hair">
        <color indexed="8"/>
      </top>
      <bottom/>
      <diagonal/>
    </border>
    <border>
      <left style="thin">
        <color indexed="22"/>
      </left>
      <right style="thin">
        <color indexed="22"/>
      </right>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8"/>
      </left>
      <right style="medium">
        <color indexed="64"/>
      </right>
      <top style="medium">
        <color indexed="64"/>
      </top>
      <bottom style="hair">
        <color indexed="8"/>
      </bottom>
      <diagonal/>
    </border>
    <border>
      <left style="medium">
        <color indexed="64"/>
      </left>
      <right style="hair">
        <color indexed="8"/>
      </right>
      <top/>
      <bottom/>
      <diagonal/>
    </border>
    <border>
      <left style="medium">
        <color indexed="8"/>
      </left>
      <right style="medium">
        <color indexed="64"/>
      </right>
      <top/>
      <bottom style="hair">
        <color indexed="8"/>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8"/>
      </left>
      <right style="hair">
        <color indexed="8"/>
      </right>
      <top/>
      <bottom style="medium">
        <color indexed="64"/>
      </bottom>
      <diagonal/>
    </border>
    <border>
      <left style="hair">
        <color indexed="8"/>
      </left>
      <right style="medium">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style="hair">
        <color indexed="8"/>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medium">
        <color indexed="8"/>
      </left>
      <right style="hair">
        <color indexed="8"/>
      </right>
      <top style="hair">
        <color indexed="8"/>
      </top>
      <bottom style="double">
        <color indexed="64"/>
      </bottom>
      <diagonal/>
    </border>
    <border>
      <left style="hair">
        <color indexed="8"/>
      </left>
      <right style="medium">
        <color indexed="8"/>
      </right>
      <top style="hair">
        <color indexed="8"/>
      </top>
      <bottom style="double">
        <color indexed="64"/>
      </bottom>
      <diagonal/>
    </border>
    <border>
      <left/>
      <right style="hair">
        <color indexed="8"/>
      </right>
      <top style="hair">
        <color indexed="8"/>
      </top>
      <bottom style="double">
        <color indexed="64"/>
      </bottom>
      <diagonal/>
    </border>
    <border>
      <left style="medium">
        <color indexed="8"/>
      </left>
      <right style="medium">
        <color indexed="64"/>
      </right>
      <top style="hair">
        <color indexed="8"/>
      </top>
      <bottom style="double">
        <color indexed="64"/>
      </bottom>
      <diagonal/>
    </border>
    <border>
      <left style="thin">
        <color indexed="64"/>
      </left>
      <right style="hair">
        <color indexed="8"/>
      </right>
      <top style="medium">
        <color indexed="64"/>
      </top>
      <bottom style="hair">
        <color indexed="8"/>
      </bottom>
      <diagonal/>
    </border>
    <border>
      <left style="thin">
        <color indexed="64"/>
      </left>
      <right style="hair">
        <color indexed="8"/>
      </right>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8"/>
      </left>
      <right style="medium">
        <color indexed="64"/>
      </right>
      <top style="hair">
        <color indexed="8"/>
      </top>
      <bottom style="hair">
        <color indexed="8"/>
      </bottom>
      <diagonal/>
    </border>
    <border>
      <left style="thin">
        <color indexed="64"/>
      </left>
      <right style="hair">
        <color indexed="8"/>
      </right>
      <top/>
      <bottom style="medium">
        <color indexed="64"/>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dotted">
        <color auto="1"/>
      </left>
      <right style="dotted">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dotted">
        <color auto="1"/>
      </left>
      <right style="dotted">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8"/>
      </left>
      <right style="thin">
        <color indexed="64"/>
      </right>
      <top style="hair">
        <color indexed="8"/>
      </top>
      <bottom/>
      <diagonal/>
    </border>
    <border>
      <left style="thin">
        <color indexed="8"/>
      </left>
      <right style="thin">
        <color indexed="64"/>
      </right>
      <top style="hair">
        <color indexed="8"/>
      </top>
      <bottom style="thin">
        <color indexed="8"/>
      </bottom>
      <diagonal/>
    </border>
    <border>
      <left style="thin">
        <color indexed="8"/>
      </left>
      <right style="thin">
        <color indexed="64"/>
      </right>
      <top/>
      <bottom style="hair">
        <color indexed="8"/>
      </bottom>
      <diagonal/>
    </border>
    <border>
      <left style="thin">
        <color indexed="8"/>
      </left>
      <right style="thin">
        <color indexed="64"/>
      </right>
      <top/>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right style="hair">
        <color indexed="8"/>
      </right>
      <top style="thin">
        <color indexed="8"/>
      </top>
      <bottom/>
      <diagonal/>
    </border>
    <border>
      <left style="thin">
        <color indexed="8"/>
      </left>
      <right style="thin">
        <color indexed="8"/>
      </right>
      <top/>
      <bottom/>
      <diagonal/>
    </border>
    <border>
      <left/>
      <right/>
      <top style="thin">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indexed="8"/>
      </right>
      <top style="hair">
        <color indexed="8"/>
      </top>
      <bottom style="thin">
        <color indexed="64"/>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hair">
        <color indexed="8"/>
      </right>
      <top/>
      <bottom style="medium">
        <color indexed="64"/>
      </bottom>
      <diagonal/>
    </border>
    <border>
      <left/>
      <right style="hair">
        <color indexed="8"/>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hair">
        <color indexed="64"/>
      </left>
      <right style="hair">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style="thin">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medium">
        <color indexed="8"/>
      </left>
      <right style="hair">
        <color indexed="8"/>
      </right>
      <top style="medium">
        <color indexed="64"/>
      </top>
      <bottom/>
      <diagonal/>
    </border>
    <border>
      <left style="hair">
        <color indexed="8"/>
      </left>
      <right style="medium">
        <color indexed="8"/>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style="medium">
        <color indexed="8"/>
      </bottom>
      <diagonal/>
    </border>
    <border>
      <left style="medium">
        <color indexed="8"/>
      </left>
      <right style="hair">
        <color indexed="8"/>
      </right>
      <top/>
      <bottom style="medium">
        <color indexed="64"/>
      </bottom>
      <diagonal/>
    </border>
    <border>
      <left/>
      <right style="hair">
        <color indexed="8"/>
      </right>
      <top/>
      <bottom style="medium">
        <color indexed="64"/>
      </bottom>
      <diagonal/>
    </border>
    <border>
      <left style="medium">
        <color indexed="8"/>
      </left>
      <right style="medium">
        <color indexed="64"/>
      </right>
      <top/>
      <bottom style="medium">
        <color indexed="64"/>
      </bottom>
      <diagonal/>
    </border>
    <border>
      <left/>
      <right style="medium">
        <color auto="1"/>
      </right>
      <top style="thin">
        <color auto="1"/>
      </top>
      <bottom/>
      <diagonal/>
    </border>
    <border>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indexed="64"/>
      </left>
      <right/>
      <top style="thin">
        <color indexed="64"/>
      </top>
      <bottom/>
      <diagonal/>
    </border>
    <border>
      <left style="dotted">
        <color auto="1"/>
      </left>
      <right style="dotted">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dotted">
        <color auto="1"/>
      </right>
      <top style="medium">
        <color indexed="64"/>
      </top>
      <bottom style="medium">
        <color indexed="64"/>
      </bottom>
      <diagonal/>
    </border>
    <border>
      <left style="dotted">
        <color auto="1"/>
      </left>
      <right style="thin">
        <color auto="1"/>
      </right>
      <top style="medium">
        <color indexed="64"/>
      </top>
      <bottom style="medium">
        <color indexed="64"/>
      </bottom>
      <diagonal/>
    </border>
    <border>
      <left style="dotted">
        <color auto="1"/>
      </left>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8"/>
      </left>
      <right style="medium">
        <color indexed="8"/>
      </right>
      <top style="medium">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8"/>
      </left>
      <right style="hair">
        <color indexed="8"/>
      </right>
      <top style="hair">
        <color indexed="8"/>
      </top>
      <bottom/>
      <diagonal/>
    </border>
    <border>
      <left style="medium">
        <color auto="1"/>
      </left>
      <right style="medium">
        <color indexed="64"/>
      </right>
      <top style="medium">
        <color auto="1"/>
      </top>
      <bottom/>
      <diagonal/>
    </border>
    <border>
      <left style="medium">
        <color auto="1"/>
      </left>
      <right style="medium">
        <color indexed="64"/>
      </right>
      <top/>
      <bottom style="double">
        <color auto="1"/>
      </bottom>
      <diagonal/>
    </border>
    <border>
      <left style="medium">
        <color auto="1"/>
      </left>
      <right style="medium">
        <color indexed="64"/>
      </right>
      <top style="medium">
        <color auto="1"/>
      </top>
      <bottom style="thin">
        <color auto="1"/>
      </bottom>
      <diagonal/>
    </border>
    <border>
      <left style="medium">
        <color indexed="64"/>
      </left>
      <right style="thin">
        <color indexed="64"/>
      </right>
      <top/>
      <bottom style="double">
        <color indexed="64"/>
      </bottom>
      <diagonal/>
    </border>
    <border>
      <left style="thin">
        <color auto="1"/>
      </left>
      <right style="thin">
        <color auto="1"/>
      </right>
      <top/>
      <bottom style="double">
        <color indexed="64"/>
      </bottom>
      <diagonal/>
    </border>
    <border>
      <left style="thin">
        <color auto="1"/>
      </left>
      <right style="medium">
        <color auto="1"/>
      </right>
      <top/>
      <bottom style="double">
        <color auto="1"/>
      </bottom>
      <diagonal/>
    </border>
    <border>
      <left/>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right/>
      <top style="medium">
        <color auto="1"/>
      </top>
      <bottom style="thin">
        <color auto="1"/>
      </bottom>
      <diagonal/>
    </border>
    <border>
      <left style="thin">
        <color indexed="22"/>
      </left>
      <right style="thin">
        <color indexed="22"/>
      </right>
      <top/>
      <bottom/>
      <diagonal/>
    </border>
  </borders>
  <cellStyleXfs count="30">
    <xf numFmtId="0" fontId="0" fillId="0" borderId="0"/>
    <xf numFmtId="9" fontId="16" fillId="0" borderId="0" applyFill="0" applyBorder="0" applyAlignment="0" applyProtection="0"/>
    <xf numFmtId="38" fontId="16" fillId="0" borderId="0" applyFill="0" applyBorder="0" applyAlignment="0" applyProtection="0"/>
    <xf numFmtId="0" fontId="2" fillId="0" borderId="0"/>
    <xf numFmtId="0" fontId="3" fillId="0" borderId="0"/>
    <xf numFmtId="0" fontId="3" fillId="0" borderId="0"/>
    <xf numFmtId="0" fontId="4" fillId="0" borderId="0"/>
    <xf numFmtId="0" fontId="4" fillId="0" borderId="0"/>
    <xf numFmtId="0" fontId="16" fillId="0" borderId="0">
      <alignment vertical="center"/>
    </xf>
    <xf numFmtId="0" fontId="31"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6" fillId="0" borderId="0"/>
    <xf numFmtId="0" fontId="23" fillId="0" borderId="0"/>
    <xf numFmtId="0" fontId="16" fillId="0" borderId="0"/>
    <xf numFmtId="0" fontId="3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0" borderId="0">
      <alignment vertical="center"/>
    </xf>
  </cellStyleXfs>
  <cellXfs count="932">
    <xf numFmtId="0" fontId="0" fillId="0" borderId="0" xfId="0"/>
    <xf numFmtId="38" fontId="9" fillId="0" borderId="0" xfId="2" applyFont="1" applyFill="1" applyBorder="1" applyAlignment="1" applyProtection="1"/>
    <xf numFmtId="0" fontId="0" fillId="3" borderId="2" xfId="0" applyFont="1" applyFill="1" applyBorder="1" applyProtection="1">
      <protection locked="0"/>
    </xf>
    <xf numFmtId="0" fontId="0" fillId="2" borderId="15" xfId="0" applyFont="1" applyFill="1" applyBorder="1" applyProtection="1">
      <protection locked="0"/>
    </xf>
    <xf numFmtId="179" fontId="0" fillId="2" borderId="15" xfId="2" applyNumberFormat="1" applyFont="1" applyFill="1" applyBorder="1" applyAlignment="1" applyProtection="1">
      <protection locked="0"/>
    </xf>
    <xf numFmtId="40" fontId="0" fillId="2" borderId="15" xfId="2" applyNumberFormat="1" applyFont="1" applyFill="1" applyBorder="1" applyAlignment="1" applyProtection="1">
      <protection locked="0"/>
    </xf>
    <xf numFmtId="0" fontId="0" fillId="3" borderId="15" xfId="0" applyFont="1" applyFill="1" applyBorder="1" applyProtection="1">
      <protection locked="0"/>
    </xf>
    <xf numFmtId="179" fontId="0" fillId="2" borderId="2" xfId="2" applyNumberFormat="1" applyFont="1" applyFill="1" applyBorder="1" applyAlignment="1" applyProtection="1">
      <protection locked="0"/>
    </xf>
    <xf numFmtId="40" fontId="0" fillId="2" borderId="2" xfId="2" applyNumberFormat="1" applyFont="1" applyFill="1" applyBorder="1" applyAlignment="1" applyProtection="1">
      <protection locked="0"/>
    </xf>
    <xf numFmtId="40" fontId="0" fillId="0" borderId="39" xfId="2" applyNumberFormat="1" applyFont="1" applyFill="1" applyBorder="1" applyAlignment="1" applyProtection="1"/>
    <xf numFmtId="0" fontId="0" fillId="0" borderId="0" xfId="0" applyProtection="1"/>
    <xf numFmtId="0" fontId="4" fillId="0" borderId="0" xfId="0" applyFont="1" applyProtection="1"/>
    <xf numFmtId="0" fontId="0" fillId="0" borderId="0" xfId="0" applyAlignment="1">
      <alignment horizontal="center"/>
    </xf>
    <xf numFmtId="0" fontId="0" fillId="0" borderId="0" xfId="0" applyNumberFormat="1" applyAlignment="1">
      <alignment horizontal="center"/>
    </xf>
    <xf numFmtId="0" fontId="0" fillId="5" borderId="0" xfId="0" applyFont="1" applyFill="1" applyAlignment="1">
      <alignment horizontal="center"/>
    </xf>
    <xf numFmtId="0" fontId="7" fillId="5" borderId="2" xfId="5" applyFont="1" applyFill="1" applyBorder="1" applyAlignment="1">
      <alignment horizontal="center"/>
    </xf>
    <xf numFmtId="0" fontId="7" fillId="0" borderId="1" xfId="5" applyFont="1" applyFill="1" applyBorder="1" applyAlignment="1">
      <alignment wrapText="1"/>
    </xf>
    <xf numFmtId="0" fontId="7" fillId="0" borderId="69" xfId="5" applyFont="1" applyFill="1" applyBorder="1" applyAlignment="1">
      <alignment wrapText="1"/>
    </xf>
    <xf numFmtId="0" fontId="7" fillId="0" borderId="1" xfId="4" applyFont="1" applyFill="1" applyBorder="1" applyAlignment="1"/>
    <xf numFmtId="0" fontId="0" fillId="0" borderId="0" xfId="0" applyBorder="1" applyAlignment="1">
      <alignment vertical="center"/>
    </xf>
    <xf numFmtId="0" fontId="0" fillId="2" borderId="40" xfId="0" applyFill="1" applyBorder="1" applyAlignment="1" applyProtection="1">
      <alignment shrinkToFit="1"/>
      <protection locked="0"/>
    </xf>
    <xf numFmtId="0" fontId="0" fillId="2" borderId="71" xfId="0" applyFill="1" applyBorder="1" applyAlignment="1" applyProtection="1">
      <alignment shrinkToFit="1"/>
      <protection locked="0"/>
    </xf>
    <xf numFmtId="0" fontId="9" fillId="0" borderId="0" xfId="0" applyFont="1" applyProtection="1"/>
    <xf numFmtId="0" fontId="9" fillId="0" borderId="0" xfId="0" applyFont="1" applyAlignment="1" applyProtection="1">
      <alignment horizontal="center"/>
    </xf>
    <xf numFmtId="0" fontId="0" fillId="7" borderId="0" xfId="0" applyFill="1" applyProtection="1"/>
    <xf numFmtId="0" fontId="0" fillId="2" borderId="2" xfId="0" applyFill="1" applyBorder="1" applyProtection="1">
      <protection locked="0"/>
    </xf>
    <xf numFmtId="0" fontId="0" fillId="3" borderId="8" xfId="0" applyFill="1" applyBorder="1" applyProtection="1">
      <protection locked="0"/>
    </xf>
    <xf numFmtId="179" fontId="0" fillId="2" borderId="8" xfId="2" applyNumberFormat="1" applyFont="1" applyFill="1" applyBorder="1" applyAlignment="1" applyProtection="1">
      <protection locked="0"/>
    </xf>
    <xf numFmtId="40" fontId="0" fillId="2" borderId="8" xfId="2" applyNumberFormat="1" applyFont="1" applyFill="1" applyBorder="1" applyAlignment="1" applyProtection="1">
      <protection locked="0"/>
    </xf>
    <xf numFmtId="40" fontId="0" fillId="0" borderId="83" xfId="2" applyNumberFormat="1" applyFont="1" applyFill="1" applyBorder="1" applyAlignment="1" applyProtection="1"/>
    <xf numFmtId="0" fontId="0" fillId="3" borderId="74" xfId="0" applyFill="1" applyBorder="1" applyProtection="1">
      <protection locked="0"/>
    </xf>
    <xf numFmtId="0" fontId="0" fillId="2" borderId="74" xfId="0" applyFill="1" applyBorder="1" applyProtection="1">
      <protection locked="0"/>
    </xf>
    <xf numFmtId="179" fontId="0" fillId="2" borderId="74" xfId="2" applyNumberFormat="1" applyFont="1" applyFill="1" applyBorder="1" applyAlignment="1" applyProtection="1">
      <protection locked="0"/>
    </xf>
    <xf numFmtId="40" fontId="0" fillId="2" borderId="74" xfId="2" applyNumberFormat="1" applyFont="1" applyFill="1" applyBorder="1" applyAlignment="1" applyProtection="1">
      <protection locked="0"/>
    </xf>
    <xf numFmtId="40" fontId="0" fillId="0" borderId="70" xfId="2" applyNumberFormat="1" applyFont="1" applyFill="1" applyBorder="1" applyAlignment="1" applyProtection="1"/>
    <xf numFmtId="0" fontId="0" fillId="3" borderId="2" xfId="0" applyFill="1" applyBorder="1" applyProtection="1">
      <protection locked="0"/>
    </xf>
    <xf numFmtId="0" fontId="8" fillId="0" borderId="0" xfId="0" applyFont="1" applyProtection="1"/>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11" fillId="0" borderId="55" xfId="0" applyFont="1" applyBorder="1" applyAlignment="1" applyProtection="1">
      <alignment horizontal="center"/>
    </xf>
    <xf numFmtId="0" fontId="11" fillId="0" borderId="43" xfId="0" applyFont="1" applyBorder="1" applyAlignment="1" applyProtection="1">
      <alignment horizontal="center"/>
    </xf>
    <xf numFmtId="0" fontId="11" fillId="0" borderId="43" xfId="0" applyFont="1" applyBorder="1" applyAlignment="1" applyProtection="1">
      <alignment horizontal="left"/>
    </xf>
    <xf numFmtId="0" fontId="4" fillId="0" borderId="19" xfId="0" applyFont="1" applyBorder="1" applyProtection="1"/>
    <xf numFmtId="0" fontId="4" fillId="0" borderId="55" xfId="0" applyFont="1" applyBorder="1" applyProtection="1"/>
    <xf numFmtId="0" fontId="4" fillId="0" borderId="43" xfId="0" applyFont="1" applyBorder="1" applyProtection="1"/>
    <xf numFmtId="0" fontId="4" fillId="0" borderId="0" xfId="0" applyFont="1" applyAlignment="1" applyProtection="1">
      <alignment vertical="center"/>
    </xf>
    <xf numFmtId="0" fontId="23" fillId="0" borderId="0" xfId="0" applyFont="1" applyProtection="1"/>
    <xf numFmtId="0" fontId="16" fillId="0" borderId="0" xfId="6" applyFont="1" applyBorder="1" applyAlignment="1" applyProtection="1">
      <alignment horizontal="left" vertical="center"/>
    </xf>
    <xf numFmtId="0" fontId="10" fillId="9" borderId="3" xfId="6" applyFont="1" applyFill="1" applyBorder="1" applyAlignment="1" applyProtection="1">
      <alignment horizontal="center" vertical="center"/>
    </xf>
    <xf numFmtId="180" fontId="10" fillId="9" borderId="3" xfId="6" applyNumberFormat="1" applyFont="1" applyFill="1" applyBorder="1" applyAlignment="1" applyProtection="1">
      <alignment horizontal="center" vertical="center"/>
    </xf>
    <xf numFmtId="185" fontId="16" fillId="0" borderId="17" xfId="2" applyNumberFormat="1" applyFont="1" applyFill="1" applyBorder="1" applyAlignment="1" applyProtection="1">
      <alignment vertical="center"/>
    </xf>
    <xf numFmtId="185" fontId="16" fillId="0" borderId="9" xfId="2" applyNumberFormat="1" applyFont="1" applyFill="1" applyBorder="1" applyAlignment="1" applyProtection="1">
      <alignment vertical="center"/>
    </xf>
    <xf numFmtId="185" fontId="16" fillId="0" borderId="20" xfId="2" applyNumberFormat="1" applyFont="1" applyFill="1" applyBorder="1" applyAlignment="1" applyProtection="1">
      <alignment vertical="center"/>
    </xf>
    <xf numFmtId="3" fontId="23" fillId="0" borderId="0" xfId="6" applyNumberFormat="1" applyFont="1" applyBorder="1" applyAlignment="1" applyProtection="1">
      <alignment horizontal="left" vertical="center" shrinkToFit="1"/>
    </xf>
    <xf numFmtId="3" fontId="23" fillId="0" borderId="18" xfId="6" applyNumberFormat="1" applyFont="1" applyBorder="1" applyAlignment="1" applyProtection="1">
      <alignment horizontal="left" vertical="center" shrinkToFit="1"/>
    </xf>
    <xf numFmtId="38" fontId="23" fillId="0" borderId="61" xfId="6" applyNumberFormat="1" applyFont="1" applyBorder="1" applyAlignment="1" applyProtection="1">
      <alignment vertical="center" shrinkToFit="1"/>
    </xf>
    <xf numFmtId="38" fontId="23" fillId="0" borderId="62" xfId="6" applyNumberFormat="1" applyFont="1" applyBorder="1" applyAlignment="1" applyProtection="1">
      <alignment vertical="center" shrinkToFit="1"/>
    </xf>
    <xf numFmtId="38" fontId="23" fillId="0" borderId="0" xfId="6" applyNumberFormat="1" applyFont="1" applyBorder="1" applyAlignment="1" applyProtection="1">
      <alignment vertical="center" shrinkToFit="1"/>
    </xf>
    <xf numFmtId="38" fontId="23" fillId="0" borderId="63" xfId="0" applyNumberFormat="1" applyFont="1" applyBorder="1" applyAlignment="1" applyProtection="1">
      <alignment vertical="center" shrinkToFit="1"/>
    </xf>
    <xf numFmtId="38" fontId="23" fillId="0" borderId="11" xfId="0" applyNumberFormat="1" applyFont="1" applyBorder="1" applyAlignment="1" applyProtection="1">
      <alignment vertical="center" shrinkToFit="1"/>
    </xf>
    <xf numFmtId="0" fontId="16" fillId="0" borderId="11" xfId="0" applyFont="1" applyBorder="1" applyAlignment="1" applyProtection="1">
      <alignment vertical="center" shrinkToFit="1"/>
    </xf>
    <xf numFmtId="0" fontId="16" fillId="0" borderId="63" xfId="0" applyFont="1" applyBorder="1" applyAlignment="1" applyProtection="1">
      <alignment vertical="center" shrinkToFit="1"/>
    </xf>
    <xf numFmtId="0" fontId="23" fillId="0" borderId="63" xfId="6" applyFont="1" applyBorder="1" applyAlignment="1" applyProtection="1">
      <alignment vertical="center" shrinkToFit="1"/>
    </xf>
    <xf numFmtId="186" fontId="23" fillId="0" borderId="18" xfId="6" applyNumberFormat="1" applyFont="1" applyBorder="1" applyAlignment="1" applyProtection="1">
      <alignment horizontal="left" vertical="center" shrinkToFit="1"/>
    </xf>
    <xf numFmtId="185" fontId="16" fillId="0" borderId="60" xfId="2" applyNumberFormat="1" applyFont="1" applyFill="1" applyBorder="1" applyAlignment="1" applyProtection="1">
      <alignment vertical="center"/>
    </xf>
    <xf numFmtId="185" fontId="16" fillId="0" borderId="13" xfId="2" applyNumberFormat="1" applyFont="1" applyFill="1" applyBorder="1" applyAlignment="1" applyProtection="1">
      <alignment vertical="center"/>
    </xf>
    <xf numFmtId="0" fontId="23" fillId="0" borderId="64" xfId="6" applyFont="1" applyBorder="1" applyAlignment="1" applyProtection="1">
      <alignment vertical="center" shrinkToFit="1"/>
    </xf>
    <xf numFmtId="0" fontId="23" fillId="0" borderId="14" xfId="6" applyFont="1" applyBorder="1" applyAlignment="1" applyProtection="1">
      <alignment vertical="center" shrinkToFit="1"/>
    </xf>
    <xf numFmtId="185" fontId="16" fillId="0" borderId="25" xfId="2" applyNumberFormat="1" applyFont="1" applyFill="1" applyBorder="1" applyAlignment="1" applyProtection="1">
      <alignment vertical="center"/>
    </xf>
    <xf numFmtId="38" fontId="23" fillId="0" borderId="63" xfId="6" applyNumberFormat="1" applyFont="1" applyBorder="1" applyAlignment="1" applyProtection="1">
      <alignment vertical="center" shrinkToFit="1"/>
    </xf>
    <xf numFmtId="38" fontId="23" fillId="0" borderId="11" xfId="6" applyNumberFormat="1" applyFont="1" applyBorder="1" applyAlignment="1" applyProtection="1">
      <alignment vertical="center" shrinkToFit="1"/>
    </xf>
    <xf numFmtId="0" fontId="23" fillId="0" borderId="18" xfId="6" applyFont="1" applyBorder="1" applyAlignment="1" applyProtection="1">
      <alignment vertical="center" shrinkToFit="1"/>
    </xf>
    <xf numFmtId="0" fontId="23" fillId="0" borderId="17" xfId="6" applyFont="1" applyBorder="1" applyAlignment="1" applyProtection="1">
      <alignment vertical="center" shrinkToFit="1"/>
    </xf>
    <xf numFmtId="0" fontId="23" fillId="0" borderId="0" xfId="6" applyFont="1" applyBorder="1" applyAlignment="1" applyProtection="1">
      <alignment vertical="center" shrinkToFit="1"/>
    </xf>
    <xf numFmtId="0" fontId="16" fillId="0" borderId="31" xfId="6" applyFont="1" applyBorder="1" applyAlignment="1" applyProtection="1">
      <alignment horizontal="center" vertical="center"/>
    </xf>
    <xf numFmtId="0" fontId="16" fillId="0" borderId="65" xfId="6" applyFont="1" applyBorder="1" applyAlignment="1" applyProtection="1">
      <alignment horizontal="left" vertical="center"/>
    </xf>
    <xf numFmtId="191" fontId="16" fillId="0" borderId="17" xfId="2" applyNumberFormat="1" applyFont="1" applyFill="1" applyBorder="1" applyAlignment="1" applyProtection="1">
      <alignment vertical="center"/>
    </xf>
    <xf numFmtId="188" fontId="23" fillId="0" borderId="31" xfId="6" applyNumberFormat="1" applyFont="1" applyBorder="1" applyAlignment="1" applyProtection="1">
      <alignment horizontal="left" vertical="center"/>
    </xf>
    <xf numFmtId="0" fontId="23" fillId="0" borderId="65" xfId="6" applyFont="1" applyBorder="1" applyAlignment="1" applyProtection="1">
      <alignment vertical="center"/>
    </xf>
    <xf numFmtId="0" fontId="23" fillId="0" borderId="16" xfId="6" applyFont="1" applyBorder="1" applyAlignment="1" applyProtection="1">
      <alignment vertical="center"/>
    </xf>
    <xf numFmtId="190" fontId="23" fillId="0" borderId="75" xfId="2" applyNumberFormat="1" applyFont="1" applyFill="1" applyBorder="1" applyAlignment="1" applyProtection="1">
      <alignment vertical="center"/>
    </xf>
    <xf numFmtId="190" fontId="16" fillId="0" borderId="76" xfId="2" applyNumberFormat="1" applyFont="1" applyFill="1" applyBorder="1" applyAlignment="1" applyProtection="1">
      <alignment vertical="center"/>
    </xf>
    <xf numFmtId="0" fontId="23" fillId="0" borderId="72" xfId="6" applyFont="1" applyBorder="1" applyAlignment="1" applyProtection="1">
      <alignment vertical="center"/>
    </xf>
    <xf numFmtId="0" fontId="23" fillId="0" borderId="73" xfId="6" applyFont="1" applyBorder="1" applyAlignment="1" applyProtection="1">
      <alignment vertical="center"/>
    </xf>
    <xf numFmtId="0" fontId="0" fillId="8"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13" borderId="2" xfId="0" applyFont="1" applyFill="1" applyBorder="1" applyAlignment="1" applyProtection="1">
      <alignment vertical="center"/>
      <protection locked="0"/>
    </xf>
    <xf numFmtId="0" fontId="0" fillId="0" borderId="0" xfId="0" applyFont="1" applyFill="1" applyAlignment="1">
      <alignment vertical="center"/>
    </xf>
    <xf numFmtId="0" fontId="0" fillId="0" borderId="0" xfId="0" applyFont="1" applyAlignment="1">
      <alignment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23" fillId="0" borderId="0" xfId="7" applyFont="1" applyAlignment="1" applyProtection="1">
      <alignment vertical="center"/>
    </xf>
    <xf numFmtId="0" fontId="12" fillId="0" borderId="0" xfId="7" applyFont="1" applyAlignment="1" applyProtection="1">
      <alignment horizontal="right"/>
    </xf>
    <xf numFmtId="177" fontId="12" fillId="0" borderId="0" xfId="7" applyNumberFormat="1" applyFont="1" applyAlignment="1" applyProtection="1">
      <alignment horizontal="left"/>
    </xf>
    <xf numFmtId="177" fontId="23" fillId="0" borderId="0" xfId="7" applyNumberFormat="1" applyFont="1" applyAlignment="1" applyProtection="1">
      <alignment horizontal="left"/>
    </xf>
    <xf numFmtId="0" fontId="23" fillId="0" borderId="0" xfId="7" applyFont="1" applyProtection="1"/>
    <xf numFmtId="0" fontId="9" fillId="0" borderId="0" xfId="7" applyFont="1" applyProtection="1"/>
    <xf numFmtId="0" fontId="24" fillId="0" borderId="0" xfId="7" applyFont="1" applyProtection="1"/>
    <xf numFmtId="0" fontId="16" fillId="0" borderId="0" xfId="0" applyFont="1" applyProtection="1"/>
    <xf numFmtId="0" fontId="23" fillId="9" borderId="16" xfId="7" applyFont="1" applyFill="1" applyBorder="1" applyAlignment="1" applyProtection="1">
      <alignment horizontal="center" wrapText="1"/>
    </xf>
    <xf numFmtId="0" fontId="23" fillId="9" borderId="17" xfId="7" applyFont="1" applyFill="1" applyBorder="1" applyAlignment="1" applyProtection="1">
      <alignment horizontal="center" wrapText="1"/>
    </xf>
    <xf numFmtId="0" fontId="23" fillId="9" borderId="0" xfId="7" applyFont="1" applyFill="1" applyBorder="1" applyAlignment="1" applyProtection="1">
      <alignment horizontal="center" wrapText="1"/>
    </xf>
    <xf numFmtId="0" fontId="23" fillId="9" borderId="18" xfId="7" applyFont="1" applyFill="1" applyBorder="1" applyAlignment="1" applyProtection="1">
      <alignment horizontal="center" wrapText="1"/>
    </xf>
    <xf numFmtId="0" fontId="23" fillId="9" borderId="19" xfId="7" applyFont="1" applyFill="1" applyBorder="1" applyAlignment="1" applyProtection="1">
      <alignment horizontal="center" wrapText="1"/>
    </xf>
    <xf numFmtId="0" fontId="23" fillId="9" borderId="20" xfId="7" applyFont="1" applyFill="1" applyBorder="1" applyAlignment="1" applyProtection="1">
      <alignment horizontal="center" vertical="top" wrapText="1"/>
    </xf>
    <xf numFmtId="0" fontId="23" fillId="9" borderId="21"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wrapText="1"/>
    </xf>
    <xf numFmtId="0" fontId="23" fillId="9" borderId="15" xfId="7" applyFont="1" applyFill="1" applyBorder="1" applyAlignment="1" applyProtection="1">
      <alignment horizontal="center" vertical="top" wrapText="1"/>
    </xf>
    <xf numFmtId="0" fontId="23" fillId="9" borderId="22" xfId="7" applyFont="1" applyFill="1" applyBorder="1" applyAlignment="1" applyProtection="1">
      <alignment horizontal="center" vertical="top" shrinkToFit="1"/>
    </xf>
    <xf numFmtId="0" fontId="23" fillId="0" borderId="8" xfId="7" applyFont="1" applyBorder="1" applyAlignment="1" applyProtection="1">
      <alignment horizontal="center" vertical="center" textRotation="255" wrapText="1"/>
    </xf>
    <xf numFmtId="0" fontId="23" fillId="2" borderId="23" xfId="7" applyFont="1" applyFill="1" applyBorder="1" applyAlignment="1" applyProtection="1">
      <alignment vertical="center"/>
      <protection locked="0"/>
    </xf>
    <xf numFmtId="0" fontId="23" fillId="2" borderId="23" xfId="7" applyFont="1" applyFill="1" applyBorder="1" applyAlignment="1" applyProtection="1">
      <alignment horizontal="center" vertical="center"/>
      <protection locked="0"/>
    </xf>
    <xf numFmtId="9" fontId="23" fillId="2" borderId="23" xfId="1" applyFont="1" applyFill="1" applyBorder="1" applyAlignment="1" applyProtection="1">
      <alignment vertical="center"/>
      <protection locked="0"/>
    </xf>
    <xf numFmtId="38" fontId="23" fillId="2" borderId="8" xfId="2" applyFont="1" applyFill="1" applyBorder="1" applyAlignment="1" applyProtection="1">
      <alignment horizontal="right" vertical="center" shrinkToFit="1"/>
      <protection locked="0"/>
    </xf>
    <xf numFmtId="0" fontId="23" fillId="0" borderId="19" xfId="7" applyFont="1" applyBorder="1" applyAlignment="1" applyProtection="1">
      <alignment horizontal="center" vertical="center" textRotation="255" wrapText="1"/>
    </xf>
    <xf numFmtId="38" fontId="23" fillId="2" borderId="10" xfId="2" applyFont="1" applyFill="1" applyBorder="1" applyAlignment="1" applyProtection="1">
      <alignment horizontal="right" vertical="center" shrinkToFit="1"/>
      <protection locked="0"/>
    </xf>
    <xf numFmtId="38" fontId="23" fillId="2" borderId="24" xfId="2" applyFont="1" applyFill="1" applyBorder="1" applyAlignment="1" applyProtection="1">
      <alignment horizontal="right" vertical="center" shrinkToFit="1"/>
      <protection locked="0"/>
    </xf>
    <xf numFmtId="0" fontId="23" fillId="0" borderId="15" xfId="7" applyFont="1" applyBorder="1" applyAlignment="1" applyProtection="1">
      <alignment horizontal="center" vertical="center" textRotation="255" wrapText="1"/>
    </xf>
    <xf numFmtId="3" fontId="23" fillId="0" borderId="22" xfId="7" applyNumberFormat="1" applyFont="1" applyBorder="1" applyAlignment="1" applyProtection="1">
      <alignment vertical="center"/>
    </xf>
    <xf numFmtId="0" fontId="23" fillId="0" borderId="19"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9" fontId="23" fillId="2" borderId="23" xfId="1" applyNumberFormat="1" applyFont="1" applyFill="1" applyBorder="1" applyAlignment="1" applyProtection="1">
      <alignment vertical="center"/>
      <protection locked="0"/>
    </xf>
    <xf numFmtId="9" fontId="23" fillId="2" borderId="24" xfId="1" applyFont="1" applyFill="1" applyBorder="1" applyAlignment="1" applyProtection="1">
      <alignment vertical="center"/>
      <protection locked="0"/>
    </xf>
    <xf numFmtId="0" fontId="23" fillId="0" borderId="3" xfId="7" applyFont="1" applyBorder="1" applyProtection="1"/>
    <xf numFmtId="3" fontId="23" fillId="0" borderId="2" xfId="7" applyNumberFormat="1" applyFont="1" applyBorder="1" applyAlignment="1" applyProtection="1">
      <alignment vertical="center"/>
    </xf>
    <xf numFmtId="3" fontId="23" fillId="0" borderId="0" xfId="7" applyNumberFormat="1" applyFont="1" applyAlignment="1" applyProtection="1">
      <alignment vertical="center"/>
    </xf>
    <xf numFmtId="38" fontId="23" fillId="0" borderId="0" xfId="2" applyFont="1" applyFill="1" applyBorder="1" applyAlignment="1" applyProtection="1">
      <alignment vertical="center"/>
    </xf>
    <xf numFmtId="0" fontId="23" fillId="9" borderId="28" xfId="7" applyFont="1" applyFill="1" applyBorder="1" applyAlignment="1" applyProtection="1">
      <alignment vertical="center"/>
    </xf>
    <xf numFmtId="0" fontId="23" fillId="9" borderId="29" xfId="7" applyFont="1" applyFill="1" applyBorder="1" applyAlignment="1" applyProtection="1">
      <alignment horizontal="center" vertical="center"/>
    </xf>
    <xf numFmtId="0" fontId="23" fillId="0" borderId="0" xfId="7" applyFont="1" applyBorder="1" applyAlignment="1" applyProtection="1">
      <alignment vertical="center"/>
    </xf>
    <xf numFmtId="0" fontId="23" fillId="0" borderId="0" xfId="7" applyFont="1" applyBorder="1" applyProtection="1"/>
    <xf numFmtId="0" fontId="23" fillId="9" borderId="3" xfId="7" applyFont="1" applyFill="1" applyBorder="1" applyAlignment="1" applyProtection="1">
      <alignment vertical="center"/>
    </xf>
    <xf numFmtId="0" fontId="23" fillId="9" borderId="30" xfId="7" applyFont="1" applyFill="1" applyBorder="1" applyAlignment="1" applyProtection="1">
      <alignment vertical="center"/>
    </xf>
    <xf numFmtId="0" fontId="23" fillId="9" borderId="2" xfId="7" applyFont="1" applyFill="1" applyBorder="1" applyAlignment="1" applyProtection="1">
      <alignment horizontal="center" vertical="center"/>
    </xf>
    <xf numFmtId="0" fontId="23" fillId="9" borderId="31" xfId="7" applyFont="1" applyFill="1" applyBorder="1" applyAlignment="1" applyProtection="1">
      <alignment vertical="center"/>
    </xf>
    <xf numFmtId="0" fontId="23" fillId="9" borderId="16" xfId="7" applyFont="1" applyFill="1" applyBorder="1" applyAlignment="1" applyProtection="1">
      <alignment vertical="center"/>
    </xf>
    <xf numFmtId="0" fontId="23" fillId="0" borderId="5" xfId="0" applyFont="1" applyBorder="1" applyAlignment="1" applyProtection="1">
      <alignment horizontal="center"/>
    </xf>
    <xf numFmtId="0" fontId="23" fillId="0" borderId="32" xfId="0" applyFont="1" applyBorder="1" applyProtection="1"/>
    <xf numFmtId="9" fontId="23" fillId="0" borderId="33" xfId="1" applyFont="1" applyFill="1" applyBorder="1" applyAlignment="1" applyProtection="1">
      <alignment horizontal="center"/>
    </xf>
    <xf numFmtId="0" fontId="23" fillId="0" borderId="0" xfId="0" applyFont="1" applyBorder="1" applyAlignment="1" applyProtection="1">
      <alignment vertical="center"/>
    </xf>
    <xf numFmtId="0" fontId="23" fillId="0" borderId="17" xfId="7" applyFont="1" applyBorder="1" applyProtection="1"/>
    <xf numFmtId="0" fontId="23" fillId="0" borderId="0" xfId="0" applyFont="1" applyBorder="1" applyAlignment="1" applyProtection="1">
      <alignment vertical="center" shrinkToFit="1"/>
    </xf>
    <xf numFmtId="38" fontId="23" fillId="0" borderId="19" xfId="2" applyFont="1" applyFill="1" applyBorder="1" applyAlignment="1" applyProtection="1">
      <alignment vertical="center"/>
    </xf>
    <xf numFmtId="0" fontId="23" fillId="0" borderId="31" xfId="0" applyFont="1" applyBorder="1" applyAlignment="1" applyProtection="1">
      <alignment horizontal="center"/>
    </xf>
    <xf numFmtId="178" fontId="23" fillId="0" borderId="16" xfId="0" applyNumberFormat="1" applyFont="1" applyBorder="1" applyProtection="1"/>
    <xf numFmtId="0" fontId="23" fillId="0" borderId="13" xfId="0" applyFont="1" applyBorder="1" applyAlignment="1" applyProtection="1">
      <alignment horizontal="center"/>
    </xf>
    <xf numFmtId="0" fontId="23" fillId="0" borderId="34" xfId="0" applyFont="1" applyBorder="1" applyProtection="1"/>
    <xf numFmtId="9" fontId="23" fillId="0" borderId="35" xfId="1" applyFont="1" applyFill="1" applyBorder="1" applyAlignment="1" applyProtection="1">
      <alignment horizontal="center"/>
    </xf>
    <xf numFmtId="9" fontId="23" fillId="0" borderId="19" xfId="1" applyFont="1" applyFill="1" applyBorder="1" applyAlignment="1" applyProtection="1">
      <alignment horizontal="right" vertical="center"/>
    </xf>
    <xf numFmtId="0" fontId="23" fillId="0" borderId="17" xfId="0" applyFont="1" applyBorder="1" applyAlignment="1" applyProtection="1">
      <alignment horizontal="center"/>
    </xf>
    <xf numFmtId="178" fontId="23" fillId="0" borderId="18" xfId="0" applyNumberFormat="1" applyFont="1" applyBorder="1" applyProtection="1"/>
    <xf numFmtId="0" fontId="23" fillId="0" borderId="20" xfId="0" applyFont="1" applyBorder="1" applyAlignment="1" applyProtection="1">
      <alignment horizontal="center"/>
    </xf>
    <xf numFmtId="178" fontId="23" fillId="0" borderId="22" xfId="0" applyNumberFormat="1" applyFont="1" applyBorder="1" applyProtection="1"/>
    <xf numFmtId="9" fontId="23" fillId="0" borderId="19" xfId="0" applyNumberFormat="1" applyFont="1" applyFill="1" applyBorder="1" applyAlignment="1" applyProtection="1">
      <alignment vertical="center"/>
    </xf>
    <xf numFmtId="0" fontId="23" fillId="0" borderId="20" xfId="7" applyFont="1" applyBorder="1" applyProtection="1"/>
    <xf numFmtId="0" fontId="23" fillId="0" borderId="21" xfId="0" applyFont="1" applyBorder="1" applyAlignment="1" applyProtection="1">
      <alignment vertical="center"/>
    </xf>
    <xf numFmtId="38" fontId="23" fillId="0" borderId="15" xfId="2" applyFont="1" applyFill="1" applyBorder="1" applyAlignment="1" applyProtection="1">
      <alignment vertical="center"/>
    </xf>
    <xf numFmtId="0" fontId="9" fillId="0" borderId="0" xfId="7" applyFont="1" applyAlignment="1" applyProtection="1">
      <alignment horizontal="center"/>
    </xf>
    <xf numFmtId="0" fontId="24" fillId="0" borderId="0" xfId="3" applyNumberFormat="1" applyFont="1" applyBorder="1" applyAlignment="1" applyProtection="1">
      <alignment horizontal="right"/>
    </xf>
    <xf numFmtId="181" fontId="23" fillId="2" borderId="42" xfId="3" applyNumberFormat="1" applyFont="1" applyFill="1" applyBorder="1" applyAlignment="1" applyProtection="1">
      <alignment vertical="center"/>
      <protection locked="0"/>
    </xf>
    <xf numFmtId="0" fontId="9" fillId="3" borderId="42" xfId="3" applyNumberFormat="1" applyFont="1" applyFill="1" applyBorder="1" applyAlignment="1" applyProtection="1">
      <alignment horizontal="center" vertical="center"/>
      <protection locked="0"/>
    </xf>
    <xf numFmtId="3" fontId="23" fillId="2" borderId="42" xfId="3" applyNumberFormat="1" applyFont="1" applyFill="1" applyBorder="1" applyAlignment="1" applyProtection="1">
      <alignment horizontal="center" vertical="center"/>
      <protection locked="0"/>
    </xf>
    <xf numFmtId="9" fontId="23" fillId="2" borderId="42" xfId="1" applyNumberFormat="1" applyFont="1" applyFill="1" applyBorder="1" applyAlignment="1" applyProtection="1">
      <alignment horizontal="center" vertical="center"/>
      <protection locked="0"/>
    </xf>
    <xf numFmtId="38" fontId="23" fillId="2" borderId="42" xfId="2" applyFont="1" applyFill="1" applyBorder="1" applyAlignment="1" applyProtection="1">
      <alignment vertical="center"/>
      <protection locked="0"/>
    </xf>
    <xf numFmtId="38" fontId="23" fillId="3" borderId="42" xfId="2" applyFont="1" applyFill="1" applyBorder="1" applyAlignment="1" applyProtection="1">
      <alignment horizontal="center" vertical="center"/>
      <protection locked="0"/>
    </xf>
    <xf numFmtId="38" fontId="23" fillId="11" borderId="42" xfId="2" applyFont="1" applyFill="1" applyBorder="1" applyAlignment="1" applyProtection="1">
      <alignment vertical="center"/>
      <protection locked="0"/>
    </xf>
    <xf numFmtId="38" fontId="23" fillId="2" borderId="44" xfId="2" applyFont="1" applyFill="1" applyBorder="1" applyAlignment="1" applyProtection="1">
      <alignment vertical="center"/>
      <protection locked="0"/>
    </xf>
    <xf numFmtId="9" fontId="23" fillId="2" borderId="41" xfId="1" applyFont="1" applyFill="1" applyBorder="1" applyAlignment="1" applyProtection="1">
      <alignment vertical="center"/>
      <protection locked="0"/>
    </xf>
    <xf numFmtId="9" fontId="23" fillId="2" borderId="42" xfId="1" applyFont="1" applyFill="1" applyBorder="1" applyAlignment="1" applyProtection="1">
      <alignment vertical="center"/>
      <protection locked="0"/>
    </xf>
    <xf numFmtId="9" fontId="23" fillId="2" borderId="45" xfId="1" applyFont="1" applyFill="1" applyBorder="1" applyAlignment="1" applyProtection="1">
      <alignment vertical="center"/>
      <protection locked="0"/>
    </xf>
    <xf numFmtId="181" fontId="23" fillId="7" borderId="46" xfId="3" applyNumberFormat="1" applyFont="1" applyFill="1" applyBorder="1" applyAlignment="1" applyProtection="1">
      <alignment vertical="center"/>
      <protection locked="0"/>
    </xf>
    <xf numFmtId="181" fontId="23" fillId="7" borderId="42" xfId="3" applyNumberFormat="1" applyFont="1" applyFill="1" applyBorder="1" applyAlignment="1" applyProtection="1">
      <alignment vertical="center"/>
      <protection locked="0"/>
    </xf>
    <xf numFmtId="181" fontId="23" fillId="7" borderId="44"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horizontal="left" vertical="center"/>
      <protection locked="0"/>
    </xf>
    <xf numFmtId="0" fontId="9" fillId="2" borderId="42" xfId="3" applyNumberFormat="1" applyFont="1" applyFill="1" applyBorder="1" applyAlignment="1" applyProtection="1">
      <alignment horizontal="left" vertical="center"/>
      <protection locked="0"/>
    </xf>
    <xf numFmtId="14" fontId="9" fillId="2" borderId="47" xfId="3" applyNumberFormat="1" applyFont="1" applyFill="1" applyBorder="1" applyAlignment="1" applyProtection="1">
      <alignment horizontal="left" vertical="center"/>
      <protection locked="0"/>
    </xf>
    <xf numFmtId="181" fontId="23" fillId="2" borderId="47" xfId="3" applyNumberFormat="1" applyFont="1" applyFill="1" applyBorder="1" applyAlignment="1" applyProtection="1">
      <alignment vertical="center"/>
      <protection locked="0"/>
    </xf>
    <xf numFmtId="0" fontId="9" fillId="3" borderId="47" xfId="3" applyNumberFormat="1" applyFont="1" applyFill="1" applyBorder="1" applyAlignment="1" applyProtection="1">
      <alignment horizontal="center" vertical="center"/>
      <protection locked="0"/>
    </xf>
    <xf numFmtId="181" fontId="30" fillId="2" borderId="47" xfId="3" applyNumberFormat="1" applyFont="1" applyFill="1" applyBorder="1" applyAlignment="1" applyProtection="1">
      <alignment vertical="center"/>
      <protection locked="0"/>
    </xf>
    <xf numFmtId="3" fontId="23" fillId="2" borderId="47" xfId="3" applyNumberFormat="1" applyFont="1" applyFill="1" applyBorder="1" applyAlignment="1" applyProtection="1">
      <alignment horizontal="center" vertical="center"/>
      <protection locked="0"/>
    </xf>
    <xf numFmtId="9" fontId="23" fillId="2" borderId="47" xfId="1" applyNumberFormat="1" applyFont="1" applyFill="1" applyBorder="1" applyAlignment="1" applyProtection="1">
      <alignment horizontal="center" vertical="center"/>
      <protection locked="0"/>
    </xf>
    <xf numFmtId="38" fontId="23" fillId="2" borderId="47" xfId="2" applyFont="1" applyFill="1" applyBorder="1" applyAlignment="1" applyProtection="1">
      <alignment vertical="center"/>
      <protection locked="0"/>
    </xf>
    <xf numFmtId="38" fontId="23" fillId="3" borderId="47" xfId="2" applyFont="1" applyFill="1" applyBorder="1" applyAlignment="1" applyProtection="1">
      <alignment horizontal="center" vertical="center"/>
      <protection locked="0"/>
    </xf>
    <xf numFmtId="38" fontId="23" fillId="11" borderId="47" xfId="2" applyFont="1" applyFill="1" applyBorder="1" applyAlignment="1" applyProtection="1">
      <alignment vertical="center"/>
      <protection locked="0"/>
    </xf>
    <xf numFmtId="38" fontId="23" fillId="2" borderId="49" xfId="2" applyFont="1" applyFill="1" applyBorder="1" applyAlignment="1" applyProtection="1">
      <alignment vertical="center"/>
      <protection locked="0"/>
    </xf>
    <xf numFmtId="9" fontId="23" fillId="2" borderId="48" xfId="1" applyFont="1" applyFill="1" applyBorder="1" applyAlignment="1" applyProtection="1">
      <alignment vertical="center"/>
      <protection locked="0"/>
    </xf>
    <xf numFmtId="9" fontId="23" fillId="2" borderId="47" xfId="1" applyFont="1" applyFill="1" applyBorder="1" applyAlignment="1" applyProtection="1">
      <alignment vertical="center"/>
      <protection locked="0"/>
    </xf>
    <xf numFmtId="9" fontId="23" fillId="2" borderId="50" xfId="1" applyFont="1" applyFill="1" applyBorder="1" applyAlignment="1" applyProtection="1">
      <alignment vertical="center"/>
      <protection locked="0"/>
    </xf>
    <xf numFmtId="181" fontId="23" fillId="7" borderId="51" xfId="3" applyNumberFormat="1" applyFont="1" applyFill="1" applyBorder="1" applyAlignment="1" applyProtection="1">
      <alignment vertical="center"/>
      <protection locked="0"/>
    </xf>
    <xf numFmtId="181" fontId="23" fillId="7" borderId="47" xfId="3" applyNumberFormat="1" applyFont="1" applyFill="1" applyBorder="1" applyAlignment="1" applyProtection="1">
      <alignment vertical="center"/>
      <protection locked="0"/>
    </xf>
    <xf numFmtId="181" fontId="23" fillId="7" borderId="49" xfId="3" applyNumberFormat="1" applyFont="1" applyFill="1" applyBorder="1" applyAlignment="1" applyProtection="1">
      <alignment vertical="center"/>
      <protection locked="0"/>
    </xf>
    <xf numFmtId="0" fontId="9" fillId="2" borderId="47" xfId="3" applyNumberFormat="1" applyFont="1" applyFill="1" applyBorder="1" applyAlignment="1" applyProtection="1">
      <alignment vertical="center"/>
      <protection locked="0"/>
    </xf>
    <xf numFmtId="0" fontId="9" fillId="3" borderId="47" xfId="3" applyFont="1" applyFill="1" applyBorder="1" applyAlignment="1" applyProtection="1">
      <alignment horizontal="center" vertical="center"/>
      <protection locked="0"/>
    </xf>
    <xf numFmtId="182" fontId="9" fillId="2" borderId="47" xfId="3" applyNumberFormat="1" applyFont="1" applyFill="1" applyBorder="1" applyAlignment="1" applyProtection="1">
      <alignment horizontal="left" vertical="center"/>
      <protection locked="0"/>
    </xf>
    <xf numFmtId="182" fontId="9" fillId="3" borderId="47" xfId="3" applyNumberFormat="1" applyFont="1" applyFill="1" applyBorder="1" applyAlignment="1" applyProtection="1">
      <alignment horizontal="center" vertical="center"/>
      <protection locked="0"/>
    </xf>
    <xf numFmtId="182" fontId="9" fillId="2" borderId="47" xfId="3" applyNumberFormat="1" applyFont="1" applyFill="1" applyBorder="1" applyAlignment="1" applyProtection="1">
      <alignment vertical="center"/>
      <protection locked="0"/>
    </xf>
    <xf numFmtId="1" fontId="23" fillId="2" borderId="47" xfId="3" applyNumberFormat="1" applyFont="1" applyFill="1" applyBorder="1" applyAlignment="1" applyProtection="1">
      <alignment horizontal="center" vertical="center"/>
      <protection locked="0"/>
    </xf>
    <xf numFmtId="0" fontId="23" fillId="0" borderId="0" xfId="3" applyFont="1" applyProtection="1"/>
    <xf numFmtId="0" fontId="15" fillId="0" borderId="0" xfId="3" applyFont="1" applyProtection="1"/>
    <xf numFmtId="0" fontId="23" fillId="2" borderId="24" xfId="2" applyNumberFormat="1" applyFont="1" applyFill="1" applyBorder="1" applyAlignment="1" applyProtection="1">
      <alignment horizontal="right" vertical="center" shrinkToFit="1"/>
      <protection locked="0"/>
    </xf>
    <xf numFmtId="3" fontId="23" fillId="2" borderId="24" xfId="2" applyNumberFormat="1" applyFont="1" applyFill="1" applyBorder="1" applyAlignment="1" applyProtection="1">
      <alignment horizontal="right" vertical="center" shrinkToFit="1"/>
      <protection locked="0"/>
    </xf>
    <xf numFmtId="0" fontId="16" fillId="0" borderId="0" xfId="0" applyFont="1" applyAlignment="1" applyProtection="1">
      <alignment shrinkToFit="1"/>
    </xf>
    <xf numFmtId="38" fontId="9" fillId="0" borderId="0" xfId="2" applyFont="1" applyFill="1" applyBorder="1" applyAlignment="1" applyProtection="1">
      <alignment shrinkToFit="1"/>
    </xf>
    <xf numFmtId="0" fontId="23" fillId="9" borderId="8" xfId="7" applyFont="1" applyFill="1" applyBorder="1" applyAlignment="1" applyProtection="1">
      <alignment horizontal="center" wrapText="1"/>
    </xf>
    <xf numFmtId="0" fontId="25" fillId="3" borderId="47" xfId="3" applyFont="1" applyFill="1" applyBorder="1" applyAlignment="1" applyProtection="1">
      <alignment horizontal="center" vertical="center"/>
      <protection locked="0"/>
    </xf>
    <xf numFmtId="0" fontId="23" fillId="9" borderId="16" xfId="7" applyFont="1" applyFill="1" applyBorder="1" applyAlignment="1" applyProtection="1">
      <alignment horizontal="center" vertical="center"/>
    </xf>
    <xf numFmtId="0" fontId="23" fillId="0" borderId="31" xfId="0" applyFont="1" applyFill="1" applyBorder="1" applyProtection="1"/>
    <xf numFmtId="38" fontId="23" fillId="0" borderId="16" xfId="2" applyFont="1" applyFill="1" applyBorder="1" applyAlignment="1" applyProtection="1"/>
    <xf numFmtId="0" fontId="23" fillId="0" borderId="0" xfId="0" applyFont="1" applyFill="1" applyBorder="1" applyProtection="1"/>
    <xf numFmtId="9" fontId="23" fillId="0" borderId="18" xfId="0" applyNumberFormat="1" applyFont="1" applyFill="1" applyBorder="1" applyProtection="1"/>
    <xf numFmtId="38" fontId="23" fillId="0" borderId="18" xfId="2" applyFont="1" applyFill="1" applyBorder="1" applyAlignment="1" applyProtection="1"/>
    <xf numFmtId="38" fontId="23" fillId="0" borderId="18" xfId="2" applyFont="1" applyFill="1" applyBorder="1" applyAlignment="1" applyProtection="1">
      <alignment vertical="center"/>
    </xf>
    <xf numFmtId="0" fontId="23" fillId="0" borderId="21" xfId="0" applyFont="1" applyFill="1" applyBorder="1" applyProtection="1"/>
    <xf numFmtId="38" fontId="23" fillId="0" borderId="22" xfId="2" applyFont="1" applyFill="1" applyBorder="1" applyAlignment="1" applyProtection="1">
      <alignment vertical="center"/>
    </xf>
    <xf numFmtId="0" fontId="25" fillId="2" borderId="47" xfId="3" applyNumberFormat="1" applyFont="1" applyFill="1" applyBorder="1" applyAlignment="1" applyProtection="1">
      <alignment vertical="center"/>
      <protection locked="0"/>
    </xf>
    <xf numFmtId="3" fontId="30" fillId="2" borderId="47" xfId="3" applyNumberFormat="1" applyFont="1" applyFill="1" applyBorder="1" applyAlignment="1" applyProtection="1">
      <alignment horizontal="center" vertical="center"/>
      <protection locked="0"/>
    </xf>
    <xf numFmtId="9" fontId="30" fillId="2" borderId="47" xfId="1" applyNumberFormat="1" applyFont="1" applyFill="1" applyBorder="1" applyAlignment="1" applyProtection="1">
      <alignment horizontal="center" vertical="center"/>
      <protection locked="0"/>
    </xf>
    <xf numFmtId="0" fontId="9" fillId="2" borderId="85" xfId="3" applyNumberFormat="1" applyFont="1" applyFill="1" applyBorder="1" applyAlignment="1" applyProtection="1">
      <alignment horizontal="left" vertical="center"/>
      <protection locked="0"/>
    </xf>
    <xf numFmtId="181" fontId="23" fillId="2" borderId="85" xfId="3" applyNumberFormat="1" applyFont="1" applyFill="1" applyBorder="1" applyAlignment="1" applyProtection="1">
      <alignment vertical="center"/>
      <protection locked="0"/>
    </xf>
    <xf numFmtId="0" fontId="9" fillId="3" borderId="85" xfId="3" applyNumberFormat="1" applyFont="1" applyFill="1" applyBorder="1" applyAlignment="1" applyProtection="1">
      <alignment horizontal="center" vertical="center"/>
      <protection locked="0"/>
    </xf>
    <xf numFmtId="3" fontId="23" fillId="2" borderId="85" xfId="3" applyNumberFormat="1" applyFont="1" applyFill="1" applyBorder="1" applyAlignment="1" applyProtection="1">
      <alignment horizontal="center" vertical="center"/>
      <protection locked="0"/>
    </xf>
    <xf numFmtId="9" fontId="23" fillId="2" borderId="85" xfId="1" applyNumberFormat="1" applyFont="1" applyFill="1" applyBorder="1" applyAlignment="1" applyProtection="1">
      <alignment horizontal="center" vertical="center"/>
      <protection locked="0"/>
    </xf>
    <xf numFmtId="38" fontId="23" fillId="2" borderId="85" xfId="2" applyFont="1" applyFill="1" applyBorder="1" applyAlignment="1" applyProtection="1">
      <alignment vertical="center"/>
      <protection locked="0"/>
    </xf>
    <xf numFmtId="38" fontId="23" fillId="3" borderId="85" xfId="2" applyFont="1" applyFill="1" applyBorder="1" applyAlignment="1" applyProtection="1">
      <alignment horizontal="center" vertical="center"/>
      <protection locked="0"/>
    </xf>
    <xf numFmtId="38" fontId="23" fillId="11" borderId="85" xfId="2" applyFont="1" applyFill="1" applyBorder="1" applyAlignment="1" applyProtection="1">
      <alignment vertical="center"/>
      <protection locked="0"/>
    </xf>
    <xf numFmtId="38" fontId="23" fillId="2" borderId="86" xfId="2" applyFont="1" applyFill="1" applyBorder="1" applyAlignment="1" applyProtection="1">
      <alignment vertical="center"/>
      <protection locked="0"/>
    </xf>
    <xf numFmtId="9" fontId="23" fillId="2" borderId="87" xfId="1" applyFont="1" applyFill="1" applyBorder="1" applyAlignment="1" applyProtection="1">
      <alignment vertical="center"/>
      <protection locked="0"/>
    </xf>
    <xf numFmtId="9" fontId="23" fillId="2" borderId="85" xfId="1" applyFont="1" applyFill="1" applyBorder="1" applyAlignment="1" applyProtection="1">
      <alignment vertical="center"/>
      <protection locked="0"/>
    </xf>
    <xf numFmtId="9" fontId="23" fillId="2" borderId="88" xfId="1" applyFont="1" applyFill="1" applyBorder="1" applyAlignment="1" applyProtection="1">
      <alignment vertical="center"/>
      <protection locked="0"/>
    </xf>
    <xf numFmtId="181" fontId="23" fillId="7" borderId="89" xfId="3" applyNumberFormat="1" applyFont="1" applyFill="1" applyBorder="1" applyAlignment="1" applyProtection="1">
      <alignment vertical="center"/>
      <protection locked="0"/>
    </xf>
    <xf numFmtId="181" fontId="23" fillId="7" borderId="85" xfId="3" applyNumberFormat="1" applyFont="1" applyFill="1" applyBorder="1" applyAlignment="1" applyProtection="1">
      <alignment vertical="center"/>
      <protection locked="0"/>
    </xf>
    <xf numFmtId="181" fontId="23" fillId="7" borderId="86" xfId="3" applyNumberFormat="1" applyFont="1" applyFill="1" applyBorder="1" applyAlignment="1" applyProtection="1">
      <alignment vertical="center"/>
      <protection locked="0"/>
    </xf>
    <xf numFmtId="181" fontId="23" fillId="16" borderId="94" xfId="3" applyNumberFormat="1" applyFont="1" applyFill="1" applyBorder="1" applyAlignment="1" applyProtection="1">
      <alignment vertical="center"/>
    </xf>
    <xf numFmtId="181" fontId="23" fillId="2" borderId="100" xfId="3" applyNumberFormat="1" applyFont="1" applyFill="1" applyBorder="1" applyAlignment="1" applyProtection="1">
      <alignment vertical="center"/>
      <protection locked="0"/>
    </xf>
    <xf numFmtId="0" fontId="9" fillId="3" borderId="100" xfId="3" applyNumberFormat="1" applyFont="1" applyFill="1" applyBorder="1" applyAlignment="1" applyProtection="1">
      <alignment horizontal="center" vertical="center"/>
      <protection locked="0"/>
    </xf>
    <xf numFmtId="3" fontId="23" fillId="2" borderId="100" xfId="3" applyNumberFormat="1" applyFont="1" applyFill="1" applyBorder="1" applyAlignment="1" applyProtection="1">
      <alignment horizontal="center" vertical="center"/>
      <protection locked="0"/>
    </xf>
    <xf numFmtId="9" fontId="23" fillId="2" borderId="100" xfId="1" applyNumberFormat="1" applyFont="1" applyFill="1" applyBorder="1" applyAlignment="1" applyProtection="1">
      <alignment horizontal="center" vertical="center"/>
      <protection locked="0"/>
    </xf>
    <xf numFmtId="38" fontId="23" fillId="2" borderId="100" xfId="2" applyFont="1" applyFill="1" applyBorder="1" applyAlignment="1" applyProtection="1">
      <alignment vertical="center"/>
      <protection locked="0"/>
    </xf>
    <xf numFmtId="38" fontId="23" fillId="3" borderId="100" xfId="2" applyFont="1" applyFill="1" applyBorder="1" applyAlignment="1" applyProtection="1">
      <alignment horizontal="center" vertical="center"/>
      <protection locked="0"/>
    </xf>
    <xf numFmtId="38" fontId="23" fillId="11" borderId="100" xfId="2" applyFont="1" applyFill="1" applyBorder="1" applyAlignment="1" applyProtection="1">
      <alignment vertical="center"/>
      <protection locked="0"/>
    </xf>
    <xf numFmtId="38" fontId="23" fillId="2" borderId="101" xfId="2" applyFont="1" applyFill="1" applyBorder="1" applyAlignment="1" applyProtection="1">
      <alignment vertical="center"/>
      <protection locked="0"/>
    </xf>
    <xf numFmtId="9" fontId="23" fillId="2" borderId="102" xfId="1" applyFont="1" applyFill="1" applyBorder="1" applyAlignment="1" applyProtection="1">
      <alignment vertical="center"/>
      <protection locked="0"/>
    </xf>
    <xf numFmtId="9" fontId="23" fillId="2" borderId="100" xfId="1" applyFont="1" applyFill="1" applyBorder="1" applyAlignment="1" applyProtection="1">
      <alignment vertical="center"/>
      <protection locked="0"/>
    </xf>
    <xf numFmtId="9" fontId="23" fillId="2" borderId="103" xfId="1" applyFont="1" applyFill="1" applyBorder="1" applyAlignment="1" applyProtection="1">
      <alignment vertical="center"/>
      <protection locked="0"/>
    </xf>
    <xf numFmtId="181" fontId="23" fillId="7" borderId="104" xfId="3" applyNumberFormat="1" applyFont="1" applyFill="1" applyBorder="1" applyAlignment="1" applyProtection="1">
      <alignment vertical="center"/>
      <protection locked="0"/>
    </xf>
    <xf numFmtId="181" fontId="23" fillId="7" borderId="100" xfId="3" applyNumberFormat="1" applyFont="1" applyFill="1" applyBorder="1" applyAlignment="1" applyProtection="1">
      <alignment vertical="center"/>
      <protection locked="0"/>
    </xf>
    <xf numFmtId="181" fontId="23" fillId="7" borderId="101" xfId="3" applyNumberFormat="1" applyFont="1" applyFill="1" applyBorder="1" applyAlignment="1" applyProtection="1">
      <alignment vertical="center"/>
      <protection locked="0"/>
    </xf>
    <xf numFmtId="0" fontId="9" fillId="2" borderId="106" xfId="3" applyNumberFormat="1" applyFont="1" applyFill="1" applyBorder="1" applyAlignment="1" applyProtection="1">
      <alignment horizontal="left" vertical="center"/>
      <protection locked="0"/>
    </xf>
    <xf numFmtId="0" fontId="9" fillId="2" borderId="107" xfId="3" applyNumberFormat="1" applyFont="1" applyFill="1" applyBorder="1" applyAlignment="1" applyProtection="1">
      <alignment horizontal="left" vertical="center"/>
      <protection locked="0"/>
    </xf>
    <xf numFmtId="0" fontId="9" fillId="2" borderId="108" xfId="3" applyNumberFormat="1" applyFont="1" applyFill="1" applyBorder="1" applyAlignment="1" applyProtection="1">
      <alignment horizontal="left" vertical="center"/>
      <protection locked="0"/>
    </xf>
    <xf numFmtId="0" fontId="9" fillId="2" borderId="109" xfId="3" applyNumberFormat="1" applyFont="1" applyFill="1" applyBorder="1" applyAlignment="1" applyProtection="1">
      <alignment horizontal="left" vertical="center"/>
      <protection locked="0"/>
    </xf>
    <xf numFmtId="0" fontId="9" fillId="2" borderId="110" xfId="3" applyNumberFormat="1" applyFont="1" applyFill="1" applyBorder="1" applyAlignment="1" applyProtection="1">
      <alignment horizontal="left" vertical="center"/>
      <protection locked="0"/>
    </xf>
    <xf numFmtId="182" fontId="9" fillId="2" borderId="100" xfId="3" applyNumberFormat="1" applyFont="1" applyFill="1" applyBorder="1" applyAlignment="1" applyProtection="1">
      <alignment horizontal="left" vertical="center"/>
      <protection locked="0"/>
    </xf>
    <xf numFmtId="182" fontId="9" fillId="3" borderId="100" xfId="3" applyNumberFormat="1" applyFont="1" applyFill="1" applyBorder="1" applyAlignment="1" applyProtection="1">
      <alignment horizontal="center" vertical="center"/>
      <protection locked="0"/>
    </xf>
    <xf numFmtId="182" fontId="9" fillId="2" borderId="85" xfId="3" applyNumberFormat="1" applyFont="1" applyFill="1" applyBorder="1" applyAlignment="1" applyProtection="1">
      <alignment vertical="center"/>
      <protection locked="0"/>
    </xf>
    <xf numFmtId="182" fontId="9" fillId="3" borderId="85" xfId="3" applyNumberFormat="1" applyFont="1" applyFill="1" applyBorder="1" applyAlignment="1" applyProtection="1">
      <alignment horizontal="center" vertical="center"/>
      <protection locked="0"/>
    </xf>
    <xf numFmtId="182" fontId="9" fillId="2" borderId="100" xfId="3" applyNumberFormat="1" applyFont="1" applyFill="1" applyBorder="1" applyAlignment="1" applyProtection="1">
      <alignment vertical="center"/>
      <protection locked="0"/>
    </xf>
    <xf numFmtId="14" fontId="9" fillId="2" borderId="100" xfId="3" applyNumberFormat="1" applyFont="1" applyFill="1" applyBorder="1" applyAlignment="1" applyProtection="1">
      <alignment horizontal="left" vertical="center"/>
      <protection locked="0"/>
    </xf>
    <xf numFmtId="0" fontId="9" fillId="2" borderId="100" xfId="3" applyNumberFormat="1" applyFont="1" applyFill="1" applyBorder="1" applyAlignment="1" applyProtection="1">
      <alignment vertical="center"/>
      <protection locked="0"/>
    </xf>
    <xf numFmtId="0" fontId="9" fillId="3" borderId="100" xfId="3" applyFont="1" applyFill="1" applyBorder="1" applyAlignment="1" applyProtection="1">
      <alignment horizontal="center" vertical="center"/>
      <protection locked="0"/>
    </xf>
    <xf numFmtId="0" fontId="0" fillId="13" borderId="2" xfId="0" applyFill="1" applyBorder="1" applyAlignment="1" applyProtection="1">
      <alignment vertical="center"/>
      <protection locked="0"/>
    </xf>
    <xf numFmtId="40" fontId="0" fillId="0" borderId="115" xfId="11" applyNumberFormat="1" applyFont="1" applyFill="1" applyBorder="1" applyAlignment="1" applyProtection="1"/>
    <xf numFmtId="40" fontId="0" fillId="2" borderId="19" xfId="2" applyNumberFormat="1" applyFont="1" applyFill="1" applyBorder="1" applyAlignment="1" applyProtection="1">
      <protection locked="0"/>
    </xf>
    <xf numFmtId="40" fontId="0" fillId="12" borderId="15" xfId="2" applyNumberFormat="1" applyFont="1" applyFill="1" applyBorder="1" applyAlignment="1" applyProtection="1">
      <protection locked="0"/>
    </xf>
    <xf numFmtId="40" fontId="0" fillId="12" borderId="2" xfId="2" applyNumberFormat="1" applyFont="1" applyFill="1" applyBorder="1" applyAlignment="1" applyProtection="1">
      <protection locked="0"/>
    </xf>
    <xf numFmtId="40" fontId="0" fillId="12" borderId="8" xfId="2" applyNumberFormat="1" applyFont="1" applyFill="1" applyBorder="1" applyAlignment="1" applyProtection="1">
      <protection locked="0"/>
    </xf>
    <xf numFmtId="40" fontId="0" fillId="12" borderId="74" xfId="2" applyNumberFormat="1" applyFont="1" applyFill="1" applyBorder="1" applyAlignment="1" applyProtection="1">
      <protection locked="0"/>
    </xf>
    <xf numFmtId="0" fontId="16" fillId="0" borderId="0" xfId="12" applyFont="1"/>
    <xf numFmtId="0" fontId="3" fillId="0" borderId="0" xfId="13" applyFont="1"/>
    <xf numFmtId="0" fontId="16" fillId="0" borderId="0" xfId="12"/>
    <xf numFmtId="0" fontId="34" fillId="0" borderId="0" xfId="12" applyFont="1" applyAlignment="1">
      <alignment shrinkToFit="1"/>
    </xf>
    <xf numFmtId="0" fontId="34" fillId="0" borderId="0" xfId="12" applyFont="1"/>
    <xf numFmtId="0" fontId="10" fillId="0" borderId="0" xfId="12" applyFont="1"/>
    <xf numFmtId="0" fontId="16" fillId="0" borderId="117" xfId="12" applyBorder="1"/>
    <xf numFmtId="0" fontId="16" fillId="0" borderId="117" xfId="12" applyFont="1" applyBorder="1"/>
    <xf numFmtId="0" fontId="10" fillId="0" borderId="117" xfId="12" applyFont="1" applyBorder="1"/>
    <xf numFmtId="0" fontId="16" fillId="0" borderId="0" xfId="12" applyFill="1" applyBorder="1"/>
    <xf numFmtId="191" fontId="16" fillId="20" borderId="117" xfId="12" applyNumberFormat="1" applyFont="1" applyFill="1" applyBorder="1" applyProtection="1">
      <protection locked="0"/>
    </xf>
    <xf numFmtId="0" fontId="16" fillId="20" borderId="117" xfId="12" applyFill="1" applyBorder="1" applyProtection="1">
      <protection locked="0"/>
    </xf>
    <xf numFmtId="0" fontId="3" fillId="0" borderId="117" xfId="12" applyFont="1" applyBorder="1"/>
    <xf numFmtId="192" fontId="16" fillId="20" borderId="117" xfId="12" applyNumberFormat="1" applyFill="1" applyBorder="1" applyProtection="1">
      <protection locked="0"/>
    </xf>
    <xf numFmtId="193" fontId="16" fillId="20" borderId="117" xfId="12" applyNumberFormat="1" applyFill="1" applyBorder="1" applyAlignment="1" applyProtection="1">
      <protection locked="0"/>
    </xf>
    <xf numFmtId="191" fontId="16" fillId="21" borderId="117" xfId="12" applyNumberFormat="1" applyFill="1" applyBorder="1" applyProtection="1"/>
    <xf numFmtId="0" fontId="16" fillId="0" borderId="0" xfId="12" applyFill="1" applyBorder="1" applyProtection="1">
      <protection locked="0"/>
    </xf>
    <xf numFmtId="0" fontId="16" fillId="0" borderId="0" xfId="12" applyFill="1" applyBorder="1" applyAlignment="1">
      <alignment horizontal="center"/>
    </xf>
    <xf numFmtId="0" fontId="16" fillId="0" borderId="0" xfId="12" applyBorder="1"/>
    <xf numFmtId="191" fontId="16" fillId="21" borderId="117" xfId="12" applyNumberFormat="1" applyFill="1" applyBorder="1"/>
    <xf numFmtId="0" fontId="16" fillId="0" borderId="0" xfId="12" applyFont="1" applyFill="1" applyBorder="1"/>
    <xf numFmtId="0" fontId="34" fillId="0" borderId="0" xfId="12" applyFont="1" applyFill="1" applyBorder="1" applyProtection="1">
      <protection locked="0"/>
    </xf>
    <xf numFmtId="0" fontId="3" fillId="0" borderId="0" xfId="12" applyFont="1" applyBorder="1" applyAlignment="1">
      <alignment horizontal="center"/>
    </xf>
    <xf numFmtId="0" fontId="34" fillId="0" borderId="0" xfId="12" applyFont="1" applyBorder="1" applyAlignment="1" applyProtection="1">
      <alignment horizontal="center"/>
      <protection locked="0"/>
    </xf>
    <xf numFmtId="0" fontId="0" fillId="0" borderId="117" xfId="0" applyBorder="1" applyAlignment="1">
      <alignment horizontal="center"/>
    </xf>
    <xf numFmtId="0" fontId="0" fillId="12" borderId="117" xfId="0" applyFill="1" applyBorder="1"/>
    <xf numFmtId="0" fontId="0" fillId="0" borderId="117" xfId="0" applyBorder="1"/>
    <xf numFmtId="0" fontId="0" fillId="7" borderId="117" xfId="0" applyFill="1" applyBorder="1"/>
    <xf numFmtId="0" fontId="0" fillId="22" borderId="117" xfId="0" applyFill="1" applyBorder="1"/>
    <xf numFmtId="0" fontId="0" fillId="23" borderId="117" xfId="0" applyFill="1" applyBorder="1"/>
    <xf numFmtId="0" fontId="0" fillId="0" borderId="0" xfId="0" applyFont="1"/>
    <xf numFmtId="197"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3" fillId="0" borderId="0" xfId="0" applyFont="1"/>
    <xf numFmtId="38" fontId="23" fillId="0" borderId="0" xfId="6" applyNumberFormat="1" applyFont="1" applyBorder="1" applyAlignment="1" applyProtection="1">
      <alignment horizontal="left" vertical="center" shrinkToFit="1"/>
    </xf>
    <xf numFmtId="0" fontId="23" fillId="0" borderId="11" xfId="6" applyFont="1" applyBorder="1" applyAlignment="1" applyProtection="1">
      <alignment vertical="center" shrinkToFit="1"/>
    </xf>
    <xf numFmtId="185" fontId="16" fillId="0" borderId="145" xfId="2" applyNumberFormat="1" applyFont="1" applyFill="1" applyBorder="1" applyAlignment="1" applyProtection="1">
      <alignment vertical="center"/>
    </xf>
    <xf numFmtId="185" fontId="16" fillId="0" borderId="146" xfId="2" applyNumberFormat="1" applyFont="1" applyFill="1" applyBorder="1" applyAlignment="1" applyProtection="1">
      <alignment vertical="center"/>
    </xf>
    <xf numFmtId="0" fontId="16" fillId="0" borderId="148" xfId="6" applyFont="1" applyBorder="1" applyAlignment="1" applyProtection="1">
      <alignment horizontal="justify" vertical="center" indent="1" shrinkToFit="1"/>
    </xf>
    <xf numFmtId="0" fontId="0" fillId="0" borderId="148" xfId="6" applyFont="1" applyBorder="1" applyAlignment="1" applyProtection="1">
      <alignment horizontal="justify" vertical="center" indent="1" shrinkToFit="1"/>
    </xf>
    <xf numFmtId="185" fontId="16" fillId="0" borderId="149" xfId="2" applyNumberFormat="1" applyFont="1" applyFill="1" applyBorder="1" applyAlignment="1" applyProtection="1">
      <alignment vertical="center"/>
    </xf>
    <xf numFmtId="185" fontId="16" fillId="0" borderId="150" xfId="2" applyNumberFormat="1" applyFont="1" applyFill="1" applyBorder="1" applyAlignment="1" applyProtection="1">
      <alignment vertical="center"/>
    </xf>
    <xf numFmtId="185" fontId="16" fillId="0" borderId="151" xfId="2" applyNumberFormat="1" applyFont="1" applyFill="1" applyBorder="1" applyAlignment="1" applyProtection="1">
      <alignment vertical="center"/>
    </xf>
    <xf numFmtId="185" fontId="16" fillId="0" borderId="152" xfId="2" applyNumberFormat="1" applyFont="1" applyFill="1" applyBorder="1" applyAlignment="1" applyProtection="1">
      <alignment vertical="center"/>
    </xf>
    <xf numFmtId="185" fontId="16" fillId="0" borderId="153" xfId="2" applyNumberFormat="1" applyFont="1" applyFill="1" applyBorder="1" applyAlignment="1" applyProtection="1">
      <alignment vertical="center"/>
    </xf>
    <xf numFmtId="185" fontId="16" fillId="0" borderId="154" xfId="2" applyNumberFormat="1" applyFont="1" applyFill="1" applyBorder="1" applyAlignment="1" applyProtection="1">
      <alignment vertical="center"/>
    </xf>
    <xf numFmtId="0" fontId="0" fillId="8" borderId="2" xfId="0" applyFill="1" applyBorder="1" applyAlignment="1">
      <alignment horizontal="center" vertical="center"/>
    </xf>
    <xf numFmtId="187" fontId="23" fillId="0" borderId="63" xfId="6" applyNumberFormat="1" applyFont="1" applyBorder="1" applyAlignment="1" applyProtection="1">
      <alignment vertical="center" shrinkToFit="1"/>
    </xf>
    <xf numFmtId="187" fontId="23" fillId="0" borderId="11" xfId="6" applyNumberFormat="1" applyFont="1" applyBorder="1" applyAlignment="1" applyProtection="1">
      <alignment vertical="center" shrinkToFit="1"/>
    </xf>
    <xf numFmtId="3" fontId="23" fillId="12" borderId="23" xfId="7" applyNumberFormat="1" applyFont="1" applyFill="1" applyBorder="1" applyAlignment="1" applyProtection="1">
      <alignment vertical="center" shrinkToFit="1"/>
      <protection locked="0"/>
    </xf>
    <xf numFmtId="3" fontId="23" fillId="12" borderId="23" xfId="7" applyNumberFormat="1" applyFont="1" applyFill="1" applyBorder="1" applyAlignment="1" applyProtection="1">
      <alignment vertical="center"/>
      <protection locked="0"/>
    </xf>
    <xf numFmtId="40" fontId="0" fillId="0" borderId="0" xfId="2" applyNumberFormat="1" applyFont="1" applyFill="1" applyBorder="1" applyAlignment="1" applyProtection="1"/>
    <xf numFmtId="179" fontId="0" fillId="0" borderId="0" xfId="2" applyNumberFormat="1" applyFont="1" applyFill="1" applyBorder="1" applyAlignment="1" applyProtection="1"/>
    <xf numFmtId="0" fontId="0" fillId="0" borderId="0" xfId="0" applyAlignment="1" applyProtection="1">
      <alignment shrinkToFit="1"/>
    </xf>
    <xf numFmtId="40" fontId="0" fillId="12" borderId="36" xfId="2" applyNumberFormat="1" applyFont="1" applyFill="1" applyBorder="1" applyAlignment="1" applyProtection="1">
      <alignment horizontal="center" vertical="center" wrapText="1"/>
    </xf>
    <xf numFmtId="40" fontId="0" fillId="2" borderId="116" xfId="11" applyNumberFormat="1" applyFont="1" applyFill="1" applyBorder="1" applyAlignment="1" applyProtection="1">
      <alignment horizontal="center" vertical="center" wrapText="1"/>
    </xf>
    <xf numFmtId="40" fontId="0" fillId="2" borderId="36" xfId="2" applyNumberFormat="1" applyFont="1" applyFill="1" applyBorder="1" applyAlignment="1" applyProtection="1">
      <alignment horizontal="center" vertical="center" wrapText="1"/>
    </xf>
    <xf numFmtId="0" fontId="9" fillId="16" borderId="114" xfId="3" applyNumberFormat="1" applyFont="1" applyFill="1" applyBorder="1" applyAlignment="1" applyProtection="1">
      <alignment horizontal="left" vertical="center"/>
    </xf>
    <xf numFmtId="0" fontId="9" fillId="15" borderId="94" xfId="3" applyNumberFormat="1" applyFont="1" applyFill="1" applyBorder="1" applyAlignment="1" applyProtection="1">
      <alignment horizontal="center" vertical="center"/>
    </xf>
    <xf numFmtId="3" fontId="23" fillId="16" borderId="94" xfId="3" applyNumberFormat="1" applyFont="1" applyFill="1" applyBorder="1" applyAlignment="1" applyProtection="1">
      <alignment horizontal="center" vertical="center"/>
    </xf>
    <xf numFmtId="9" fontId="23" fillId="16" borderId="94" xfId="1" applyNumberFormat="1" applyFont="1" applyFill="1" applyBorder="1" applyAlignment="1" applyProtection="1">
      <alignment horizontal="center" vertical="center"/>
    </xf>
    <xf numFmtId="38" fontId="23" fillId="16" borderId="94" xfId="2" applyFont="1" applyFill="1" applyBorder="1" applyAlignment="1" applyProtection="1">
      <alignment vertical="center"/>
    </xf>
    <xf numFmtId="38" fontId="23" fillId="15" borderId="94" xfId="2" applyFont="1" applyFill="1" applyBorder="1" applyAlignment="1" applyProtection="1">
      <alignment horizontal="center" vertical="center"/>
    </xf>
    <xf numFmtId="38" fontId="23" fillId="17" borderId="94" xfId="2" applyFont="1" applyFill="1" applyBorder="1" applyAlignment="1" applyProtection="1">
      <alignment vertical="center"/>
    </xf>
    <xf numFmtId="38" fontId="23" fillId="16" borderId="95" xfId="2" applyFont="1" applyFill="1" applyBorder="1" applyAlignment="1" applyProtection="1">
      <alignment vertical="center"/>
    </xf>
    <xf numFmtId="9" fontId="23" fillId="16" borderId="96" xfId="1" applyFont="1" applyFill="1" applyBorder="1" applyAlignment="1" applyProtection="1">
      <alignment vertical="center"/>
    </xf>
    <xf numFmtId="9" fontId="23" fillId="16" borderId="94" xfId="1" applyFont="1" applyFill="1" applyBorder="1" applyAlignment="1" applyProtection="1">
      <alignment vertical="center"/>
    </xf>
    <xf numFmtId="9" fontId="23" fillId="16" borderId="97" xfId="1" applyFont="1" applyFill="1" applyBorder="1" applyAlignment="1" applyProtection="1">
      <alignment vertical="center"/>
    </xf>
    <xf numFmtId="181" fontId="23" fillId="18" borderId="98" xfId="3" applyNumberFormat="1" applyFont="1" applyFill="1" applyBorder="1" applyAlignment="1" applyProtection="1">
      <alignment vertical="center"/>
    </xf>
    <xf numFmtId="181" fontId="23" fillId="18" borderId="94" xfId="3" applyNumberFormat="1" applyFont="1" applyFill="1" applyBorder="1" applyAlignment="1" applyProtection="1">
      <alignment vertical="center"/>
    </xf>
    <xf numFmtId="181" fontId="23" fillId="18" borderId="95" xfId="3" applyNumberFormat="1" applyFont="1" applyFill="1" applyBorder="1" applyAlignment="1" applyProtection="1">
      <alignment vertical="center"/>
    </xf>
    <xf numFmtId="0" fontId="10" fillId="0" borderId="0" xfId="3" applyNumberFormat="1" applyFont="1" applyBorder="1" applyAlignment="1" applyProtection="1">
      <alignment horizontal="left" vertical="center"/>
    </xf>
    <xf numFmtId="0" fontId="16" fillId="0" borderId="0" xfId="3" applyNumberFormat="1" applyFont="1" applyBorder="1" applyProtection="1"/>
    <xf numFmtId="180" fontId="16" fillId="0" borderId="0" xfId="3" applyNumberFormat="1" applyFont="1" applyFill="1" applyBorder="1" applyProtection="1"/>
    <xf numFmtId="180" fontId="9" fillId="0" borderId="0" xfId="3" applyNumberFormat="1" applyFont="1" applyFill="1" applyBorder="1" applyProtection="1"/>
    <xf numFmtId="38" fontId="24" fillId="0" borderId="0" xfId="2" applyFont="1" applyFill="1" applyBorder="1" applyAlignment="1" applyProtection="1">
      <alignment horizontal="right"/>
    </xf>
    <xf numFmtId="38" fontId="24" fillId="0" borderId="0" xfId="2" applyFont="1" applyFill="1" applyBorder="1" applyAlignment="1" applyProtection="1">
      <alignment horizontal="center"/>
    </xf>
    <xf numFmtId="9" fontId="24" fillId="0" borderId="0" xfId="1" applyFont="1" applyFill="1" applyBorder="1" applyAlignment="1" applyProtection="1">
      <alignment horizontal="right"/>
    </xf>
    <xf numFmtId="0" fontId="15" fillId="0" borderId="0" xfId="3" applyFont="1" applyAlignment="1" applyProtection="1">
      <alignment vertical="center"/>
    </xf>
    <xf numFmtId="182" fontId="9" fillId="0" borderId="85" xfId="3" applyNumberFormat="1" applyFont="1" applyFill="1" applyBorder="1" applyAlignment="1" applyProtection="1">
      <alignment vertical="center"/>
    </xf>
    <xf numFmtId="181" fontId="23" fillId="0" borderId="85" xfId="3" applyNumberFormat="1" applyFont="1" applyFill="1" applyBorder="1" applyAlignment="1" applyProtection="1">
      <alignment vertical="center"/>
    </xf>
    <xf numFmtId="182" fontId="9" fillId="0" borderId="47" xfId="3" applyNumberFormat="1" applyFont="1" applyFill="1" applyBorder="1" applyAlignment="1" applyProtection="1">
      <alignment vertical="center"/>
    </xf>
    <xf numFmtId="181" fontId="23" fillId="0" borderId="47" xfId="3" applyNumberFormat="1" applyFont="1" applyFill="1" applyBorder="1" applyAlignment="1" applyProtection="1">
      <alignment vertical="center"/>
    </xf>
    <xf numFmtId="181" fontId="23" fillId="0" borderId="100" xfId="3" applyNumberFormat="1" applyFont="1" applyFill="1" applyBorder="1" applyAlignment="1" applyProtection="1">
      <alignment vertical="center"/>
    </xf>
    <xf numFmtId="182" fontId="9" fillId="0" borderId="85" xfId="3" applyNumberFormat="1" applyFont="1" applyFill="1" applyBorder="1" applyAlignment="1" applyProtection="1">
      <alignment horizontal="center" vertical="center"/>
    </xf>
    <xf numFmtId="182" fontId="9" fillId="0" borderId="47" xfId="3" applyNumberFormat="1" applyFont="1" applyFill="1" applyBorder="1" applyAlignment="1" applyProtection="1">
      <alignment horizontal="center" vertical="center"/>
    </xf>
    <xf numFmtId="0" fontId="9" fillId="0" borderId="85"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horizontal="left" vertical="center"/>
    </xf>
    <xf numFmtId="0" fontId="9" fillId="0" borderId="47" xfId="3" applyNumberFormat="1" applyFont="1" applyFill="1" applyBorder="1" applyAlignment="1" applyProtection="1">
      <alignment vertical="center"/>
    </xf>
    <xf numFmtId="0" fontId="23" fillId="12" borderId="6" xfId="0" applyFont="1" applyFill="1" applyBorder="1" applyAlignment="1" applyProtection="1">
      <alignment vertical="top" shrinkToFit="1"/>
      <protection locked="0"/>
    </xf>
    <xf numFmtId="0" fontId="23" fillId="12" borderId="7" xfId="0" applyFont="1" applyFill="1" applyBorder="1" applyAlignment="1" applyProtection="1">
      <alignment vertical="top" shrinkToFit="1"/>
      <protection locked="0"/>
    </xf>
    <xf numFmtId="0" fontId="23" fillId="12" borderId="8" xfId="0" applyFont="1" applyFill="1" applyBorder="1" applyAlignment="1" applyProtection="1">
      <alignment vertical="top" shrinkToFit="1"/>
      <protection locked="0"/>
    </xf>
    <xf numFmtId="0" fontId="23" fillId="12" borderId="10" xfId="0" applyFont="1" applyFill="1" applyBorder="1" applyAlignment="1" applyProtection="1">
      <alignment vertical="top" shrinkToFit="1"/>
      <protection locked="0"/>
    </xf>
    <xf numFmtId="0" fontId="23" fillId="12" borderId="11" xfId="0" applyFont="1" applyFill="1" applyBorder="1" applyAlignment="1" applyProtection="1">
      <alignment vertical="top" shrinkToFit="1"/>
      <protection locked="0"/>
    </xf>
    <xf numFmtId="0" fontId="23" fillId="12" borderId="9" xfId="0" applyFont="1" applyFill="1" applyBorder="1" applyAlignment="1" applyProtection="1">
      <alignment vertical="center" shrinkToFit="1"/>
      <protection locked="0"/>
    </xf>
    <xf numFmtId="0" fontId="0" fillId="12" borderId="10" xfId="0" applyFont="1" applyFill="1" applyBorder="1" applyAlignment="1" applyProtection="1">
      <alignment vertical="center" shrinkToFit="1"/>
      <protection locked="0"/>
    </xf>
    <xf numFmtId="0" fontId="0" fillId="12" borderId="15" xfId="0" applyFont="1" applyFill="1" applyBorder="1" applyAlignment="1" applyProtection="1">
      <alignment vertical="center" shrinkToFit="1"/>
      <protection locked="0"/>
    </xf>
    <xf numFmtId="0" fontId="0" fillId="12" borderId="2" xfId="0" applyFont="1" applyFill="1" applyBorder="1" applyAlignment="1" applyProtection="1">
      <alignment horizontal="center" vertical="center"/>
      <protection locked="0"/>
    </xf>
    <xf numFmtId="176" fontId="0" fillId="12" borderId="2" xfId="0" applyNumberFormat="1" applyFont="1" applyFill="1" applyBorder="1" applyAlignment="1" applyProtection="1">
      <alignment horizontal="center" vertical="center"/>
      <protection locked="0"/>
    </xf>
    <xf numFmtId="195" fontId="11" fillId="0" borderId="56" xfId="2" applyNumberFormat="1" applyFont="1" applyFill="1" applyBorder="1" applyAlignment="1" applyProtection="1">
      <alignment vertical="center" shrinkToFit="1"/>
    </xf>
    <xf numFmtId="195" fontId="11" fillId="0" borderId="32" xfId="2" applyNumberFormat="1" applyFont="1" applyFill="1" applyBorder="1" applyAlignment="1" applyProtection="1">
      <alignment vertical="center" shrinkToFit="1"/>
    </xf>
    <xf numFmtId="195" fontId="11" fillId="0" borderId="33" xfId="2" applyNumberFormat="1" applyFont="1" applyFill="1" applyBorder="1" applyAlignment="1" applyProtection="1">
      <alignment vertical="center" shrinkToFit="1"/>
    </xf>
    <xf numFmtId="195" fontId="11" fillId="0" borderId="6" xfId="2" applyNumberFormat="1" applyFont="1" applyFill="1" applyBorder="1" applyAlignment="1" applyProtection="1">
      <alignment vertical="center"/>
    </xf>
    <xf numFmtId="195" fontId="11" fillId="0" borderId="47" xfId="2" applyNumberFormat="1" applyFont="1" applyFill="1" applyBorder="1" applyAlignment="1" applyProtection="1">
      <alignment vertical="center" shrinkToFit="1"/>
    </xf>
    <xf numFmtId="195" fontId="11" fillId="0" borderId="51" xfId="2" applyNumberFormat="1" applyFont="1" applyFill="1" applyBorder="1" applyAlignment="1" applyProtection="1">
      <alignment vertical="center" shrinkToFit="1"/>
    </xf>
    <xf numFmtId="195" fontId="11" fillId="0" borderId="81" xfId="2" applyNumberFormat="1" applyFont="1" applyFill="1" applyBorder="1" applyAlignment="1" applyProtection="1">
      <alignment vertical="center" shrinkToFit="1"/>
    </xf>
    <xf numFmtId="195" fontId="11" fillId="0" borderId="10" xfId="2" applyNumberFormat="1" applyFont="1" applyFill="1" applyBorder="1" applyAlignment="1" applyProtection="1">
      <alignment vertical="center"/>
    </xf>
    <xf numFmtId="195" fontId="11" fillId="0" borderId="68" xfId="2" applyNumberFormat="1" applyFont="1" applyFill="1" applyBorder="1" applyAlignment="1" applyProtection="1">
      <alignment vertical="center"/>
    </xf>
    <xf numFmtId="195" fontId="11" fillId="0" borderId="57" xfId="2" applyNumberFormat="1" applyFont="1" applyFill="1" applyBorder="1" applyAlignment="1" applyProtection="1">
      <alignment vertical="center" shrinkToFit="1"/>
    </xf>
    <xf numFmtId="195" fontId="11" fillId="0" borderId="34" xfId="2" applyNumberFormat="1" applyFont="1" applyFill="1" applyBorder="1" applyAlignment="1" applyProtection="1">
      <alignment vertical="center" shrinkToFit="1"/>
    </xf>
    <xf numFmtId="195" fontId="11" fillId="0" borderId="58" xfId="2" applyNumberFormat="1" applyFont="1" applyFill="1" applyBorder="1" applyAlignment="1" applyProtection="1">
      <alignment vertical="center" shrinkToFit="1"/>
    </xf>
    <xf numFmtId="195" fontId="11" fillId="0" borderId="28" xfId="2" applyNumberFormat="1" applyFont="1" applyFill="1" applyBorder="1" applyAlignment="1" applyProtection="1">
      <alignment vertical="center" shrinkToFit="1"/>
    </xf>
    <xf numFmtId="195" fontId="11" fillId="0" borderId="8" xfId="2" applyNumberFormat="1" applyFont="1" applyFill="1" applyBorder="1" applyAlignment="1" applyProtection="1">
      <alignment vertical="center"/>
    </xf>
    <xf numFmtId="195" fontId="11" fillId="0" borderId="46" xfId="2" applyNumberFormat="1" applyFont="1" applyFill="1" applyBorder="1" applyAlignment="1" applyProtection="1">
      <alignment vertical="center" shrinkToFit="1"/>
    </xf>
    <xf numFmtId="195" fontId="11" fillId="0" borderId="42" xfId="2" applyNumberFormat="1" applyFont="1" applyFill="1" applyBorder="1" applyAlignment="1" applyProtection="1">
      <alignment vertical="center" shrinkToFit="1"/>
    </xf>
    <xf numFmtId="195" fontId="11" fillId="0" borderId="24" xfId="2" applyNumberFormat="1" applyFont="1" applyFill="1" applyBorder="1" applyAlignment="1" applyProtection="1">
      <alignment vertical="center" shrinkToFit="1"/>
    </xf>
    <xf numFmtId="195" fontId="11" fillId="0" borderId="12" xfId="2" applyNumberFormat="1" applyFont="1" applyFill="1" applyBorder="1" applyAlignment="1" applyProtection="1">
      <alignment vertical="center" shrinkToFit="1"/>
    </xf>
    <xf numFmtId="198" fontId="23" fillId="0" borderId="24" xfId="7" applyNumberFormat="1" applyFont="1" applyBorder="1" applyAlignment="1" applyProtection="1">
      <alignment vertical="center"/>
    </xf>
    <xf numFmtId="198" fontId="23" fillId="0" borderId="23" xfId="2" applyNumberFormat="1" applyFont="1" applyFill="1" applyBorder="1" applyAlignment="1" applyProtection="1">
      <alignment vertical="center"/>
    </xf>
    <xf numFmtId="198" fontId="23" fillId="0" borderId="23" xfId="1" applyNumberFormat="1" applyFont="1" applyFill="1" applyBorder="1" applyAlignment="1" applyProtection="1">
      <alignment vertical="center"/>
    </xf>
    <xf numFmtId="198" fontId="23" fillId="0" borderId="15" xfId="7" applyNumberFormat="1" applyFont="1" applyBorder="1" applyAlignment="1" applyProtection="1">
      <alignment vertical="center"/>
    </xf>
    <xf numFmtId="198" fontId="23" fillId="0" borderId="22" xfId="1" applyNumberFormat="1" applyFont="1" applyFill="1" applyBorder="1" applyAlignment="1" applyProtection="1">
      <alignment vertical="center"/>
    </xf>
    <xf numFmtId="198" fontId="23" fillId="0" borderId="26" xfId="7" applyNumberFormat="1" applyFont="1" applyBorder="1" applyAlignment="1" applyProtection="1">
      <alignment vertical="center"/>
    </xf>
    <xf numFmtId="198" fontId="23" fillId="0" borderId="24" xfId="1" applyNumberFormat="1" applyFont="1" applyFill="1" applyBorder="1" applyAlignment="1" applyProtection="1">
      <alignment vertical="center"/>
    </xf>
    <xf numFmtId="198" fontId="23" fillId="0" borderId="22" xfId="7" applyNumberFormat="1" applyFont="1" applyBorder="1" applyAlignment="1" applyProtection="1">
      <alignment vertical="center"/>
    </xf>
    <xf numFmtId="198" fontId="23" fillId="0" borderId="12" xfId="7" applyNumberFormat="1" applyFont="1" applyBorder="1" applyAlignment="1" applyProtection="1">
      <alignment vertical="center"/>
    </xf>
    <xf numFmtId="198" fontId="23" fillId="0" borderId="4" xfId="7" applyNumberFormat="1" applyFont="1" applyBorder="1" applyAlignment="1" applyProtection="1">
      <alignment vertical="center"/>
    </xf>
    <xf numFmtId="198" fontId="23" fillId="0" borderId="23" xfId="7" applyNumberFormat="1" applyFont="1" applyBorder="1" applyAlignment="1" applyProtection="1">
      <alignment vertical="center"/>
    </xf>
    <xf numFmtId="198" fontId="23" fillId="0" borderId="23" xfId="7" applyNumberFormat="1" applyFont="1" applyBorder="1" applyAlignment="1" applyProtection="1">
      <alignment horizontal="right" vertical="center"/>
    </xf>
    <xf numFmtId="198" fontId="23" fillId="0" borderId="7" xfId="7" applyNumberFormat="1" applyFont="1" applyBorder="1" applyAlignment="1" applyProtection="1">
      <alignment vertical="center"/>
    </xf>
    <xf numFmtId="198" fontId="23" fillId="0" borderId="2" xfId="7" applyNumberFormat="1" applyFont="1" applyBorder="1" applyAlignment="1" applyProtection="1">
      <alignment vertical="center"/>
    </xf>
    <xf numFmtId="199" fontId="0" fillId="0" borderId="15" xfId="2" applyNumberFormat="1" applyFont="1" applyFill="1" applyBorder="1" applyAlignment="1" applyProtection="1"/>
    <xf numFmtId="199" fontId="0" fillId="0" borderId="19" xfId="2" applyNumberFormat="1" applyFont="1" applyFill="1" applyBorder="1" applyAlignment="1" applyProtection="1"/>
    <xf numFmtId="199" fontId="0" fillId="0" borderId="2" xfId="2" applyNumberFormat="1" applyFont="1" applyFill="1" applyBorder="1" applyAlignment="1" applyProtection="1"/>
    <xf numFmtId="199" fontId="0" fillId="0" borderId="74" xfId="2" applyNumberFormat="1" applyFont="1" applyFill="1" applyBorder="1" applyAlignment="1" applyProtection="1"/>
    <xf numFmtId="0" fontId="23" fillId="9" borderId="27" xfId="7" applyFont="1" applyFill="1" applyBorder="1" applyProtection="1"/>
    <xf numFmtId="0" fontId="0" fillId="13" borderId="2" xfId="0" applyFont="1" applyFill="1" applyBorder="1" applyAlignment="1" applyProtection="1">
      <alignment horizontal="center" vertical="center"/>
      <protection locked="0"/>
    </xf>
    <xf numFmtId="0" fontId="0" fillId="0" borderId="0" xfId="0" applyFont="1" applyAlignment="1">
      <alignment vertical="center"/>
    </xf>
    <xf numFmtId="0" fontId="9" fillId="3" borderId="85" xfId="3" applyFont="1" applyFill="1" applyBorder="1" applyAlignment="1" applyProtection="1">
      <alignment horizontal="center" vertical="center"/>
      <protection locked="0"/>
    </xf>
    <xf numFmtId="185" fontId="16" fillId="0" borderId="10" xfId="2" applyNumberFormat="1" applyFont="1" applyFill="1" applyBorder="1" applyAlignment="1" applyProtection="1">
      <alignment vertical="center"/>
    </xf>
    <xf numFmtId="185" fontId="16" fillId="0" borderId="147" xfId="2" applyNumberFormat="1" applyFont="1" applyFill="1" applyBorder="1" applyAlignment="1" applyProtection="1">
      <alignment vertical="center"/>
    </xf>
    <xf numFmtId="0" fontId="16" fillId="0" borderId="143" xfId="6" applyFont="1" applyBorder="1" applyAlignment="1" applyProtection="1">
      <alignment horizontal="justify" vertical="center" indent="1" shrinkToFit="1"/>
    </xf>
    <xf numFmtId="200" fontId="24" fillId="0" borderId="0" xfId="3" applyNumberFormat="1" applyFont="1" applyFill="1" applyBorder="1" applyProtection="1"/>
    <xf numFmtId="200" fontId="23" fillId="2" borderId="85" xfId="3" applyNumberFormat="1" applyFont="1" applyFill="1" applyBorder="1" applyAlignment="1" applyProtection="1">
      <alignment vertical="center"/>
      <protection locked="0"/>
    </xf>
    <xf numFmtId="200" fontId="23" fillId="2" borderId="47" xfId="3" applyNumberFormat="1" applyFont="1" applyFill="1" applyBorder="1" applyAlignment="1" applyProtection="1">
      <alignment vertical="center"/>
      <protection locked="0"/>
    </xf>
    <xf numFmtId="200" fontId="23" fillId="2" borderId="100" xfId="3" applyNumberFormat="1" applyFont="1" applyFill="1" applyBorder="1" applyAlignment="1" applyProtection="1">
      <alignment vertical="center"/>
      <protection locked="0"/>
    </xf>
    <xf numFmtId="200" fontId="23" fillId="16" borderId="94" xfId="3" applyNumberFormat="1" applyFont="1" applyFill="1" applyBorder="1" applyAlignment="1" applyProtection="1">
      <alignment vertical="center"/>
    </xf>
    <xf numFmtId="200" fontId="23" fillId="2" borderId="42" xfId="3" applyNumberFormat="1" applyFont="1" applyFill="1" applyBorder="1" applyAlignment="1" applyProtection="1">
      <alignment vertical="center"/>
      <protection locked="0"/>
    </xf>
    <xf numFmtId="200" fontId="30" fillId="2" borderId="47" xfId="3" applyNumberFormat="1" applyFont="1" applyFill="1" applyBorder="1" applyAlignment="1" applyProtection="1">
      <alignment vertical="center"/>
      <protection locked="0"/>
    </xf>
    <xf numFmtId="0" fontId="23" fillId="0" borderId="22" xfId="7" applyFont="1" applyBorder="1" applyAlignment="1" applyProtection="1">
      <alignment vertical="center"/>
    </xf>
    <xf numFmtId="0" fontId="23" fillId="0" borderId="22" xfId="7" applyFont="1" applyBorder="1" applyAlignment="1" applyProtection="1">
      <alignment horizontal="center" vertical="center"/>
    </xf>
    <xf numFmtId="9" fontId="23" fillId="0" borderId="22" xfId="1" applyFont="1" applyFill="1" applyBorder="1" applyAlignment="1" applyProtection="1">
      <alignment vertical="center"/>
    </xf>
    <xf numFmtId="9" fontId="23" fillId="0" borderId="15" xfId="1" applyFont="1" applyFill="1" applyBorder="1" applyAlignment="1" applyProtection="1">
      <alignment vertical="center"/>
    </xf>
    <xf numFmtId="38" fontId="23" fillId="0" borderId="15" xfId="2" applyFont="1" applyFill="1" applyBorder="1" applyAlignment="1" applyProtection="1">
      <alignment horizontal="right" vertical="center" shrinkToFit="1"/>
    </xf>
    <xf numFmtId="178" fontId="23" fillId="0" borderId="22" xfId="7" applyNumberFormat="1" applyFont="1" applyBorder="1" applyAlignment="1" applyProtection="1">
      <alignment horizontal="center" vertical="center"/>
    </xf>
    <xf numFmtId="3" fontId="13" fillId="0" borderId="15" xfId="7" applyNumberFormat="1" applyFont="1" applyBorder="1" applyAlignment="1" applyProtection="1">
      <alignment vertical="center"/>
    </xf>
    <xf numFmtId="0" fontId="23" fillId="0" borderId="15" xfId="2" applyNumberFormat="1" applyFont="1" applyFill="1" applyBorder="1" applyAlignment="1" applyProtection="1">
      <alignment horizontal="right" vertical="center" shrinkToFit="1"/>
    </xf>
    <xf numFmtId="9" fontId="23" fillId="0" borderId="22" xfId="7" applyNumberFormat="1" applyFont="1" applyBorder="1" applyAlignment="1" applyProtection="1">
      <alignment vertical="center"/>
    </xf>
    <xf numFmtId="38" fontId="23" fillId="0" borderId="22" xfId="2" applyFont="1" applyFill="1" applyBorder="1" applyAlignment="1" applyProtection="1">
      <alignment horizontal="center" vertical="center"/>
    </xf>
    <xf numFmtId="0" fontId="23" fillId="0" borderId="21" xfId="7" applyFont="1" applyBorder="1" applyProtection="1"/>
    <xf numFmtId="0" fontId="23" fillId="0" borderId="2" xfId="7" applyFont="1" applyBorder="1" applyAlignment="1" applyProtection="1">
      <alignment vertical="center"/>
    </xf>
    <xf numFmtId="0" fontId="16" fillId="0" borderId="0" xfId="7" applyFont="1"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horizontal="left" vertical="center"/>
    </xf>
    <xf numFmtId="0" fontId="4" fillId="0" borderId="58" xfId="0" applyFont="1" applyFill="1" applyBorder="1" applyAlignment="1" applyProtection="1">
      <alignment horizontal="center" vertical="center"/>
    </xf>
    <xf numFmtId="0" fontId="4" fillId="0" borderId="0" xfId="0" applyFont="1" applyFill="1" applyProtection="1"/>
    <xf numFmtId="0" fontId="4" fillId="0" borderId="42" xfId="0" applyFont="1" applyFill="1" applyBorder="1" applyAlignment="1" applyProtection="1">
      <alignment horizontal="center" vertical="center"/>
    </xf>
    <xf numFmtId="0" fontId="4" fillId="0" borderId="59" xfId="0" applyFont="1" applyBorder="1" applyAlignment="1" applyProtection="1">
      <alignment horizontal="center" vertical="center"/>
    </xf>
    <xf numFmtId="0" fontId="22" fillId="24" borderId="124" xfId="0" applyFont="1" applyFill="1" applyBorder="1" applyAlignment="1" applyProtection="1">
      <alignment horizontal="center" vertical="center"/>
    </xf>
    <xf numFmtId="0" fontId="23" fillId="0" borderId="0" xfId="0" applyFont="1" applyAlignment="1" applyProtection="1">
      <alignment vertical="center"/>
    </xf>
    <xf numFmtId="195" fontId="23" fillId="0" borderId="0" xfId="0" applyNumberFormat="1" applyFont="1" applyProtection="1"/>
    <xf numFmtId="0" fontId="23" fillId="0" borderId="133" xfId="0" applyFont="1" applyBorder="1" applyAlignment="1" applyProtection="1">
      <alignment horizontal="center" vertical="center" shrinkToFit="1"/>
    </xf>
    <xf numFmtId="0" fontId="0" fillId="0" borderId="0" xfId="0" applyFont="1" applyProtection="1"/>
    <xf numFmtId="196" fontId="0" fillId="0" borderId="0" xfId="0" applyNumberFormat="1" applyFont="1" applyProtection="1"/>
    <xf numFmtId="200" fontId="16" fillId="0" borderId="0" xfId="0" applyNumberFormat="1" applyFont="1" applyProtection="1"/>
    <xf numFmtId="38" fontId="9" fillId="0" borderId="0" xfId="2" applyFont="1" applyFill="1" applyBorder="1" applyAlignment="1" applyProtection="1">
      <alignment horizontal="center"/>
    </xf>
    <xf numFmtId="9" fontId="9" fillId="0" borderId="0" xfId="1" applyFont="1" applyFill="1" applyBorder="1" applyAlignment="1" applyProtection="1"/>
    <xf numFmtId="3" fontId="9" fillId="0" borderId="0" xfId="0" applyNumberFormat="1" applyFont="1" applyFill="1" applyProtection="1"/>
    <xf numFmtId="200" fontId="23" fillId="0" borderId="0" xfId="3" applyNumberFormat="1" applyFont="1" applyProtection="1"/>
    <xf numFmtId="38" fontId="23" fillId="0" borderId="0" xfId="2" applyFont="1" applyFill="1" applyBorder="1" applyAlignment="1" applyProtection="1"/>
    <xf numFmtId="38" fontId="23" fillId="0" borderId="0" xfId="2" applyFont="1" applyFill="1" applyBorder="1" applyAlignment="1" applyProtection="1">
      <alignment horizontal="center"/>
    </xf>
    <xf numFmtId="9" fontId="23" fillId="0" borderId="0" xfId="1" applyFont="1" applyFill="1" applyBorder="1" applyAlignment="1" applyProtection="1"/>
    <xf numFmtId="0" fontId="23" fillId="0" borderId="0" xfId="3" applyFont="1" applyFill="1" applyProtection="1"/>
    <xf numFmtId="200" fontId="15" fillId="0" borderId="0" xfId="3" applyNumberFormat="1" applyFont="1" applyProtection="1"/>
    <xf numFmtId="38" fontId="15" fillId="0" borderId="0" xfId="2" applyFont="1" applyFill="1" applyBorder="1" applyAlignment="1" applyProtection="1"/>
    <xf numFmtId="38" fontId="15" fillId="0" borderId="0" xfId="2" applyFont="1" applyFill="1" applyBorder="1" applyAlignment="1" applyProtection="1">
      <alignment horizontal="center"/>
    </xf>
    <xf numFmtId="9" fontId="15" fillId="0" borderId="0" xfId="1" applyFont="1" applyFill="1" applyBorder="1" applyAlignment="1" applyProtection="1"/>
    <xf numFmtId="0" fontId="15" fillId="0" borderId="0" xfId="3" applyFont="1" applyFill="1" applyProtection="1"/>
    <xf numFmtId="0" fontId="0" fillId="12" borderId="0" xfId="0" applyNumberFormat="1" applyFont="1" applyFill="1" applyAlignment="1">
      <alignment horizontal="left"/>
    </xf>
    <xf numFmtId="0" fontId="0" fillId="12" borderId="0" xfId="0" applyNumberFormat="1" applyFill="1"/>
    <xf numFmtId="0" fontId="0" fillId="12" borderId="0" xfId="0" applyFill="1"/>
    <xf numFmtId="0" fontId="0" fillId="12" borderId="0" xfId="0" applyFill="1" applyAlignment="1">
      <alignment horizontal="left"/>
    </xf>
    <xf numFmtId="0" fontId="21" fillId="12" borderId="0" xfId="0" applyFont="1" applyFill="1"/>
    <xf numFmtId="0" fontId="23" fillId="12" borderId="5" xfId="0" applyFont="1" applyFill="1" applyBorder="1" applyAlignment="1" applyProtection="1">
      <alignment vertical="center" shrinkToFit="1"/>
      <protection locked="0"/>
    </xf>
    <xf numFmtId="0" fontId="24" fillId="2" borderId="23" xfId="7" applyFont="1" applyFill="1" applyBorder="1" applyAlignment="1" applyProtection="1">
      <alignment vertical="center"/>
      <protection locked="0"/>
    </xf>
    <xf numFmtId="191" fontId="23" fillId="2" borderId="24" xfId="2" applyNumberFormat="1" applyFont="1" applyFill="1" applyBorder="1" applyAlignment="1" applyProtection="1">
      <alignment horizontal="right" vertical="center" shrinkToFit="1"/>
      <protection locked="0"/>
    </xf>
    <xf numFmtId="0" fontId="16" fillId="0" borderId="162"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shrinkToFit="1"/>
    </xf>
    <xf numFmtId="0" fontId="0" fillId="0" borderId="63" xfId="6" applyFont="1" applyBorder="1" applyAlignment="1" applyProtection="1">
      <alignment horizontal="justify" vertical="center" indent="1" shrinkToFit="1"/>
    </xf>
    <xf numFmtId="0" fontId="16" fillId="0" borderId="163" xfId="6" applyFont="1" applyBorder="1" applyAlignment="1" applyProtection="1">
      <alignment horizontal="center" vertical="center" textRotation="255" wrapText="1"/>
    </xf>
    <xf numFmtId="0" fontId="16" fillId="0" borderId="164" xfId="6" applyFont="1" applyBorder="1" applyAlignment="1" applyProtection="1">
      <alignment horizontal="center" vertical="center" textRotation="255" wrapText="1"/>
    </xf>
    <xf numFmtId="0" fontId="16" fillId="0" borderId="165" xfId="6" applyFont="1" applyBorder="1" applyAlignment="1" applyProtection="1">
      <alignment horizontal="center" vertical="center" textRotation="255" wrapText="1"/>
    </xf>
    <xf numFmtId="0" fontId="16" fillId="0" borderId="61" xfId="6" applyFont="1" applyBorder="1" applyAlignment="1" applyProtection="1">
      <alignment horizontal="justify" vertical="center" indent="1" shrinkToFit="1"/>
    </xf>
    <xf numFmtId="0" fontId="16" fillId="0" borderId="11" xfId="6" applyFont="1" applyBorder="1" applyAlignment="1" applyProtection="1">
      <alignment horizontal="justify" vertical="center" indent="1"/>
    </xf>
    <xf numFmtId="0" fontId="16" fillId="0" borderId="0" xfId="6" applyFont="1" applyBorder="1" applyAlignment="1" applyProtection="1">
      <alignment horizontal="left" vertical="center" indent="1"/>
    </xf>
    <xf numFmtId="0" fontId="0" fillId="0" borderId="61" xfId="6" applyFont="1" applyBorder="1" applyAlignment="1" applyProtection="1">
      <alignment horizontal="left" vertical="center" indent="1"/>
    </xf>
    <xf numFmtId="0" fontId="16" fillId="0" borderId="166" xfId="6" applyFont="1" applyBorder="1" applyAlignment="1" applyProtection="1">
      <alignment horizontal="center" vertical="center"/>
    </xf>
    <xf numFmtId="0" fontId="16" fillId="0" borderId="167" xfId="6" applyFont="1" applyBorder="1" applyAlignment="1" applyProtection="1">
      <alignment horizontal="center" vertical="center" textRotation="255" wrapText="1"/>
    </xf>
    <xf numFmtId="0" fontId="16" fillId="0" borderId="9" xfId="6" applyFont="1" applyBorder="1" applyAlignment="1" applyProtection="1">
      <alignment horizontal="center" vertical="center" textRotation="255" wrapText="1"/>
    </xf>
    <xf numFmtId="0" fontId="16" fillId="0" borderId="13" xfId="6" applyFont="1" applyBorder="1" applyAlignment="1" applyProtection="1">
      <alignment horizontal="center" vertical="center" textRotation="255" wrapText="1"/>
    </xf>
    <xf numFmtId="0" fontId="16" fillId="0" borderId="25" xfId="6" applyFont="1" applyBorder="1" applyAlignment="1" applyProtection="1">
      <alignment horizontal="center" vertical="center" textRotation="255" wrapText="1"/>
    </xf>
    <xf numFmtId="0" fontId="16" fillId="0" borderId="18" xfId="6" applyFont="1" applyBorder="1" applyAlignment="1" applyProtection="1">
      <alignment horizontal="justify" vertical="center" indent="1"/>
    </xf>
    <xf numFmtId="0" fontId="16" fillId="0" borderId="62" xfId="6" applyFont="1" applyBorder="1" applyAlignment="1" applyProtection="1">
      <alignment horizontal="justify" vertical="center" indent="1"/>
    </xf>
    <xf numFmtId="0" fontId="16" fillId="0" borderId="153" xfId="6" applyFont="1" applyBorder="1" applyAlignment="1" applyProtection="1">
      <alignment horizontal="center" vertical="center" textRotation="255" wrapText="1"/>
    </xf>
    <xf numFmtId="0" fontId="16" fillId="0" borderId="60" xfId="6" applyFont="1" applyBorder="1" applyAlignment="1" applyProtection="1">
      <alignment horizontal="center" vertical="center" textRotation="255" wrapText="1"/>
    </xf>
    <xf numFmtId="0" fontId="16" fillId="0" borderId="62" xfId="6" applyFont="1" applyBorder="1" applyAlignment="1" applyProtection="1">
      <alignment horizontal="center" vertical="center"/>
    </xf>
    <xf numFmtId="0" fontId="16" fillId="0" borderId="168" xfId="6" applyFont="1" applyBorder="1" applyAlignment="1" applyProtection="1">
      <alignment horizontal="justify" vertical="center" indent="1"/>
    </xf>
    <xf numFmtId="0" fontId="4" fillId="0" borderId="169" xfId="0" applyFont="1" applyBorder="1" applyAlignment="1" applyProtection="1">
      <alignment horizontal="center" vertical="center"/>
    </xf>
    <xf numFmtId="201" fontId="4" fillId="12" borderId="139" xfId="0" applyNumberFormat="1" applyFont="1" applyFill="1" applyBorder="1" applyAlignment="1" applyProtection="1">
      <alignment horizontal="center"/>
      <protection locked="0"/>
    </xf>
    <xf numFmtId="0" fontId="16" fillId="0" borderId="0" xfId="6" applyFont="1" applyBorder="1" applyAlignment="1" applyProtection="1">
      <alignment vertical="center"/>
    </xf>
    <xf numFmtId="184" fontId="16" fillId="0" borderId="0" xfId="6" applyNumberFormat="1" applyFont="1" applyBorder="1" applyAlignment="1" applyProtection="1">
      <alignment horizontal="right" vertical="center"/>
    </xf>
    <xf numFmtId="0" fontId="16" fillId="0" borderId="0" xfId="6" applyFont="1" applyAlignment="1" applyProtection="1">
      <alignment vertical="center"/>
    </xf>
    <xf numFmtId="0" fontId="23" fillId="0" borderId="0" xfId="6" applyFont="1" applyAlignment="1" applyProtection="1">
      <alignment vertical="center"/>
    </xf>
    <xf numFmtId="0" fontId="16" fillId="0" borderId="0" xfId="0" applyFont="1" applyAlignment="1" applyProtection="1">
      <alignment horizontal="left"/>
    </xf>
    <xf numFmtId="0" fontId="23" fillId="0" borderId="0" xfId="6" applyFont="1" applyAlignment="1" applyProtection="1">
      <alignment horizontal="left" vertical="center"/>
    </xf>
    <xf numFmtId="197" fontId="33" fillId="0" borderId="177" xfId="0" applyNumberFormat="1" applyFont="1" applyBorder="1" applyAlignment="1">
      <alignment vertical="center"/>
    </xf>
    <xf numFmtId="197" fontId="0" fillId="0" borderId="178" xfId="0" applyNumberFormat="1" applyFont="1" applyBorder="1" applyAlignment="1">
      <alignment horizontal="center" vertical="center"/>
    </xf>
    <xf numFmtId="197" fontId="0" fillId="0" borderId="177" xfId="0" applyNumberFormat="1" applyFont="1" applyBorder="1" applyAlignment="1">
      <alignment horizontal="center" vertical="center"/>
    </xf>
    <xf numFmtId="197" fontId="0" fillId="0" borderId="179" xfId="0" applyNumberFormat="1" applyFont="1" applyBorder="1" applyAlignment="1">
      <alignment horizontal="center" vertical="center"/>
    </xf>
    <xf numFmtId="197" fontId="0" fillId="0" borderId="180" xfId="0" applyNumberFormat="1" applyFont="1" applyBorder="1" applyAlignment="1">
      <alignment horizontal="center" vertical="center"/>
    </xf>
    <xf numFmtId="197" fontId="0" fillId="18" borderId="174" xfId="0" applyNumberFormat="1" applyFont="1" applyFill="1" applyBorder="1" applyAlignment="1">
      <alignment horizontal="center" vertical="center"/>
    </xf>
    <xf numFmtId="0" fontId="0" fillId="0" borderId="11" xfId="6" applyFont="1" applyBorder="1" applyAlignment="1" applyProtection="1">
      <alignment horizontal="left" vertical="center" indent="1"/>
    </xf>
    <xf numFmtId="0" fontId="9" fillId="16" borderId="195" xfId="3" applyNumberFormat="1" applyFont="1" applyFill="1" applyBorder="1" applyAlignment="1" applyProtection="1">
      <alignment horizontal="left" vertical="center"/>
    </xf>
    <xf numFmtId="181" fontId="23" fillId="18" borderId="196" xfId="3" applyNumberFormat="1" applyFont="1" applyFill="1" applyBorder="1" applyAlignment="1" applyProtection="1">
      <alignment vertical="center"/>
    </xf>
    <xf numFmtId="0" fontId="0" fillId="0" borderId="0" xfId="0" applyAlignment="1">
      <alignment vertical="center"/>
    </xf>
    <xf numFmtId="0" fontId="15" fillId="0" borderId="0" xfId="3" applyNumberFormat="1" applyFont="1" applyFill="1" applyBorder="1" applyProtection="1"/>
    <xf numFmtId="0" fontId="24" fillId="0" borderId="0" xfId="3" applyNumberFormat="1" applyFont="1" applyFill="1" applyBorder="1" applyAlignment="1" applyProtection="1">
      <alignment horizontal="right"/>
    </xf>
    <xf numFmtId="0" fontId="16" fillId="0" borderId="0" xfId="0" applyFont="1" applyFill="1" applyProtection="1"/>
    <xf numFmtId="3" fontId="23" fillId="18" borderId="94" xfId="3" applyNumberFormat="1" applyFont="1" applyFill="1" applyBorder="1" applyAlignment="1" applyProtection="1">
      <alignment vertical="center"/>
    </xf>
    <xf numFmtId="3" fontId="23" fillId="0" borderId="85" xfId="3" applyNumberFormat="1" applyFont="1" applyFill="1" applyBorder="1" applyAlignment="1" applyProtection="1">
      <alignment vertical="center"/>
    </xf>
    <xf numFmtId="3" fontId="23" fillId="0" borderId="47" xfId="3" applyNumberFormat="1" applyFont="1" applyFill="1" applyBorder="1" applyAlignment="1" applyProtection="1">
      <alignment vertical="center"/>
    </xf>
    <xf numFmtId="3" fontId="23" fillId="0" borderId="100" xfId="3" applyNumberFormat="1" applyFont="1" applyFill="1" applyBorder="1" applyAlignment="1" applyProtection="1">
      <alignment vertical="center"/>
    </xf>
    <xf numFmtId="181" fontId="23" fillId="0" borderId="42" xfId="3" applyNumberFormat="1" applyFont="1" applyFill="1" applyBorder="1" applyAlignment="1" applyProtection="1">
      <alignment vertical="center"/>
    </xf>
    <xf numFmtId="3" fontId="23" fillId="0" borderId="42" xfId="3" applyNumberFormat="1" applyFont="1" applyFill="1" applyBorder="1" applyAlignment="1" applyProtection="1">
      <alignment vertical="center"/>
    </xf>
    <xf numFmtId="181" fontId="30" fillId="0" borderId="47" xfId="3" applyNumberFormat="1" applyFont="1" applyFill="1" applyBorder="1" applyAlignment="1" applyProtection="1">
      <alignment vertical="center"/>
    </xf>
    <xf numFmtId="3" fontId="30" fillId="0" borderId="47" xfId="3" applyNumberFormat="1" applyFont="1" applyFill="1" applyBorder="1" applyAlignment="1" applyProtection="1">
      <alignment vertical="center"/>
    </xf>
    <xf numFmtId="4" fontId="23" fillId="0" borderId="85" xfId="3" applyNumberFormat="1" applyFont="1" applyFill="1" applyBorder="1" applyAlignment="1" applyProtection="1">
      <alignment vertical="center"/>
    </xf>
    <xf numFmtId="4" fontId="23" fillId="0" borderId="47" xfId="3" applyNumberFormat="1" applyFont="1" applyFill="1" applyBorder="1" applyAlignment="1" applyProtection="1">
      <alignment vertical="center"/>
    </xf>
    <xf numFmtId="4" fontId="23" fillId="0" borderId="100" xfId="3" applyNumberFormat="1" applyFont="1" applyFill="1" applyBorder="1" applyAlignment="1" applyProtection="1">
      <alignment vertical="center"/>
    </xf>
    <xf numFmtId="198" fontId="23" fillId="0" borderId="85" xfId="3" applyNumberFormat="1" applyFont="1" applyFill="1" applyBorder="1" applyAlignment="1" applyProtection="1">
      <alignment vertical="center"/>
    </xf>
    <xf numFmtId="198" fontId="23" fillId="0" borderId="47" xfId="3" applyNumberFormat="1" applyFont="1" applyFill="1" applyBorder="1" applyAlignment="1" applyProtection="1">
      <alignment vertical="center"/>
    </xf>
    <xf numFmtId="198" fontId="23" fillId="0" borderId="100" xfId="3" applyNumberFormat="1" applyFont="1" applyFill="1" applyBorder="1" applyAlignment="1" applyProtection="1">
      <alignment vertical="center"/>
    </xf>
    <xf numFmtId="38" fontId="16" fillId="12" borderId="169" xfId="2" applyFill="1" applyBorder="1" applyAlignment="1" applyProtection="1">
      <alignment vertical="center"/>
      <protection locked="0"/>
    </xf>
    <xf numFmtId="38" fontId="16" fillId="12" borderId="170" xfId="2" applyFill="1" applyBorder="1" applyAlignment="1" applyProtection="1">
      <alignment vertical="center"/>
      <protection locked="0"/>
    </xf>
    <xf numFmtId="38" fontId="16" fillId="0" borderId="171" xfId="2" applyBorder="1" applyAlignment="1">
      <alignment vertical="center"/>
    </xf>
    <xf numFmtId="38" fontId="16" fillId="12" borderId="141" xfId="2" applyFill="1" applyBorder="1" applyAlignment="1" applyProtection="1">
      <alignment vertical="center"/>
      <protection locked="0"/>
    </xf>
    <xf numFmtId="38" fontId="16" fillId="12" borderId="117" xfId="2" applyFill="1" applyBorder="1" applyAlignment="1" applyProtection="1">
      <alignment vertical="center"/>
      <protection locked="0"/>
    </xf>
    <xf numFmtId="38" fontId="16" fillId="0" borderId="134" xfId="2" applyBorder="1" applyAlignment="1">
      <alignment vertical="center"/>
    </xf>
    <xf numFmtId="38" fontId="16" fillId="0" borderId="134" xfId="2" applyBorder="1" applyAlignment="1">
      <alignment horizontal="right" vertical="center"/>
    </xf>
    <xf numFmtId="38" fontId="16" fillId="12" borderId="139" xfId="2" applyFill="1" applyBorder="1" applyAlignment="1" applyProtection="1">
      <alignment vertical="center"/>
      <protection locked="0"/>
    </xf>
    <xf numFmtId="38" fontId="16" fillId="12" borderId="172" xfId="2" applyFill="1" applyBorder="1" applyAlignment="1" applyProtection="1">
      <alignment vertical="center"/>
      <protection locked="0"/>
    </xf>
    <xf numFmtId="38" fontId="16" fillId="0" borderId="140" xfId="2" applyBorder="1" applyAlignment="1">
      <alignment horizontal="right" vertical="center"/>
    </xf>
    <xf numFmtId="38" fontId="16" fillId="18" borderId="185" xfId="2" applyFill="1" applyBorder="1" applyAlignment="1">
      <alignment vertical="center"/>
    </xf>
    <xf numFmtId="38" fontId="16" fillId="18" borderId="186" xfId="2" applyFill="1" applyBorder="1" applyAlignment="1">
      <alignment horizontal="right" vertical="center"/>
    </xf>
    <xf numFmtId="38" fontId="16" fillId="18" borderId="187" xfId="2" applyFill="1" applyBorder="1" applyAlignment="1">
      <alignment horizontal="right" vertical="center"/>
    </xf>
    <xf numFmtId="38" fontId="16" fillId="18" borderId="173" xfId="2" applyFill="1" applyBorder="1" applyAlignment="1">
      <alignment horizontal="right" vertical="center"/>
    </xf>
    <xf numFmtId="38" fontId="16" fillId="12" borderId="181" xfId="2" applyFill="1" applyBorder="1" applyAlignment="1" applyProtection="1">
      <alignment vertical="center"/>
      <protection locked="0"/>
    </xf>
    <xf numFmtId="38" fontId="16" fillId="12" borderId="188" xfId="2" applyFill="1" applyBorder="1" applyAlignment="1" applyProtection="1">
      <alignment vertical="center"/>
      <protection locked="0"/>
    </xf>
    <xf numFmtId="38" fontId="16" fillId="0" borderId="181" xfId="2" applyBorder="1" applyAlignment="1">
      <alignment vertical="center"/>
    </xf>
    <xf numFmtId="38" fontId="16" fillId="12" borderId="182" xfId="2" applyFill="1" applyBorder="1" applyAlignment="1" applyProtection="1">
      <alignment vertical="center"/>
      <protection locked="0"/>
    </xf>
    <xf numFmtId="38" fontId="16" fillId="12" borderId="189" xfId="2" applyFill="1" applyBorder="1" applyAlignment="1" applyProtection="1">
      <alignment vertical="center"/>
      <protection locked="0"/>
    </xf>
    <xf numFmtId="38" fontId="16" fillId="0" borderId="191" xfId="2" applyBorder="1" applyAlignment="1">
      <alignment vertical="center"/>
    </xf>
    <xf numFmtId="38" fontId="16" fillId="12" borderId="190" xfId="2" applyFill="1" applyBorder="1" applyAlignment="1" applyProtection="1">
      <alignment vertical="center"/>
      <protection locked="0"/>
    </xf>
    <xf numFmtId="38" fontId="16" fillId="0" borderId="192" xfId="2" applyBorder="1" applyAlignment="1">
      <alignment vertical="center"/>
    </xf>
    <xf numFmtId="9" fontId="9" fillId="2" borderId="24" xfId="1" applyFont="1" applyFill="1" applyBorder="1" applyAlignment="1" applyProtection="1">
      <alignment vertical="center"/>
      <protection locked="0"/>
    </xf>
    <xf numFmtId="9" fontId="9" fillId="2" borderId="23" xfId="1" applyFont="1" applyFill="1" applyBorder="1" applyAlignment="1" applyProtection="1">
      <alignment vertical="center"/>
      <protection locked="0"/>
    </xf>
    <xf numFmtId="179" fontId="16" fillId="18" borderId="184" xfId="2" applyNumberFormat="1" applyFill="1" applyBorder="1" applyAlignment="1">
      <alignment vertical="center"/>
    </xf>
    <xf numFmtId="0" fontId="0" fillId="24" borderId="0" xfId="0" applyFill="1"/>
    <xf numFmtId="0" fontId="0" fillId="24" borderId="0" xfId="0" applyFill="1" applyBorder="1"/>
    <xf numFmtId="0" fontId="21" fillId="0" borderId="0" xfId="0" applyFont="1"/>
    <xf numFmtId="0" fontId="38" fillId="0" borderId="0" xfId="0" applyFont="1"/>
    <xf numFmtId="0" fontId="0" fillId="0" borderId="0" xfId="0" applyAlignment="1">
      <alignment horizontal="center" shrinkToFit="1"/>
    </xf>
    <xf numFmtId="57" fontId="0" fillId="0" borderId="0" xfId="0" applyNumberFormat="1"/>
    <xf numFmtId="3" fontId="0" fillId="0" borderId="0" xfId="0" applyNumberFormat="1"/>
    <xf numFmtId="191" fontId="0" fillId="0" borderId="0" xfId="0" applyNumberFormat="1"/>
    <xf numFmtId="203" fontId="0" fillId="0" borderId="0" xfId="0" applyNumberFormat="1"/>
    <xf numFmtId="204" fontId="0" fillId="0" borderId="0" xfId="0" applyNumberFormat="1"/>
    <xf numFmtId="205" fontId="0" fillId="0" borderId="0" xfId="0" applyNumberFormat="1"/>
    <xf numFmtId="0" fontId="0" fillId="0" borderId="0" xfId="0" applyAlignment="1">
      <alignment shrinkToFit="1"/>
    </xf>
    <xf numFmtId="191" fontId="0" fillId="0" borderId="0" xfId="0" applyNumberFormat="1" applyBorder="1"/>
    <xf numFmtId="206" fontId="0" fillId="0" borderId="0" xfId="0" applyNumberFormat="1" applyBorder="1" applyAlignment="1">
      <alignment shrinkToFit="1"/>
    </xf>
    <xf numFmtId="0" fontId="0" fillId="0" borderId="0" xfId="0" applyAlignment="1">
      <alignment horizontal="right"/>
    </xf>
    <xf numFmtId="207" fontId="0" fillId="0" borderId="0" xfId="0" applyNumberFormat="1"/>
    <xf numFmtId="191" fontId="0" fillId="0" borderId="0" xfId="0" applyNumberFormat="1" applyFont="1" applyAlignment="1">
      <alignment horizontal="right"/>
    </xf>
    <xf numFmtId="57" fontId="0" fillId="0" borderId="0" xfId="0" applyNumberFormat="1" applyAlignment="1"/>
    <xf numFmtId="191" fontId="0" fillId="0" borderId="0" xfId="0" applyNumberFormat="1" applyAlignment="1"/>
    <xf numFmtId="191" fontId="21" fillId="0" borderId="0" xfId="0" applyNumberFormat="1" applyFont="1"/>
    <xf numFmtId="191" fontId="21" fillId="0" borderId="0" xfId="0" applyNumberFormat="1" applyFont="1" applyAlignment="1">
      <alignment horizontal="center"/>
    </xf>
    <xf numFmtId="191" fontId="0" fillId="0" borderId="0" xfId="0" applyNumberFormat="1" applyAlignment="1">
      <alignment shrinkToFit="1"/>
    </xf>
    <xf numFmtId="206" fontId="21" fillId="0" borderId="0" xfId="0" applyNumberFormat="1" applyFont="1"/>
    <xf numFmtId="191" fontId="21" fillId="0" borderId="0" xfId="0" applyNumberFormat="1" applyFont="1" applyAlignment="1">
      <alignment horizontal="right"/>
    </xf>
    <xf numFmtId="0" fontId="21" fillId="0" borderId="0" xfId="0" applyFont="1" applyAlignment="1">
      <alignment horizontal="right"/>
    </xf>
    <xf numFmtId="0" fontId="21" fillId="0" borderId="0" xfId="0" applyFont="1" applyAlignment="1">
      <alignment horizontal="center"/>
    </xf>
    <xf numFmtId="204" fontId="21" fillId="0" borderId="0" xfId="0" applyNumberFormat="1" applyFont="1"/>
    <xf numFmtId="0" fontId="0" fillId="0" borderId="0" xfId="0" applyAlignment="1">
      <alignment horizontal="center" vertical="center"/>
    </xf>
    <xf numFmtId="208" fontId="0" fillId="0" borderId="0" xfId="0" applyNumberFormat="1"/>
    <xf numFmtId="196" fontId="0" fillId="0" borderId="0" xfId="0" applyNumberFormat="1" applyAlignment="1">
      <alignment horizontal="left"/>
    </xf>
    <xf numFmtId="206" fontId="0" fillId="0" borderId="0" xfId="0" applyNumberFormat="1" applyAlignment="1"/>
    <xf numFmtId="206" fontId="21" fillId="0" borderId="0" xfId="0" applyNumberFormat="1" applyFont="1" applyAlignment="1"/>
    <xf numFmtId="0" fontId="0" fillId="24" borderId="200" xfId="0" applyFill="1" applyBorder="1"/>
    <xf numFmtId="0" fontId="0" fillId="24" borderId="201" xfId="0" applyFill="1" applyBorder="1"/>
    <xf numFmtId="0" fontId="0" fillId="24" borderId="202" xfId="0" applyFill="1" applyBorder="1"/>
    <xf numFmtId="0" fontId="0" fillId="0" borderId="0" xfId="0" applyAlignment="1"/>
    <xf numFmtId="0" fontId="0" fillId="24" borderId="203" xfId="0" applyFill="1" applyBorder="1"/>
    <xf numFmtId="0" fontId="0" fillId="24" borderId="204" xfId="0" applyFill="1" applyBorder="1"/>
    <xf numFmtId="0" fontId="0" fillId="24" borderId="0" xfId="0" applyFill="1" applyBorder="1" applyAlignment="1">
      <alignment horizontal="center"/>
    </xf>
    <xf numFmtId="0" fontId="0" fillId="24" borderId="205" xfId="0" applyFill="1" applyBorder="1"/>
    <xf numFmtId="0" fontId="0" fillId="24" borderId="206" xfId="0" applyFill="1" applyBorder="1"/>
    <xf numFmtId="0" fontId="0" fillId="24" borderId="207" xfId="0" applyFill="1" applyBorder="1"/>
    <xf numFmtId="0" fontId="0" fillId="0" borderId="208" xfId="0" applyBorder="1"/>
    <xf numFmtId="0" fontId="0" fillId="0" borderId="209" xfId="0" applyBorder="1"/>
    <xf numFmtId="0" fontId="0" fillId="0" borderId="0" xfId="0" applyFill="1" applyBorder="1" applyAlignment="1">
      <alignment horizontal="center"/>
    </xf>
    <xf numFmtId="196" fontId="0" fillId="22" borderId="0" xfId="0" applyNumberFormat="1" applyFill="1"/>
    <xf numFmtId="196" fontId="0" fillId="26" borderId="0" xfId="0" applyNumberFormat="1" applyFill="1"/>
    <xf numFmtId="204" fontId="0" fillId="22" borderId="0" xfId="0" applyNumberFormat="1" applyFill="1"/>
    <xf numFmtId="205" fontId="0" fillId="22" borderId="0" xfId="0" applyNumberFormat="1" applyFill="1"/>
    <xf numFmtId="196" fontId="0" fillId="0" borderId="0" xfId="0" applyNumberFormat="1"/>
    <xf numFmtId="204" fontId="0" fillId="26" borderId="0" xfId="0" applyNumberFormat="1" applyFill="1"/>
    <xf numFmtId="205" fontId="0" fillId="26" borderId="0" xfId="0" applyNumberFormat="1" applyFill="1"/>
    <xf numFmtId="198" fontId="9" fillId="0" borderId="23" xfId="7" applyNumberFormat="1" applyFont="1" applyBorder="1" applyAlignment="1" applyProtection="1">
      <alignment vertical="center"/>
    </xf>
    <xf numFmtId="197" fontId="0" fillId="0" borderId="175" xfId="0" applyNumberFormat="1" applyBorder="1" applyAlignment="1">
      <alignment horizontal="center" vertical="center"/>
    </xf>
    <xf numFmtId="197" fontId="0" fillId="0" borderId="176" xfId="0" applyNumberFormat="1" applyBorder="1" applyAlignment="1">
      <alignment horizontal="center" vertical="center"/>
    </xf>
    <xf numFmtId="197" fontId="0" fillId="0" borderId="136" xfId="0" applyNumberFormat="1" applyFont="1" applyBorder="1" applyAlignment="1">
      <alignment horizontal="center" vertical="center" shrinkToFit="1"/>
    </xf>
    <xf numFmtId="0" fontId="7" fillId="0" borderId="210" xfId="4" applyFont="1" applyFill="1" applyBorder="1" applyAlignment="1"/>
    <xf numFmtId="0" fontId="23" fillId="25" borderId="211" xfId="3" applyNumberFormat="1" applyFont="1" applyFill="1" applyBorder="1" applyAlignment="1" applyProtection="1">
      <alignment horizontal="center" vertical="center"/>
    </xf>
    <xf numFmtId="0" fontId="12" fillId="2" borderId="212" xfId="3" applyNumberFormat="1" applyFont="1" applyFill="1" applyBorder="1" applyAlignment="1" applyProtection="1">
      <alignment horizontal="center" vertical="center"/>
    </xf>
    <xf numFmtId="0" fontId="12" fillId="2" borderId="213" xfId="3" applyNumberFormat="1" applyFont="1" applyFill="1" applyBorder="1" applyAlignment="1" applyProtection="1">
      <alignment horizontal="center" vertical="center"/>
    </xf>
    <xf numFmtId="0" fontId="12" fillId="3" borderId="213" xfId="3" applyNumberFormat="1" applyFont="1" applyFill="1" applyBorder="1" applyAlignment="1" applyProtection="1">
      <alignment horizontal="center" vertical="center"/>
    </xf>
    <xf numFmtId="200" fontId="12" fillId="2" borderId="213" xfId="3" applyNumberFormat="1" applyFont="1" applyFill="1" applyBorder="1" applyAlignment="1" applyProtection="1">
      <alignment horizontal="center" vertical="center"/>
    </xf>
    <xf numFmtId="0" fontId="27" fillId="2" borderId="213" xfId="3" applyNumberFormat="1" applyFont="1" applyFill="1" applyBorder="1" applyAlignment="1" applyProtection="1">
      <alignment horizontal="center" vertical="center" shrinkToFit="1"/>
    </xf>
    <xf numFmtId="0" fontId="12" fillId="0" borderId="214" xfId="3" applyNumberFormat="1" applyFont="1" applyFill="1" applyBorder="1" applyAlignment="1" applyProtection="1">
      <alignment horizontal="center" vertical="center"/>
    </xf>
    <xf numFmtId="38" fontId="28" fillId="4" borderId="213" xfId="2" applyFont="1" applyFill="1" applyBorder="1" applyAlignment="1" applyProtection="1">
      <alignment horizontal="center" vertical="center"/>
    </xf>
    <xf numFmtId="38" fontId="28" fillId="3" borderId="213" xfId="2" applyFont="1" applyFill="1" applyBorder="1" applyAlignment="1" applyProtection="1">
      <alignment horizontal="center" vertical="center"/>
    </xf>
    <xf numFmtId="38" fontId="29" fillId="10" borderId="213" xfId="2" applyFont="1" applyFill="1" applyBorder="1" applyAlignment="1" applyProtection="1">
      <alignment horizontal="center" vertical="center"/>
    </xf>
    <xf numFmtId="38" fontId="28" fillId="4" borderId="214" xfId="2" applyFont="1" applyFill="1" applyBorder="1" applyAlignment="1" applyProtection="1">
      <alignment horizontal="center" vertical="center"/>
    </xf>
    <xf numFmtId="9" fontId="28" fillId="4" borderId="215" xfId="1" applyFont="1" applyFill="1" applyBorder="1" applyAlignment="1" applyProtection="1">
      <alignment horizontal="center" vertical="center"/>
    </xf>
    <xf numFmtId="9" fontId="28" fillId="4" borderId="213" xfId="1" applyFont="1" applyFill="1" applyBorder="1" applyAlignment="1" applyProtection="1">
      <alignment horizontal="center" vertical="center"/>
    </xf>
    <xf numFmtId="9" fontId="28" fillId="4" borderId="216" xfId="1" applyFont="1" applyFill="1" applyBorder="1" applyAlignment="1" applyProtection="1">
      <alignment horizontal="center" vertical="center"/>
    </xf>
    <xf numFmtId="0" fontId="28" fillId="10" borderId="217" xfId="3" applyNumberFormat="1" applyFont="1" applyFill="1" applyBorder="1" applyAlignment="1" applyProtection="1">
      <alignment horizontal="center" vertical="center"/>
    </xf>
    <xf numFmtId="0" fontId="28" fillId="10" borderId="214" xfId="3" applyNumberFormat="1" applyFont="1" applyFill="1" applyBorder="1" applyAlignment="1" applyProtection="1">
      <alignment horizontal="center" vertical="center"/>
    </xf>
    <xf numFmtId="0" fontId="24" fillId="0" borderId="0" xfId="3" applyNumberFormat="1" applyFont="1" applyBorder="1" applyAlignment="1" applyProtection="1">
      <alignment shrinkToFit="1"/>
    </xf>
    <xf numFmtId="0" fontId="12" fillId="2" borderId="218" xfId="3" applyNumberFormat="1" applyFont="1" applyFill="1" applyBorder="1" applyAlignment="1" applyProtection="1">
      <alignment horizontal="center" vertical="center" shrinkToFit="1"/>
    </xf>
    <xf numFmtId="0" fontId="24" fillId="2" borderId="90" xfId="3" applyNumberFormat="1" applyFont="1" applyFill="1" applyBorder="1" applyAlignment="1" applyProtection="1">
      <alignment vertical="center" shrinkToFit="1"/>
      <protection locked="0"/>
    </xf>
    <xf numFmtId="0" fontId="24" fillId="2" borderId="113" xfId="3" applyNumberFormat="1" applyFont="1" applyFill="1" applyBorder="1" applyAlignment="1" applyProtection="1">
      <alignment vertical="center" shrinkToFit="1"/>
      <protection locked="0"/>
    </xf>
    <xf numFmtId="0" fontId="24" fillId="2" borderId="105" xfId="3" applyNumberFormat="1" applyFont="1" applyFill="1" applyBorder="1" applyAlignment="1" applyProtection="1">
      <alignment vertical="center" shrinkToFit="1"/>
      <protection locked="0"/>
    </xf>
    <xf numFmtId="182" fontId="24" fillId="16" borderId="99" xfId="3" applyNumberFormat="1" applyFont="1" applyFill="1" applyBorder="1" applyAlignment="1" applyProtection="1">
      <alignment vertical="center" shrinkToFit="1"/>
    </xf>
    <xf numFmtId="182" fontId="24" fillId="2" borderId="90" xfId="3" applyNumberFormat="1" applyFont="1" applyFill="1" applyBorder="1" applyAlignment="1" applyProtection="1">
      <alignment vertical="center" shrinkToFit="1"/>
      <protection locked="0"/>
    </xf>
    <xf numFmtId="182" fontId="24" fillId="2" borderId="92" xfId="3" applyNumberFormat="1" applyFont="1" applyFill="1" applyBorder="1" applyAlignment="1" applyProtection="1">
      <alignment vertical="center" shrinkToFit="1"/>
      <protection locked="0"/>
    </xf>
    <xf numFmtId="182" fontId="24" fillId="2" borderId="105" xfId="3" applyNumberFormat="1" applyFont="1" applyFill="1" applyBorder="1" applyAlignment="1" applyProtection="1">
      <alignment vertical="center" shrinkToFit="1"/>
      <protection locked="0"/>
    </xf>
    <xf numFmtId="182" fontId="24" fillId="2" borderId="113" xfId="3" applyNumberFormat="1" applyFont="1" applyFill="1" applyBorder="1" applyAlignment="1" applyProtection="1">
      <alignment vertical="center" shrinkToFit="1"/>
      <protection locked="0"/>
    </xf>
    <xf numFmtId="182" fontId="32" fillId="2" borderId="113" xfId="3" applyNumberFormat="1" applyFont="1" applyFill="1" applyBorder="1" applyAlignment="1" applyProtection="1">
      <alignment vertical="center" shrinkToFit="1"/>
      <protection locked="0"/>
    </xf>
    <xf numFmtId="0" fontId="23" fillId="0" borderId="0" xfId="3" applyFont="1" applyAlignment="1" applyProtection="1">
      <alignment shrinkToFit="1"/>
    </xf>
    <xf numFmtId="0" fontId="15" fillId="0" borderId="0" xfId="3" applyFont="1" applyAlignment="1" applyProtection="1">
      <alignment shrinkToFit="1"/>
    </xf>
    <xf numFmtId="182" fontId="9" fillId="12" borderId="100" xfId="3" applyNumberFormat="1" applyFont="1" applyFill="1" applyBorder="1" applyAlignment="1" applyProtection="1">
      <alignment vertical="center"/>
      <protection locked="0"/>
    </xf>
    <xf numFmtId="0" fontId="0" fillId="3" borderId="38" xfId="0" applyFont="1" applyFill="1" applyBorder="1" applyAlignment="1" applyProtection="1">
      <alignment shrinkToFit="1"/>
      <protection locked="0"/>
    </xf>
    <xf numFmtId="0" fontId="0" fillId="3" borderId="2" xfId="0" applyFont="1" applyFill="1" applyBorder="1" applyAlignment="1" applyProtection="1">
      <alignment shrinkToFit="1"/>
      <protection locked="0"/>
    </xf>
    <xf numFmtId="0" fontId="0" fillId="7" borderId="15" xfId="0" applyFill="1" applyBorder="1" applyAlignment="1" applyProtection="1">
      <alignment shrinkToFit="1"/>
      <protection locked="0"/>
    </xf>
    <xf numFmtId="0" fontId="0" fillId="7" borderId="15" xfId="0" applyFont="1" applyFill="1" applyBorder="1" applyAlignment="1" applyProtection="1">
      <alignment shrinkToFit="1"/>
      <protection locked="0"/>
    </xf>
    <xf numFmtId="0" fontId="0" fillId="7" borderId="2" xfId="0" applyFill="1" applyBorder="1" applyAlignment="1" applyProtection="1">
      <alignment shrinkToFit="1"/>
      <protection locked="0"/>
    </xf>
    <xf numFmtId="0" fontId="0" fillId="7" borderId="2" xfId="0" applyFont="1" applyFill="1" applyBorder="1" applyAlignment="1" applyProtection="1">
      <alignment shrinkToFit="1"/>
      <protection locked="0"/>
    </xf>
    <xf numFmtId="0" fontId="21" fillId="7" borderId="2" xfId="0" applyFont="1" applyFill="1" applyBorder="1" applyAlignment="1" applyProtection="1">
      <alignment shrinkToFit="1"/>
      <protection locked="0"/>
    </xf>
    <xf numFmtId="0" fontId="0" fillId="14" borderId="38" xfId="0" applyFont="1" applyFill="1" applyBorder="1" applyAlignment="1" applyProtection="1">
      <alignment shrinkToFit="1"/>
      <protection locked="0"/>
    </xf>
    <xf numFmtId="0" fontId="0" fillId="14" borderId="2" xfId="0" applyFont="1" applyFill="1" applyBorder="1" applyAlignment="1" applyProtection="1">
      <alignment shrinkToFit="1"/>
      <protection locked="0"/>
    </xf>
    <xf numFmtId="0" fontId="0" fillId="3" borderId="82" xfId="0" applyFill="1" applyBorder="1" applyAlignment="1" applyProtection="1">
      <alignment shrinkToFit="1"/>
      <protection locked="0"/>
    </xf>
    <xf numFmtId="0" fontId="0" fillId="3" borderId="8" xfId="0" applyFill="1" applyBorder="1" applyAlignment="1" applyProtection="1">
      <alignment shrinkToFit="1"/>
      <protection locked="0"/>
    </xf>
    <xf numFmtId="0" fontId="0" fillId="7" borderId="8" xfId="0" applyFill="1" applyBorder="1" applyAlignment="1" applyProtection="1">
      <alignment shrinkToFit="1"/>
      <protection locked="0"/>
    </xf>
    <xf numFmtId="0" fontId="0" fillId="3" borderId="38" xfId="0" applyFill="1" applyBorder="1" applyAlignment="1" applyProtection="1">
      <alignment shrinkToFit="1"/>
      <protection locked="0"/>
    </xf>
    <xf numFmtId="0" fontId="0" fillId="3" borderId="2" xfId="0" applyFill="1" applyBorder="1" applyAlignment="1" applyProtection="1">
      <alignment shrinkToFit="1"/>
      <protection locked="0"/>
    </xf>
    <xf numFmtId="0" fontId="0" fillId="3" borderId="80" xfId="0" applyFill="1" applyBorder="1" applyAlignment="1" applyProtection="1">
      <alignment shrinkToFit="1"/>
      <protection locked="0"/>
    </xf>
    <xf numFmtId="0" fontId="0" fillId="3" borderId="74" xfId="0" applyFill="1" applyBorder="1" applyAlignment="1" applyProtection="1">
      <alignment shrinkToFit="1"/>
      <protection locked="0"/>
    </xf>
    <xf numFmtId="0" fontId="0" fillId="7" borderId="74" xfId="0" applyFill="1" applyBorder="1" applyAlignment="1" applyProtection="1">
      <alignment shrinkToFit="1"/>
      <protection locked="0"/>
    </xf>
    <xf numFmtId="0" fontId="39" fillId="0" borderId="0" xfId="0" applyFont="1" applyProtection="1"/>
    <xf numFmtId="0" fontId="39" fillId="0" borderId="0" xfId="0" applyFont="1" applyAlignment="1" applyProtection="1">
      <alignment horizontal="center" vertical="center" wrapText="1"/>
    </xf>
    <xf numFmtId="0" fontId="7" fillId="5" borderId="194" xfId="5" applyFont="1" applyFill="1" applyBorder="1" applyAlignment="1">
      <alignment horizontal="center"/>
    </xf>
    <xf numFmtId="182" fontId="24" fillId="2" borderId="90" xfId="3" applyNumberFormat="1" applyFont="1" applyFill="1" applyBorder="1" applyAlignment="1" applyProtection="1">
      <alignment vertical="center"/>
      <protection locked="0"/>
    </xf>
    <xf numFmtId="182" fontId="24" fillId="2" borderId="113" xfId="3" applyNumberFormat="1" applyFont="1" applyFill="1" applyBorder="1" applyAlignment="1" applyProtection="1">
      <alignment vertical="center"/>
      <protection locked="0"/>
    </xf>
    <xf numFmtId="182" fontId="24" fillId="2" borderId="105" xfId="3" applyNumberFormat="1" applyFont="1" applyFill="1" applyBorder="1" applyAlignment="1" applyProtection="1">
      <alignment vertical="center"/>
      <protection locked="0"/>
    </xf>
    <xf numFmtId="9" fontId="23" fillId="16" borderId="222" xfId="1" applyFont="1" applyFill="1" applyBorder="1" applyAlignment="1" applyProtection="1">
      <alignment vertical="center"/>
    </xf>
    <xf numFmtId="181" fontId="23" fillId="18" borderId="223" xfId="3" applyNumberFormat="1" applyFont="1" applyFill="1" applyBorder="1" applyAlignment="1" applyProtection="1">
      <alignment vertical="center"/>
    </xf>
    <xf numFmtId="182" fontId="24" fillId="16" borderId="224" xfId="3" applyNumberFormat="1" applyFont="1" applyFill="1" applyBorder="1" applyAlignment="1" applyProtection="1">
      <alignment vertical="center"/>
    </xf>
    <xf numFmtId="0" fontId="0" fillId="0" borderId="173" xfId="0" applyBorder="1" applyAlignment="1">
      <alignment vertical="center"/>
    </xf>
    <xf numFmtId="0" fontId="0" fillId="0" borderId="173" xfId="0" applyFont="1" applyBorder="1" applyAlignment="1">
      <alignment vertical="center"/>
    </xf>
    <xf numFmtId="0" fontId="0" fillId="12" borderId="197" xfId="0" applyFont="1" applyFill="1" applyBorder="1" applyAlignment="1" applyProtection="1">
      <alignment vertical="center"/>
      <protection locked="0"/>
    </xf>
    <xf numFmtId="206" fontId="0" fillId="12" borderId="198" xfId="0" applyNumberFormat="1" applyFont="1" applyFill="1" applyBorder="1" applyAlignment="1" applyProtection="1">
      <alignment vertical="center"/>
      <protection locked="0"/>
    </xf>
    <xf numFmtId="9" fontId="16" fillId="12" borderId="197" xfId="1" applyFill="1" applyBorder="1" applyAlignment="1" applyProtection="1">
      <alignment horizontal="center" vertical="center"/>
      <protection locked="0"/>
    </xf>
    <xf numFmtId="0" fontId="23" fillId="0" borderId="225" xfId="0" applyFont="1" applyBorder="1" applyAlignment="1" applyProtection="1">
      <alignment horizontal="center" vertical="center" shrinkToFit="1"/>
    </xf>
    <xf numFmtId="0" fontId="23" fillId="0" borderId="197" xfId="0" applyFont="1" applyBorder="1" applyAlignment="1" applyProtection="1">
      <alignment horizontal="center" shrinkToFit="1"/>
    </xf>
    <xf numFmtId="209" fontId="40" fillId="0" borderId="127" xfId="0" applyNumberFormat="1" applyFont="1" applyBorder="1" applyAlignment="1" applyProtection="1">
      <alignment vertical="center" shrinkToFit="1"/>
    </xf>
    <xf numFmtId="209" fontId="40" fillId="0" borderId="128" xfId="0" applyNumberFormat="1" applyFont="1" applyBorder="1" applyAlignment="1" applyProtection="1">
      <alignment vertical="center" shrinkToFit="1"/>
    </xf>
    <xf numFmtId="209" fontId="40" fillId="0" borderId="129" xfId="0" applyNumberFormat="1" applyFont="1" applyBorder="1" applyAlignment="1" applyProtection="1">
      <alignment vertical="center" shrinkToFit="1"/>
    </xf>
    <xf numFmtId="209" fontId="40" fillId="0" borderId="130" xfId="0" applyNumberFormat="1" applyFont="1" applyBorder="1" applyAlignment="1" applyProtection="1">
      <alignment vertical="center" shrinkToFit="1"/>
    </xf>
    <xf numFmtId="209" fontId="40" fillId="0" borderId="131" xfId="0" applyNumberFormat="1" applyFont="1" applyBorder="1" applyAlignment="1" applyProtection="1">
      <alignment vertical="center" shrinkToFit="1"/>
    </xf>
    <xf numFmtId="209" fontId="40" fillId="12" borderId="226" xfId="0" applyNumberFormat="1" applyFont="1" applyFill="1" applyBorder="1" applyAlignment="1" applyProtection="1">
      <alignment vertical="center" shrinkToFit="1"/>
      <protection locked="0"/>
    </xf>
    <xf numFmtId="209" fontId="40" fillId="12" borderId="227" xfId="0" applyNumberFormat="1" applyFont="1" applyFill="1" applyBorder="1" applyAlignment="1" applyProtection="1">
      <alignment vertical="center" shrinkToFit="1"/>
      <protection locked="0"/>
    </xf>
    <xf numFmtId="209" fontId="40" fillId="12" borderId="228" xfId="0" applyNumberFormat="1" applyFont="1" applyFill="1" applyBorder="1" applyAlignment="1" applyProtection="1">
      <alignment vertical="center" shrinkToFit="1"/>
      <protection locked="0"/>
    </xf>
    <xf numFmtId="209" fontId="40" fillId="12" borderId="229" xfId="0" applyNumberFormat="1" applyFont="1" applyFill="1" applyBorder="1" applyAlignment="1" applyProtection="1">
      <alignment vertical="center" shrinkToFit="1"/>
      <protection locked="0"/>
    </xf>
    <xf numFmtId="209" fontId="40" fillId="12" borderId="230" xfId="0" applyNumberFormat="1" applyFont="1" applyFill="1" applyBorder="1" applyAlignment="1" applyProtection="1">
      <alignment vertical="center" shrinkToFit="1"/>
      <protection locked="0"/>
    </xf>
    <xf numFmtId="209" fontId="40" fillId="12" borderId="162" xfId="0" applyNumberFormat="1" applyFont="1" applyFill="1" applyBorder="1" applyAlignment="1" applyProtection="1">
      <alignment vertical="center" shrinkToFit="1"/>
      <protection locked="0"/>
    </xf>
    <xf numFmtId="209" fontId="40" fillId="12" borderId="231" xfId="0" applyNumberFormat="1" applyFont="1" applyFill="1" applyBorder="1" applyAlignment="1" applyProtection="1">
      <alignment vertical="center" shrinkToFit="1"/>
      <protection locked="0"/>
    </xf>
    <xf numFmtId="209" fontId="40" fillId="12" borderId="232" xfId="0" applyNumberFormat="1" applyFont="1" applyFill="1" applyBorder="1" applyAlignment="1" applyProtection="1">
      <alignment vertical="center" shrinkToFit="1"/>
      <protection locked="0"/>
    </xf>
    <xf numFmtId="209" fontId="40" fillId="0" borderId="233" xfId="0" applyNumberFormat="1" applyFont="1" applyBorder="1" applyAlignment="1" applyProtection="1">
      <alignment vertical="center" shrinkToFit="1"/>
    </xf>
    <xf numFmtId="209" fontId="40" fillId="0" borderId="234" xfId="0" applyNumberFormat="1" applyFont="1" applyBorder="1" applyAlignment="1" applyProtection="1">
      <alignment vertical="center" shrinkToFit="1"/>
    </xf>
    <xf numFmtId="209" fontId="40" fillId="0" borderId="235" xfId="0" applyNumberFormat="1" applyFont="1" applyBorder="1" applyAlignment="1" applyProtection="1">
      <alignment vertical="center" shrinkToFit="1"/>
    </xf>
    <xf numFmtId="209" fontId="40" fillId="0" borderId="137" xfId="0" applyNumberFormat="1" applyFont="1" applyBorder="1" applyAlignment="1" applyProtection="1">
      <alignment vertical="center" shrinkToFit="1"/>
    </xf>
    <xf numFmtId="209" fontId="40" fillId="0" borderId="236" xfId="0" applyNumberFormat="1" applyFont="1" applyBorder="1" applyAlignment="1" applyProtection="1">
      <alignment vertical="center" shrinkToFit="1"/>
    </xf>
    <xf numFmtId="209" fontId="40" fillId="0" borderId="237" xfId="0" applyNumberFormat="1" applyFont="1" applyBorder="1" applyAlignment="1" applyProtection="1">
      <alignment vertical="center" shrinkToFit="1"/>
    </xf>
    <xf numFmtId="209" fontId="40" fillId="0" borderId="238" xfId="0" applyNumberFormat="1" applyFont="1" applyBorder="1" applyAlignment="1" applyProtection="1">
      <alignment vertical="center" shrinkToFit="1"/>
    </xf>
    <xf numFmtId="209" fontId="40" fillId="0" borderId="138" xfId="0" applyNumberFormat="1" applyFont="1" applyBorder="1" applyAlignment="1" applyProtection="1">
      <alignment vertical="center" shrinkToFit="1"/>
    </xf>
    <xf numFmtId="0" fontId="0" fillId="0" borderId="199" xfId="0" applyFont="1" applyBorder="1" applyAlignment="1" applyProtection="1">
      <alignment horizontal="center" vertical="center" shrinkToFit="1"/>
    </xf>
    <xf numFmtId="0" fontId="0" fillId="0" borderId="199" xfId="0" applyFont="1" applyBorder="1" applyAlignment="1" applyProtection="1">
      <alignment horizontal="left" vertical="center" shrinkToFit="1"/>
    </xf>
    <xf numFmtId="191" fontId="0" fillId="0" borderId="0" xfId="0" applyNumberFormat="1" applyAlignment="1">
      <alignment horizontal="right"/>
    </xf>
    <xf numFmtId="0" fontId="0" fillId="0" borderId="0" xfId="0" applyAlignment="1">
      <alignment horizontal="center"/>
    </xf>
    <xf numFmtId="0" fontId="0" fillId="0" borderId="0" xfId="0" applyAlignment="1">
      <alignment horizontal="left" wrapText="1"/>
    </xf>
    <xf numFmtId="0" fontId="21" fillId="0" borderId="0" xfId="0" applyFont="1" applyAlignment="1">
      <alignment horizontal="left"/>
    </xf>
    <xf numFmtId="0" fontId="0" fillId="24" borderId="0" xfId="0" applyFill="1" applyAlignment="1">
      <alignment horizontal="center"/>
    </xf>
    <xf numFmtId="0" fontId="0" fillId="12" borderId="181" xfId="0" applyFont="1" applyFill="1" applyBorder="1" applyAlignment="1" applyProtection="1">
      <alignment shrinkToFit="1"/>
      <protection locked="0"/>
    </xf>
    <xf numFmtId="0" fontId="0" fillId="12" borderId="240" xfId="0" applyFont="1" applyFill="1" applyBorder="1" applyAlignment="1" applyProtection="1">
      <alignment shrinkToFit="1"/>
      <protection locked="0"/>
    </xf>
    <xf numFmtId="0" fontId="0" fillId="12" borderId="192" xfId="0" applyFont="1" applyFill="1" applyBorder="1" applyAlignment="1" applyProtection="1">
      <alignment shrinkToFit="1"/>
      <protection locked="0"/>
    </xf>
    <xf numFmtId="0" fontId="0" fillId="18" borderId="187" xfId="0" applyFont="1" applyFill="1" applyBorder="1" applyAlignment="1" applyProtection="1">
      <alignment shrinkToFit="1"/>
      <protection locked="0"/>
    </xf>
    <xf numFmtId="0" fontId="23" fillId="2" borderId="25" xfId="7" applyFont="1" applyFill="1" applyBorder="1" applyAlignment="1" applyProtection="1">
      <alignment vertical="center"/>
      <protection locked="0"/>
    </xf>
    <xf numFmtId="0" fontId="0" fillId="2" borderId="241" xfId="0" applyFill="1" applyBorder="1" applyAlignment="1" applyProtection="1">
      <alignment shrinkToFit="1"/>
      <protection locked="0"/>
    </xf>
    <xf numFmtId="38" fontId="0" fillId="12" borderId="183" xfId="2" applyFont="1" applyFill="1" applyBorder="1" applyAlignment="1" applyProtection="1">
      <alignment vertical="center"/>
      <protection locked="0"/>
    </xf>
    <xf numFmtId="0" fontId="0" fillId="0" borderId="242" xfId="0" applyBorder="1"/>
    <xf numFmtId="191" fontId="0" fillId="0" borderId="242" xfId="0" applyNumberFormat="1" applyBorder="1"/>
    <xf numFmtId="0" fontId="0" fillId="0" borderId="232" xfId="0" applyBorder="1"/>
    <xf numFmtId="0" fontId="0" fillId="0" borderId="226" xfId="0" applyBorder="1"/>
    <xf numFmtId="0" fontId="0" fillId="0" borderId="231" xfId="0" applyBorder="1"/>
    <xf numFmtId="0" fontId="0" fillId="0" borderId="232" xfId="0" applyBorder="1" applyAlignment="1">
      <alignment horizontal="left"/>
    </xf>
    <xf numFmtId="0" fontId="0" fillId="0" borderId="226" xfId="0" applyBorder="1" applyAlignment="1">
      <alignment horizontal="left"/>
    </xf>
    <xf numFmtId="0" fontId="0" fillId="0" borderId="231" xfId="0" applyBorder="1" applyAlignment="1">
      <alignment horizontal="left"/>
    </xf>
    <xf numFmtId="0" fontId="0" fillId="0" borderId="242" xfId="0" applyFill="1" applyBorder="1" applyAlignment="1">
      <alignment horizontal="center"/>
    </xf>
    <xf numFmtId="0" fontId="0" fillId="0" borderId="230" xfId="0" applyBorder="1"/>
    <xf numFmtId="0" fontId="0" fillId="0" borderId="243" xfId="0" applyBorder="1"/>
    <xf numFmtId="0" fontId="0" fillId="0" borderId="242" xfId="0" applyBorder="1" applyAlignment="1">
      <alignment horizontal="center"/>
    </xf>
    <xf numFmtId="181" fontId="23" fillId="0" borderId="244" xfId="3" applyNumberFormat="1" applyFont="1" applyFill="1" applyBorder="1" applyAlignment="1" applyProtection="1">
      <alignment vertical="center"/>
    </xf>
    <xf numFmtId="182" fontId="9" fillId="0" borderId="244" xfId="3" applyNumberFormat="1" applyFont="1" applyFill="1" applyBorder="1" applyAlignment="1" applyProtection="1">
      <alignment horizontal="center" vertical="center"/>
    </xf>
    <xf numFmtId="200" fontId="23" fillId="0" borderId="244" xfId="3" applyNumberFormat="1" applyFont="1" applyFill="1" applyBorder="1" applyAlignment="1" applyProtection="1">
      <alignment vertical="center"/>
    </xf>
    <xf numFmtId="3" fontId="23" fillId="0" borderId="244" xfId="3" applyNumberFormat="1" applyFont="1" applyFill="1" applyBorder="1" applyAlignment="1" applyProtection="1">
      <alignment horizontal="center" vertical="center"/>
    </xf>
    <xf numFmtId="9" fontId="23" fillId="0" borderId="244" xfId="1" applyNumberFormat="1" applyFont="1" applyFill="1" applyBorder="1" applyAlignment="1" applyProtection="1">
      <alignment horizontal="center" vertical="center"/>
    </xf>
    <xf numFmtId="4" fontId="23" fillId="0" borderId="244" xfId="3" applyNumberFormat="1" applyFont="1" applyFill="1" applyBorder="1" applyAlignment="1" applyProtection="1">
      <alignment vertical="center"/>
    </xf>
    <xf numFmtId="38" fontId="16" fillId="0" borderId="250" xfId="2" applyBorder="1" applyAlignment="1">
      <alignment horizontal="right" vertical="center"/>
    </xf>
    <xf numFmtId="38" fontId="16" fillId="12" borderId="246" xfId="2" applyFill="1" applyBorder="1" applyAlignment="1" applyProtection="1">
      <alignment vertical="center"/>
      <protection locked="0"/>
    </xf>
    <xf numFmtId="38" fontId="16" fillId="12" borderId="251" xfId="2" applyFill="1" applyBorder="1" applyAlignment="1" applyProtection="1">
      <alignment vertical="center"/>
      <protection locked="0"/>
    </xf>
    <xf numFmtId="38" fontId="16" fillId="0" borderId="246" xfId="2" applyBorder="1" applyAlignment="1">
      <alignment vertical="center"/>
    </xf>
    <xf numFmtId="0" fontId="0" fillId="12" borderId="246" xfId="0" applyFill="1" applyBorder="1" applyAlignment="1" applyProtection="1">
      <alignment shrinkToFit="1"/>
      <protection locked="0"/>
    </xf>
    <xf numFmtId="38" fontId="16" fillId="0" borderId="254" xfId="2" applyBorder="1" applyAlignment="1">
      <alignment horizontal="right" vertical="center"/>
    </xf>
    <xf numFmtId="38" fontId="16" fillId="12" borderId="255" xfId="2" applyFill="1" applyBorder="1" applyAlignment="1" applyProtection="1">
      <alignment vertical="center"/>
      <protection locked="0"/>
    </xf>
    <xf numFmtId="38" fontId="16" fillId="0" borderId="247" xfId="2" applyBorder="1" applyAlignment="1">
      <alignment vertical="center"/>
    </xf>
    <xf numFmtId="0" fontId="0" fillId="12" borderId="247" xfId="0" applyFill="1" applyBorder="1" applyAlignment="1" applyProtection="1">
      <alignment shrinkToFit="1"/>
      <protection locked="0"/>
    </xf>
    <xf numFmtId="38" fontId="16" fillId="12" borderId="253" xfId="2" applyFont="1" applyFill="1" applyBorder="1" applyAlignment="1" applyProtection="1">
      <alignment vertical="center"/>
      <protection locked="0"/>
    </xf>
    <xf numFmtId="38" fontId="16" fillId="12" borderId="249" xfId="2" applyFont="1" applyFill="1" applyBorder="1" applyAlignment="1" applyProtection="1">
      <alignment vertical="center"/>
      <protection locked="0"/>
    </xf>
    <xf numFmtId="0" fontId="7" fillId="0" borderId="256" xfId="4" applyFont="1" applyFill="1" applyBorder="1" applyAlignment="1"/>
    <xf numFmtId="191" fontId="16" fillId="20" borderId="242" xfId="12" applyNumberFormat="1" applyFont="1" applyFill="1" applyBorder="1" applyProtection="1">
      <protection locked="0"/>
    </xf>
    <xf numFmtId="40" fontId="16" fillId="12" borderId="2" xfId="2" applyNumberFormat="1" applyFont="1" applyFill="1" applyBorder="1" applyAlignment="1" applyProtection="1">
      <protection locked="0"/>
    </xf>
    <xf numFmtId="40" fontId="16" fillId="2" borderId="2" xfId="2" applyNumberFormat="1" applyFont="1" applyFill="1" applyBorder="1" applyAlignment="1" applyProtection="1">
      <protection locked="0"/>
    </xf>
    <xf numFmtId="0" fontId="0" fillId="2" borderId="40" xfId="0" applyFont="1" applyFill="1" applyBorder="1" applyAlignment="1" applyProtection="1">
      <alignment shrinkToFit="1"/>
      <protection locked="0"/>
    </xf>
    <xf numFmtId="38" fontId="16" fillId="12" borderId="252" xfId="2" applyFont="1" applyFill="1" applyBorder="1" applyAlignment="1" applyProtection="1">
      <alignment vertical="center"/>
      <protection locked="0"/>
    </xf>
    <xf numFmtId="179" fontId="16" fillId="12" borderId="248" xfId="2" applyNumberFormat="1" applyFont="1" applyFill="1" applyBorder="1" applyAlignment="1" applyProtection="1">
      <alignment vertical="center"/>
      <protection locked="0"/>
    </xf>
    <xf numFmtId="38" fontId="16" fillId="12" borderId="247" xfId="2" applyFont="1" applyFill="1" applyBorder="1" applyAlignment="1" applyProtection="1">
      <alignment vertical="center"/>
      <protection locked="0"/>
    </xf>
    <xf numFmtId="4" fontId="23" fillId="2" borderId="85" xfId="3" applyNumberFormat="1" applyFont="1" applyFill="1" applyBorder="1" applyAlignment="1" applyProtection="1">
      <alignment vertical="center"/>
      <protection locked="0"/>
    </xf>
    <xf numFmtId="4" fontId="23" fillId="2" borderId="47" xfId="3" applyNumberFormat="1" applyFont="1" applyFill="1" applyBorder="1" applyAlignment="1" applyProtection="1">
      <alignment vertical="center"/>
      <protection locked="0"/>
    </xf>
    <xf numFmtId="181" fontId="23" fillId="12" borderId="100" xfId="3" applyNumberFormat="1" applyFont="1" applyFill="1" applyBorder="1" applyAlignment="1" applyProtection="1">
      <alignment vertical="center"/>
      <protection locked="0"/>
    </xf>
    <xf numFmtId="182" fontId="9" fillId="12" borderId="100" xfId="3" applyNumberFormat="1" applyFont="1" applyFill="1" applyBorder="1" applyAlignment="1" applyProtection="1">
      <alignment horizontal="center" vertical="center"/>
      <protection locked="0"/>
    </xf>
    <xf numFmtId="189" fontId="16" fillId="2" borderId="47" xfId="1" applyNumberFormat="1" applyFont="1" applyFill="1" applyBorder="1" applyAlignment="1" applyProtection="1">
      <alignment vertical="center"/>
      <protection locked="0"/>
    </xf>
    <xf numFmtId="38" fontId="0" fillId="0" borderId="0" xfId="2" applyFont="1"/>
    <xf numFmtId="0" fontId="0" fillId="0" borderId="0" xfId="0" applyFont="1" applyAlignment="1">
      <alignment horizontal="left"/>
    </xf>
    <xf numFmtId="210" fontId="23" fillId="0" borderId="47" xfId="3" applyNumberFormat="1" applyFont="1" applyFill="1" applyBorder="1" applyAlignment="1" applyProtection="1">
      <alignment vertical="center"/>
    </xf>
    <xf numFmtId="0" fontId="23" fillId="0" borderId="148" xfId="6" applyFont="1" applyFill="1" applyBorder="1" applyAlignment="1" applyProtection="1">
      <alignment vertical="center" shrinkToFit="1"/>
    </xf>
    <xf numFmtId="0" fontId="23" fillId="0" borderId="63" xfId="6" applyFont="1" applyFill="1" applyBorder="1" applyAlignment="1" applyProtection="1">
      <alignment vertical="center" shrinkToFit="1"/>
    </xf>
    <xf numFmtId="0" fontId="23" fillId="0" borderId="11" xfId="6" applyFont="1" applyFill="1" applyBorder="1" applyAlignment="1" applyProtection="1">
      <alignment vertical="center" shrinkToFit="1"/>
    </xf>
    <xf numFmtId="0" fontId="23" fillId="0" borderId="7" xfId="6" applyNumberFormat="1" applyFont="1" applyFill="1" applyBorder="1" applyAlignment="1" applyProtection="1">
      <alignment horizontal="left" vertical="center" shrinkToFit="1"/>
    </xf>
    <xf numFmtId="0" fontId="23" fillId="0" borderId="6" xfId="6" applyNumberFormat="1" applyFont="1" applyFill="1" applyBorder="1" applyAlignment="1" applyProtection="1">
      <alignment horizontal="left" vertical="center" shrinkToFit="1"/>
    </xf>
    <xf numFmtId="0" fontId="23" fillId="0" borderId="23" xfId="6" applyFont="1" applyBorder="1" applyAlignment="1" applyProtection="1">
      <alignment vertical="center" shrinkToFit="1"/>
    </xf>
    <xf numFmtId="0" fontId="23" fillId="0" borderId="24" xfId="6" applyFont="1" applyBorder="1" applyAlignment="1" applyProtection="1">
      <alignment vertical="center" shrinkToFit="1"/>
    </xf>
    <xf numFmtId="0" fontId="16" fillId="0" borderId="10" xfId="6" applyFont="1" applyBorder="1" applyAlignment="1" applyProtection="1">
      <alignment horizontal="justify" vertical="center" indent="1"/>
    </xf>
    <xf numFmtId="0" fontId="23" fillId="0" borderId="10" xfId="6" applyFont="1" applyBorder="1" applyAlignment="1" applyProtection="1">
      <alignment vertical="center" shrinkToFit="1"/>
    </xf>
    <xf numFmtId="0" fontId="16" fillId="0" borderId="12" xfId="6" applyFont="1" applyBorder="1" applyAlignment="1" applyProtection="1">
      <alignment horizontal="center" vertical="center"/>
    </xf>
    <xf numFmtId="0" fontId="16" fillId="0" borderId="68" xfId="6" applyFont="1" applyBorder="1" applyAlignment="1" applyProtection="1">
      <alignment horizontal="center" vertical="center"/>
    </xf>
    <xf numFmtId="0" fontId="23" fillId="0" borderId="12" xfId="6" applyFont="1" applyBorder="1" applyAlignment="1" applyProtection="1">
      <alignment vertical="center"/>
    </xf>
    <xf numFmtId="0" fontId="0" fillId="0" borderId="10" xfId="6" applyFont="1" applyBorder="1" applyAlignment="1" applyProtection="1">
      <alignment horizontal="justify" vertical="center" indent="1"/>
    </xf>
    <xf numFmtId="0" fontId="23" fillId="0" borderId="148" xfId="6" applyFont="1" applyBorder="1" applyAlignment="1" applyProtection="1">
      <alignment vertical="center" shrinkToFit="1"/>
    </xf>
    <xf numFmtId="0" fontId="23" fillId="0" borderId="63" xfId="6" applyFont="1" applyBorder="1" applyAlignment="1" applyProtection="1">
      <alignment vertical="center" shrinkToFit="1"/>
    </xf>
    <xf numFmtId="0" fontId="23" fillId="0" borderId="11" xfId="6" applyFont="1" applyBorder="1" applyAlignment="1" applyProtection="1">
      <alignment vertical="center" shrinkToFit="1"/>
    </xf>
    <xf numFmtId="0" fontId="16" fillId="0" borderId="75" xfId="6" applyFont="1" applyBorder="1" applyAlignment="1" applyProtection="1">
      <alignment horizontal="center" vertical="center"/>
    </xf>
    <xf numFmtId="0" fontId="16" fillId="0" borderId="72" xfId="6" applyFont="1" applyBorder="1" applyAlignment="1" applyProtection="1">
      <alignment horizontal="center" vertical="center"/>
    </xf>
    <xf numFmtId="0" fontId="16" fillId="0" borderId="73" xfId="6" applyFont="1" applyBorder="1" applyAlignment="1" applyProtection="1">
      <alignment horizontal="center" vertical="center"/>
    </xf>
    <xf numFmtId="0" fontId="10" fillId="9" borderId="2" xfId="6" applyFont="1" applyFill="1" applyBorder="1" applyAlignment="1" applyProtection="1">
      <alignment horizontal="justify" vertical="center" indent="3"/>
    </xf>
    <xf numFmtId="0" fontId="16" fillId="0" borderId="31" xfId="6" applyFont="1" applyBorder="1" applyAlignment="1" applyProtection="1">
      <alignment horizontal="center" vertical="center" textRotation="255" wrapText="1"/>
    </xf>
    <xf numFmtId="0" fontId="16" fillId="0" borderId="17" xfId="6" applyFont="1" applyBorder="1" applyAlignment="1" applyProtection="1">
      <alignment horizontal="center" vertical="center" textRotation="255" wrapText="1"/>
    </xf>
    <xf numFmtId="0" fontId="16" fillId="0" borderId="159" xfId="6" applyFont="1" applyBorder="1" applyAlignment="1" applyProtection="1">
      <alignment horizontal="center" vertical="center" textRotation="255" wrapText="1"/>
    </xf>
    <xf numFmtId="0" fontId="16" fillId="0" borderId="20" xfId="6" applyFont="1" applyBorder="1" applyAlignment="1" applyProtection="1">
      <alignment horizontal="center" vertical="center" textRotation="255" wrapText="1"/>
    </xf>
    <xf numFmtId="0" fontId="16" fillId="0" borderId="158" xfId="6" applyFont="1" applyBorder="1" applyAlignment="1" applyProtection="1">
      <alignment horizontal="center" vertical="center" textRotation="255" wrapText="1"/>
    </xf>
    <xf numFmtId="0" fontId="16" fillId="0" borderId="19" xfId="6" applyFont="1" applyBorder="1" applyAlignment="1" applyProtection="1">
      <alignment horizontal="center" vertical="center" textRotation="255" wrapText="1"/>
    </xf>
    <xf numFmtId="0" fontId="16" fillId="0" borderId="15" xfId="6" applyFont="1" applyBorder="1" applyAlignment="1" applyProtection="1">
      <alignment horizontal="center" vertical="center" textRotation="255" wrapText="1"/>
    </xf>
    <xf numFmtId="0" fontId="0" fillId="0" borderId="143" xfId="6" applyFont="1" applyBorder="1" applyAlignment="1" applyProtection="1">
      <alignment horizontal="center" vertical="center" textRotation="255" wrapText="1"/>
    </xf>
    <xf numFmtId="0" fontId="16" fillId="0" borderId="143" xfId="6" applyFont="1" applyBorder="1" applyAlignment="1" applyProtection="1">
      <alignment horizontal="center" vertical="center" textRotation="255" wrapText="1"/>
    </xf>
    <xf numFmtId="0" fontId="16" fillId="0" borderId="144" xfId="6" applyFont="1" applyBorder="1" applyAlignment="1" applyProtection="1">
      <alignment horizontal="center" vertical="center" textRotation="255" wrapText="1"/>
    </xf>
    <xf numFmtId="0" fontId="0" fillId="0" borderId="142" xfId="6" applyFont="1" applyBorder="1" applyAlignment="1" applyProtection="1">
      <alignment horizontal="center" vertical="center" textRotation="255" wrapText="1"/>
    </xf>
    <xf numFmtId="0" fontId="16" fillId="0" borderId="4" xfId="6" applyFont="1" applyBorder="1" applyAlignment="1" applyProtection="1">
      <alignment horizontal="center" vertical="center"/>
    </xf>
    <xf numFmtId="0" fontId="16" fillId="0" borderId="22" xfId="6" applyFont="1" applyBorder="1" applyAlignment="1" applyProtection="1">
      <alignment horizontal="center" vertical="center"/>
    </xf>
    <xf numFmtId="0" fontId="16" fillId="0" borderId="8" xfId="6" applyFont="1" applyBorder="1" applyAlignment="1" applyProtection="1">
      <alignment horizontal="center" vertical="center" textRotation="255" wrapText="1"/>
    </xf>
    <xf numFmtId="0" fontId="16" fillId="0" borderId="161" xfId="6" applyFont="1" applyBorder="1" applyAlignment="1" applyProtection="1">
      <alignment horizontal="center" vertical="center" textRotation="255" wrapText="1"/>
    </xf>
    <xf numFmtId="0" fontId="10" fillId="9" borderId="2" xfId="6" applyFont="1" applyFill="1" applyBorder="1" applyAlignment="1" applyProtection="1">
      <alignment horizontal="center" vertical="center"/>
    </xf>
    <xf numFmtId="0" fontId="16" fillId="0" borderId="2" xfId="6" applyFont="1" applyBorder="1" applyAlignment="1" applyProtection="1">
      <alignment horizontal="center" vertical="center" textRotation="255"/>
    </xf>
    <xf numFmtId="0" fontId="16" fillId="0" borderId="194" xfId="6" applyFont="1" applyBorder="1" applyAlignment="1" applyProtection="1">
      <alignment horizontal="center" vertical="center" textRotation="255"/>
    </xf>
    <xf numFmtId="0" fontId="16" fillId="0" borderId="6" xfId="6" applyFont="1" applyBorder="1" applyAlignment="1" applyProtection="1">
      <alignment horizontal="justify" vertical="center" indent="1"/>
    </xf>
    <xf numFmtId="38" fontId="23" fillId="0" borderId="6" xfId="6" applyNumberFormat="1" applyFont="1" applyBorder="1" applyAlignment="1" applyProtection="1">
      <alignment vertical="center"/>
    </xf>
    <xf numFmtId="202" fontId="4" fillId="0" borderId="9" xfId="0" applyNumberFormat="1" applyFont="1" applyFill="1" applyBorder="1" applyAlignment="1" applyProtection="1">
      <alignment vertical="center"/>
    </xf>
    <xf numFmtId="202" fontId="4" fillId="0" borderId="51" xfId="0" applyNumberFormat="1" applyFont="1" applyFill="1" applyBorder="1" applyAlignment="1" applyProtection="1">
      <alignment vertical="center"/>
    </xf>
    <xf numFmtId="0" fontId="4" fillId="0" borderId="170" xfId="0" applyFont="1" applyBorder="1" applyAlignment="1" applyProtection="1">
      <alignment horizontal="center" vertical="center"/>
    </xf>
    <xf numFmtId="0" fontId="4" fillId="0" borderId="171" xfId="0" applyFont="1" applyBorder="1" applyAlignment="1" applyProtection="1">
      <alignment horizontal="center" vertical="center"/>
    </xf>
    <xf numFmtId="201" fontId="4" fillId="0" borderId="172" xfId="0" applyNumberFormat="1" applyFont="1" applyBorder="1" applyAlignment="1" applyProtection="1">
      <alignment horizontal="center"/>
    </xf>
    <xf numFmtId="201" fontId="4" fillId="0" borderId="140" xfId="0" applyNumberFormat="1" applyFont="1" applyBorder="1" applyAlignment="1" applyProtection="1">
      <alignment horizontal="center"/>
    </xf>
    <xf numFmtId="0" fontId="23" fillId="0" borderId="132" xfId="0" applyFont="1" applyBorder="1" applyAlignment="1" applyProtection="1">
      <alignment horizontal="center" vertical="center" textRotation="255" shrinkToFit="1"/>
    </xf>
    <xf numFmtId="0" fontId="23" fillId="0" borderId="135" xfId="0" applyFont="1" applyBorder="1" applyAlignment="1" applyProtection="1">
      <alignment horizontal="center" vertical="center" textRotation="255" shrinkToFit="1"/>
    </xf>
    <xf numFmtId="0" fontId="23" fillId="0" borderId="174" xfId="0" applyFont="1" applyBorder="1" applyAlignment="1" applyProtection="1">
      <alignment horizontal="center" vertical="center" textRotation="255" shrinkToFit="1"/>
    </xf>
    <xf numFmtId="0" fontId="23" fillId="0" borderId="125" xfId="0" applyFont="1" applyBorder="1" applyAlignment="1" applyProtection="1">
      <alignment horizontal="center" vertical="center" wrapText="1" shrinkToFit="1"/>
    </xf>
    <xf numFmtId="0" fontId="23" fillId="0" borderId="126" xfId="0" applyFont="1" applyBorder="1" applyAlignment="1" applyProtection="1">
      <alignment horizontal="center" vertical="center" shrinkToFit="1"/>
    </xf>
    <xf numFmtId="0" fontId="4" fillId="0" borderId="77" xfId="0" applyFont="1" applyBorder="1" applyAlignment="1" applyProtection="1">
      <alignment horizontal="center" vertical="center"/>
    </xf>
    <xf numFmtId="0" fontId="4" fillId="0" borderId="2" xfId="0" applyFont="1" applyBorder="1" applyAlignment="1" applyProtection="1">
      <alignment horizontal="center" vertical="center"/>
    </xf>
    <xf numFmtId="183" fontId="4" fillId="0" borderId="52" xfId="0" applyNumberFormat="1" applyFont="1" applyBorder="1" applyAlignment="1" applyProtection="1">
      <alignment horizontal="center" vertical="center"/>
    </xf>
    <xf numFmtId="183" fontId="4" fillId="0" borderId="54" xfId="0" applyNumberFormat="1" applyFont="1" applyBorder="1" applyAlignment="1" applyProtection="1">
      <alignment horizontal="center" vertical="center"/>
    </xf>
    <xf numFmtId="0" fontId="0" fillId="0" borderId="160" xfId="0" applyBorder="1" applyAlignment="1" applyProtection="1">
      <alignment horizontal="center" vertical="top"/>
    </xf>
    <xf numFmtId="0" fontId="0" fillId="0" borderId="55" xfId="0" applyBorder="1" applyProtection="1"/>
    <xf numFmtId="0" fontId="0" fillId="0" borderId="59" xfId="0" applyBorder="1" applyProtection="1"/>
    <xf numFmtId="0" fontId="4" fillId="0" borderId="3" xfId="0" applyFont="1" applyBorder="1" applyAlignment="1" applyProtection="1">
      <alignment horizontal="center" vertical="center"/>
    </xf>
    <xf numFmtId="183" fontId="4" fillId="0" borderId="77" xfId="0" applyNumberFormat="1" applyFont="1" applyBorder="1" applyAlignment="1" applyProtection="1">
      <alignment horizontal="center" vertical="center"/>
    </xf>
    <xf numFmtId="0" fontId="0" fillId="0" borderId="158" xfId="0" applyBorder="1" applyAlignment="1" applyProtection="1">
      <alignment horizontal="center"/>
    </xf>
    <xf numFmtId="0" fontId="0" fillId="0" borderId="159" xfId="0" applyBorder="1" applyProtection="1"/>
    <xf numFmtId="0" fontId="0" fillId="0" borderId="20" xfId="0" applyBorder="1" applyProtection="1"/>
    <xf numFmtId="202" fontId="4" fillId="0" borderId="155" xfId="0" applyNumberFormat="1" applyFont="1" applyFill="1" applyBorder="1" applyAlignment="1" applyProtection="1">
      <alignment vertical="center"/>
    </xf>
    <xf numFmtId="202" fontId="4" fillId="0" borderId="157" xfId="0" applyNumberFormat="1" applyFont="1" applyFill="1" applyBorder="1" applyAlignment="1" applyProtection="1">
      <alignment vertical="center"/>
    </xf>
    <xf numFmtId="194" fontId="16" fillId="20" borderId="118" xfId="12" applyNumberFormat="1" applyFill="1" applyBorder="1" applyAlignment="1" applyProtection="1">
      <protection locked="0"/>
    </xf>
    <xf numFmtId="0" fontId="31" fillId="0" borderId="120" xfId="15" applyBorder="1" applyAlignment="1" applyProtection="1">
      <protection locked="0"/>
    </xf>
    <xf numFmtId="0" fontId="16" fillId="19" borderId="118" xfId="12" applyFill="1" applyBorder="1" applyAlignment="1" applyProtection="1">
      <alignment horizontal="center"/>
    </xf>
    <xf numFmtId="0" fontId="16" fillId="0" borderId="119" xfId="14" applyBorder="1" applyAlignment="1">
      <alignment horizontal="center"/>
    </xf>
    <xf numFmtId="0" fontId="31" fillId="0" borderId="120" xfId="15" applyBorder="1" applyAlignment="1"/>
    <xf numFmtId="0" fontId="0" fillId="20" borderId="118" xfId="12" applyFont="1" applyFill="1" applyBorder="1" applyAlignment="1" applyProtection="1">
      <protection locked="0"/>
    </xf>
    <xf numFmtId="0" fontId="16" fillId="0" borderId="119" xfId="14" applyBorder="1" applyAlignment="1" applyProtection="1">
      <protection locked="0"/>
    </xf>
    <xf numFmtId="0" fontId="16" fillId="20" borderId="118" xfId="12" applyFont="1" applyFill="1" applyBorder="1" applyAlignment="1" applyProtection="1">
      <protection locked="0"/>
    </xf>
    <xf numFmtId="0" fontId="16" fillId="0" borderId="121" xfId="12" applyFont="1" applyBorder="1" applyAlignment="1">
      <alignment vertical="top"/>
    </xf>
    <xf numFmtId="0" fontId="16" fillId="0" borderId="122" xfId="12" applyFont="1" applyBorder="1" applyAlignment="1">
      <alignment vertical="top"/>
    </xf>
    <xf numFmtId="0" fontId="31" fillId="0" borderId="123" xfId="15" applyBorder="1" applyAlignment="1">
      <alignment vertical="center"/>
    </xf>
    <xf numFmtId="0" fontId="0" fillId="20" borderId="121" xfId="12" applyFont="1" applyFill="1" applyBorder="1" applyAlignment="1" applyProtection="1">
      <alignment vertical="top" wrapText="1"/>
      <protection locked="0"/>
    </xf>
    <xf numFmtId="0" fontId="16" fillId="20" borderId="121" xfId="12" applyFont="1" applyFill="1" applyBorder="1" applyAlignment="1" applyProtection="1">
      <alignment vertical="top" wrapText="1"/>
      <protection locked="0"/>
    </xf>
    <xf numFmtId="0" fontId="31" fillId="0" borderId="121" xfId="15" applyBorder="1" applyAlignment="1" applyProtection="1">
      <alignment vertical="center" wrapText="1"/>
      <protection locked="0"/>
    </xf>
    <xf numFmtId="0" fontId="16" fillId="20" borderId="122" xfId="12" applyFont="1" applyFill="1" applyBorder="1" applyAlignment="1" applyProtection="1">
      <alignment vertical="top" wrapText="1"/>
      <protection locked="0"/>
    </xf>
    <xf numFmtId="0" fontId="31" fillId="0" borderId="122" xfId="15" applyBorder="1" applyAlignment="1" applyProtection="1">
      <alignment vertical="center" wrapText="1"/>
      <protection locked="0"/>
    </xf>
    <xf numFmtId="0" fontId="31" fillId="0" borderId="123" xfId="15" applyBorder="1" applyAlignment="1" applyProtection="1">
      <alignment vertical="center" wrapText="1"/>
      <protection locked="0"/>
    </xf>
    <xf numFmtId="0" fontId="3" fillId="20" borderId="118" xfId="12" applyFont="1" applyFill="1" applyBorder="1" applyAlignment="1" applyProtection="1">
      <protection locked="0"/>
    </xf>
    <xf numFmtId="0" fontId="16" fillId="20" borderId="118" xfId="12" applyFill="1" applyBorder="1" applyAlignment="1" applyProtection="1">
      <protection locked="0"/>
    </xf>
    <xf numFmtId="0" fontId="23" fillId="9" borderId="2" xfId="7" applyFont="1" applyFill="1" applyBorder="1" applyAlignment="1" applyProtection="1">
      <alignment horizontal="center" vertical="top" textRotation="255" wrapText="1"/>
    </xf>
    <xf numFmtId="0" fontId="23" fillId="9" borderId="3" xfId="7" applyFont="1" applyFill="1" applyBorder="1" applyAlignment="1" applyProtection="1">
      <alignment horizontal="center" wrapText="1"/>
    </xf>
    <xf numFmtId="0" fontId="23" fillId="6" borderId="30" xfId="0" applyFont="1" applyFill="1" applyBorder="1" applyProtection="1"/>
    <xf numFmtId="0" fontId="23" fillId="6" borderId="4" xfId="0" applyFont="1" applyFill="1" applyBorder="1" applyProtection="1"/>
    <xf numFmtId="0" fontId="30" fillId="10" borderId="2" xfId="7" applyFont="1" applyFill="1" applyBorder="1" applyAlignment="1" applyProtection="1">
      <alignment horizontal="center" vertical="center" textRotation="255" wrapText="1"/>
    </xf>
    <xf numFmtId="0" fontId="23" fillId="9" borderId="2" xfId="7" applyFont="1" applyFill="1" applyBorder="1" applyAlignment="1" applyProtection="1">
      <alignment horizontal="center" vertical="center"/>
    </xf>
    <xf numFmtId="0" fontId="10" fillId="0" borderId="21" xfId="7" applyNumberFormat="1" applyFont="1" applyFill="1" applyBorder="1" applyAlignment="1" applyProtection="1">
      <alignment horizontal="right" shrinkToFit="1"/>
    </xf>
    <xf numFmtId="0" fontId="23" fillId="9" borderId="2" xfId="7" applyFont="1" applyFill="1" applyBorder="1" applyAlignment="1" applyProtection="1">
      <alignment horizontal="center" vertical="center" textRotation="255"/>
    </xf>
    <xf numFmtId="0" fontId="23" fillId="0" borderId="8" xfId="0" applyFont="1" applyBorder="1" applyAlignment="1" applyProtection="1">
      <alignment vertical="center" textRotation="255"/>
    </xf>
    <xf numFmtId="0" fontId="23" fillId="0" borderId="19" xfId="0" applyFont="1" applyBorder="1" applyAlignment="1" applyProtection="1">
      <alignment vertical="center" textRotation="255"/>
    </xf>
    <xf numFmtId="0" fontId="23" fillId="0" borderId="161" xfId="0" applyFont="1" applyBorder="1" applyAlignment="1" applyProtection="1">
      <alignment vertical="center" textRotation="255"/>
    </xf>
    <xf numFmtId="0" fontId="23" fillId="0" borderId="15" xfId="0" applyFont="1" applyBorder="1" applyAlignment="1" applyProtection="1">
      <alignment vertical="center" textRotation="255"/>
    </xf>
    <xf numFmtId="0" fontId="23" fillId="0" borderId="2" xfId="7" applyFont="1" applyBorder="1" applyAlignment="1" applyProtection="1">
      <alignment vertical="center" textRotation="255" wrapText="1"/>
    </xf>
    <xf numFmtId="0" fontId="23" fillId="2" borderId="6" xfId="7"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9" borderId="8" xfId="7" applyFont="1" applyFill="1" applyBorder="1" applyAlignment="1" applyProtection="1">
      <alignment horizontal="center" wrapText="1"/>
    </xf>
    <xf numFmtId="0" fontId="23" fillId="2" borderId="155" xfId="7" applyFont="1" applyFill="1" applyBorder="1" applyAlignment="1" applyProtection="1">
      <alignment vertical="center"/>
      <protection locked="0"/>
    </xf>
    <xf numFmtId="0" fontId="23" fillId="2" borderId="156" xfId="7" applyFont="1" applyFill="1" applyBorder="1" applyAlignment="1" applyProtection="1">
      <alignment vertical="center"/>
      <protection locked="0"/>
    </xf>
    <xf numFmtId="0" fontId="23" fillId="2" borderId="9" xfId="7" applyFont="1" applyFill="1" applyBorder="1" applyAlignment="1" applyProtection="1">
      <alignment vertical="center"/>
      <protection locked="0"/>
    </xf>
    <xf numFmtId="0" fontId="23" fillId="2" borderId="11" xfId="7" applyFont="1" applyFill="1" applyBorder="1" applyAlignment="1" applyProtection="1">
      <alignment vertical="center"/>
      <protection locked="0"/>
    </xf>
    <xf numFmtId="0" fontId="23" fillId="0" borderId="0" xfId="0" applyFont="1" applyBorder="1" applyAlignment="1" applyProtection="1">
      <alignment vertical="center" shrinkToFit="1"/>
    </xf>
    <xf numFmtId="0" fontId="23" fillId="0" borderId="18" xfId="0" applyFont="1" applyBorder="1" applyAlignment="1" applyProtection="1">
      <alignment vertical="center" shrinkToFit="1"/>
    </xf>
    <xf numFmtId="0" fontId="23" fillId="0" borderId="13" xfId="7" applyFont="1" applyBorder="1" applyAlignment="1" applyProtection="1">
      <alignment horizontal="center" vertical="center"/>
    </xf>
    <xf numFmtId="0" fontId="23" fillId="0" borderId="14" xfId="7" applyFont="1" applyBorder="1" applyAlignment="1" applyProtection="1">
      <alignment horizontal="center" vertical="center"/>
    </xf>
    <xf numFmtId="0" fontId="23" fillId="0" borderId="13" xfId="0" applyFont="1" applyBorder="1" applyAlignment="1" applyProtection="1">
      <alignment horizontal="center" vertical="center" textRotation="255"/>
    </xf>
    <xf numFmtId="0" fontId="23" fillId="0" borderId="14" xfId="0" applyFont="1" applyBorder="1" applyAlignment="1" applyProtection="1">
      <alignment horizontal="center" vertical="center" textRotation="255"/>
    </xf>
    <xf numFmtId="0" fontId="0" fillId="2" borderId="37" xfId="0" applyFont="1" applyFill="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40" fontId="0" fillId="0" borderId="8" xfId="2" applyNumberFormat="1" applyFont="1" applyFill="1" applyBorder="1" applyAlignment="1" applyProtection="1">
      <alignment horizontal="center" vertical="center" wrapText="1"/>
    </xf>
    <xf numFmtId="40" fontId="0" fillId="0" borderId="74" xfId="2"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xf>
    <xf numFmtId="0" fontId="0" fillId="0" borderId="74" xfId="0" applyBorder="1" applyProtection="1"/>
    <xf numFmtId="179" fontId="0" fillId="2" borderId="220" xfId="2" applyNumberFormat="1" applyFont="1" applyFill="1" applyBorder="1" applyAlignment="1" applyProtection="1">
      <alignment horizontal="center" vertical="center" wrapText="1"/>
    </xf>
    <xf numFmtId="179" fontId="0" fillId="2" borderId="221" xfId="2" applyNumberFormat="1" applyFont="1" applyFill="1" applyBorder="1" applyAlignment="1" applyProtection="1">
      <alignment horizontal="center" vertical="center" wrapText="1"/>
    </xf>
    <xf numFmtId="179" fontId="0" fillId="2" borderId="8" xfId="2" applyNumberFormat="1" applyFont="1" applyFill="1" applyBorder="1" applyAlignment="1" applyProtection="1">
      <alignment horizontal="center" vertical="center" wrapText="1"/>
    </xf>
    <xf numFmtId="179" fontId="0" fillId="2" borderId="74" xfId="2" applyNumberFormat="1" applyFont="1" applyFill="1" applyBorder="1" applyAlignment="1" applyProtection="1">
      <alignment horizontal="center" vertical="center" wrapText="1"/>
    </xf>
    <xf numFmtId="40" fontId="0" fillId="0" borderId="83" xfId="2" applyNumberFormat="1" applyFont="1" applyFill="1" applyBorder="1" applyAlignment="1" applyProtection="1">
      <alignment horizontal="center" vertical="center" wrapText="1"/>
    </xf>
    <xf numFmtId="40" fontId="0" fillId="0" borderId="70" xfId="2" applyNumberFormat="1" applyFont="1" applyFill="1" applyBorder="1" applyAlignment="1" applyProtection="1">
      <alignment horizontal="center" vertical="center" wrapText="1"/>
    </xf>
    <xf numFmtId="0" fontId="0" fillId="0" borderId="67" xfId="0"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0" fontId="0" fillId="3" borderId="78" xfId="0" applyFont="1" applyFill="1" applyBorder="1" applyAlignment="1" applyProtection="1">
      <alignment horizontal="center" vertical="center" wrapText="1"/>
    </xf>
    <xf numFmtId="0" fontId="0" fillId="3" borderId="79" xfId="0" applyFont="1" applyFill="1" applyBorder="1" applyAlignment="1" applyProtection="1">
      <alignment horizontal="center" vertical="center" wrapText="1"/>
    </xf>
    <xf numFmtId="0" fontId="0" fillId="7" borderId="79" xfId="0" applyFont="1" applyFill="1" applyBorder="1" applyAlignment="1" applyProtection="1">
      <alignment horizontal="center" vertical="center" wrapText="1"/>
    </xf>
    <xf numFmtId="0" fontId="0" fillId="2" borderId="79" xfId="0" applyFill="1" applyBorder="1" applyAlignment="1" applyProtection="1">
      <alignment horizontal="center" vertical="center" wrapText="1"/>
    </xf>
    <xf numFmtId="0" fontId="0" fillId="2" borderId="79" xfId="0" applyFont="1" applyFill="1" applyBorder="1" applyAlignment="1" applyProtection="1">
      <alignment horizontal="center" vertical="center" wrapText="1"/>
    </xf>
    <xf numFmtId="197" fontId="0" fillId="0" borderId="181" xfId="0" applyNumberFormat="1" applyBorder="1" applyAlignment="1">
      <alignment horizontal="center" vertical="center"/>
    </xf>
    <xf numFmtId="197" fontId="0" fillId="0" borderId="239" xfId="0" applyNumberFormat="1" applyFont="1" applyBorder="1" applyAlignment="1">
      <alignment horizontal="center" vertical="center"/>
    </xf>
    <xf numFmtId="197" fontId="0" fillId="0" borderId="245" xfId="0" applyNumberFormat="1" applyBorder="1" applyAlignment="1">
      <alignment horizontal="center" vertical="center"/>
    </xf>
    <xf numFmtId="197" fontId="0" fillId="0" borderId="246" xfId="0" applyNumberFormat="1" applyBorder="1" applyAlignment="1">
      <alignment horizontal="center" vertical="center"/>
    </xf>
    <xf numFmtId="197" fontId="0" fillId="0" borderId="181" xfId="0" applyNumberFormat="1" applyBorder="1" applyAlignment="1">
      <alignment horizontal="center" vertical="center" wrapText="1"/>
    </xf>
    <xf numFmtId="197" fontId="0" fillId="0" borderId="193" xfId="0" applyNumberFormat="1" applyFont="1" applyBorder="1" applyAlignment="1">
      <alignment horizontal="center" vertical="center"/>
    </xf>
    <xf numFmtId="197" fontId="22" fillId="0" borderId="169" xfId="0" applyNumberFormat="1" applyFont="1" applyBorder="1" applyAlignment="1">
      <alignment horizontal="center" vertical="center"/>
    </xf>
    <xf numFmtId="197" fontId="22" fillId="0" borderId="170" xfId="0" applyNumberFormat="1" applyFont="1" applyBorder="1" applyAlignment="1">
      <alignment horizontal="center" vertical="center"/>
    </xf>
    <xf numFmtId="197" fontId="22" fillId="0" borderId="171" xfId="0" applyNumberFormat="1" applyFont="1" applyBorder="1" applyAlignment="1">
      <alignment horizontal="center" vertical="center"/>
    </xf>
    <xf numFmtId="197" fontId="0" fillId="0" borderId="188" xfId="0" applyNumberFormat="1" applyBorder="1" applyAlignment="1">
      <alignment horizontal="center" vertical="center" wrapText="1"/>
    </xf>
    <xf numFmtId="197" fontId="0" fillId="0" borderId="162" xfId="0" applyNumberFormat="1" applyFont="1" applyBorder="1" applyAlignment="1">
      <alignment horizontal="center" vertical="center"/>
    </xf>
    <xf numFmtId="0" fontId="26" fillId="0" borderId="0" xfId="3" applyNumberFormat="1" applyFont="1" applyBorder="1" applyAlignment="1" applyProtection="1">
      <alignment horizontal="center"/>
    </xf>
    <xf numFmtId="0" fontId="23" fillId="25" borderId="84" xfId="3" applyFont="1" applyFill="1" applyBorder="1" applyAlignment="1" applyProtection="1">
      <alignment horizontal="center" vertical="center" textRotation="255"/>
    </xf>
    <xf numFmtId="0" fontId="23" fillId="25" borderId="91" xfId="3" applyFont="1" applyFill="1" applyBorder="1" applyAlignment="1" applyProtection="1">
      <alignment horizontal="center" vertical="center" textRotation="255"/>
    </xf>
    <xf numFmtId="0" fontId="23" fillId="25" borderId="93" xfId="3" applyFont="1" applyFill="1" applyBorder="1" applyAlignment="1" applyProtection="1">
      <alignment horizontal="center" vertical="center" textRotation="255"/>
    </xf>
    <xf numFmtId="0" fontId="9" fillId="25" borderId="84" xfId="3" applyFont="1" applyFill="1" applyBorder="1" applyAlignment="1" applyProtection="1">
      <alignment horizontal="center" vertical="center" textRotation="255" wrapText="1"/>
    </xf>
    <xf numFmtId="0" fontId="9" fillId="25" borderId="91" xfId="3" applyFont="1" applyFill="1" applyBorder="1" applyAlignment="1" applyProtection="1">
      <alignment horizontal="center" vertical="center" textRotation="255"/>
    </xf>
    <xf numFmtId="0" fontId="9" fillId="25" borderId="93" xfId="3" applyFont="1" applyFill="1" applyBorder="1" applyAlignment="1" applyProtection="1">
      <alignment horizontal="center" vertical="center" textRotation="255"/>
    </xf>
    <xf numFmtId="0" fontId="23" fillId="25" borderId="111" xfId="3" applyFont="1" applyFill="1" applyBorder="1" applyAlignment="1" applyProtection="1">
      <alignment horizontal="center" vertical="center" textRotation="255"/>
    </xf>
    <xf numFmtId="0" fontId="23" fillId="25" borderId="112" xfId="3" applyFont="1" applyFill="1" applyBorder="1" applyAlignment="1" applyProtection="1">
      <alignment horizontal="center" vertical="center" textRotation="255"/>
    </xf>
    <xf numFmtId="0" fontId="23" fillId="25" borderId="184" xfId="3" applyFont="1" applyFill="1" applyBorder="1" applyAlignment="1" applyProtection="1">
      <alignment horizontal="center" vertical="center" textRotation="255"/>
    </xf>
    <xf numFmtId="0" fontId="23" fillId="25" borderId="135" xfId="3" applyFont="1" applyFill="1" applyBorder="1" applyAlignment="1" applyProtection="1">
      <alignment horizontal="center" vertical="center" textRotation="255"/>
    </xf>
    <xf numFmtId="0" fontId="23" fillId="25" borderId="219" xfId="3" applyFont="1" applyFill="1" applyBorder="1" applyAlignment="1" applyProtection="1">
      <alignment horizontal="center" vertical="center" textRotation="255"/>
    </xf>
    <xf numFmtId="0" fontId="23" fillId="25" borderId="84" xfId="3" applyFont="1" applyFill="1" applyBorder="1" applyAlignment="1" applyProtection="1">
      <alignment horizontal="center" vertical="center" textRotation="255" wrapText="1"/>
    </xf>
    <xf numFmtId="0" fontId="0" fillId="24" borderId="0" xfId="0" applyFill="1" applyAlignment="1">
      <alignment horizontal="center" wrapText="1"/>
    </xf>
    <xf numFmtId="191" fontId="0" fillId="0" borderId="0" xfId="0" applyNumberFormat="1" applyAlignment="1">
      <alignment horizontal="right"/>
    </xf>
    <xf numFmtId="0" fontId="0" fillId="0" borderId="0" xfId="0" applyAlignment="1">
      <alignment horizontal="center"/>
    </xf>
    <xf numFmtId="206" fontId="0" fillId="0" borderId="0" xfId="0" applyNumberFormat="1" applyAlignment="1">
      <alignment horizontal="right"/>
    </xf>
    <xf numFmtId="206" fontId="21" fillId="0" borderId="0" xfId="0" applyNumberFormat="1" applyFont="1" applyAlignment="1">
      <alignment horizontal="right"/>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xf>
    <xf numFmtId="0" fontId="0" fillId="24" borderId="0" xfId="0" applyFill="1" applyBorder="1" applyAlignment="1">
      <alignment horizontal="right" vertical="center"/>
    </xf>
    <xf numFmtId="0" fontId="0" fillId="24" borderId="203" xfId="0" applyFill="1" applyBorder="1" applyAlignment="1">
      <alignment horizontal="right" vertical="center"/>
    </xf>
    <xf numFmtId="0" fontId="0" fillId="24" borderId="0" xfId="0" applyFill="1" applyAlignment="1">
      <alignment horizontal="center"/>
    </xf>
    <xf numFmtId="0" fontId="0" fillId="24" borderId="203" xfId="0" applyFill="1" applyBorder="1" applyAlignment="1">
      <alignment horizontal="center"/>
    </xf>
    <xf numFmtId="0" fontId="0" fillId="24" borderId="204" xfId="0" applyFill="1" applyBorder="1" applyAlignment="1">
      <alignment horizontal="center"/>
    </xf>
    <xf numFmtId="0" fontId="0" fillId="24" borderId="204" xfId="0" applyFill="1" applyBorder="1" applyAlignment="1">
      <alignment horizontal="center" wrapText="1"/>
    </xf>
    <xf numFmtId="0" fontId="0" fillId="24" borderId="203" xfId="0" applyFill="1" applyBorder="1" applyAlignment="1">
      <alignment horizontal="center" wrapText="1"/>
    </xf>
    <xf numFmtId="0" fontId="0" fillId="24" borderId="0" xfId="0" applyFill="1" applyBorder="1" applyAlignment="1">
      <alignment horizontal="center" wrapText="1"/>
    </xf>
    <xf numFmtId="0" fontId="0" fillId="0" borderId="231" xfId="0" applyBorder="1" applyAlignment="1">
      <alignment horizontal="left"/>
    </xf>
    <xf numFmtId="0" fontId="0" fillId="0" borderId="226" xfId="0" applyBorder="1" applyAlignment="1">
      <alignment horizontal="left"/>
    </xf>
    <xf numFmtId="0" fontId="0" fillId="0" borderId="242" xfId="0" applyBorder="1" applyAlignment="1">
      <alignment horizontal="center" vertical="center"/>
    </xf>
    <xf numFmtId="0" fontId="0" fillId="0" borderId="242" xfId="0" applyBorder="1" applyAlignment="1">
      <alignment horizontal="center" vertical="center" wrapText="1"/>
    </xf>
    <xf numFmtId="0" fontId="0" fillId="0" borderId="242" xfId="0" applyBorder="1" applyAlignment="1">
      <alignment horizontal="left" wrapText="1"/>
    </xf>
    <xf numFmtId="0" fontId="0" fillId="0" borderId="242" xfId="0" applyFill="1" applyBorder="1" applyAlignment="1">
      <alignment horizontal="center" vertical="center"/>
    </xf>
    <xf numFmtId="0" fontId="0" fillId="0" borderId="231" xfId="0" applyBorder="1" applyAlignment="1">
      <alignment horizontal="left" wrapText="1"/>
    </xf>
    <xf numFmtId="0" fontId="0" fillId="0" borderId="226" xfId="0" applyBorder="1" applyAlignment="1">
      <alignment horizontal="left" wrapText="1"/>
    </xf>
    <xf numFmtId="191" fontId="0" fillId="0" borderId="242" xfId="0" applyNumberFormat="1" applyBorder="1" applyAlignment="1">
      <alignment horizontal="right" vertical="center"/>
    </xf>
    <xf numFmtId="0" fontId="0" fillId="0" borderId="242" xfId="0" applyBorder="1" applyAlignment="1">
      <alignment horizontal="left" vertical="center"/>
    </xf>
    <xf numFmtId="0" fontId="0" fillId="0" borderId="0" xfId="0" applyAlignment="1">
      <alignment horizontal="center" vertical="center" wrapText="1"/>
    </xf>
    <xf numFmtId="207" fontId="0" fillId="0" borderId="0" xfId="0" applyNumberFormat="1" applyAlignment="1">
      <alignment horizontal="center" vertical="center" wrapText="1"/>
    </xf>
  </cellXfs>
  <cellStyles count="30">
    <cellStyle name="パーセント" xfId="1" builtinId="5"/>
    <cellStyle name="パーセント 2" xfId="10"/>
    <cellStyle name="桁区切り" xfId="2" builtinId="6"/>
    <cellStyle name="桁区切り 2" xfId="11"/>
    <cellStyle name="桁区切り 2 2" xfId="16"/>
    <cellStyle name="桁区切り 2 3" xfId="17"/>
    <cellStyle name="桁区切り 3" xfId="18"/>
    <cellStyle name="標準" xfId="0" builtinId="0"/>
    <cellStyle name="標準 10" xfId="19"/>
    <cellStyle name="標準 11" xfId="20"/>
    <cellStyle name="標準 2" xfId="8"/>
    <cellStyle name="標準 2 2" xfId="21"/>
    <cellStyle name="標準 2 3" xfId="22"/>
    <cellStyle name="標準 3" xfId="9"/>
    <cellStyle name="標準 4" xfId="23"/>
    <cellStyle name="標準 5" xfId="24"/>
    <cellStyle name="標準 6" xfId="25"/>
    <cellStyle name="標準 7" xfId="26"/>
    <cellStyle name="標準 8" xfId="27"/>
    <cellStyle name="標準 8 2" xfId="15"/>
    <cellStyle name="標準 9" xfId="28"/>
    <cellStyle name="標準_4.物財費" xfId="3"/>
    <cellStyle name="標準_Bfm" xfId="13"/>
    <cellStyle name="標準_BFM_1_Bfm_1 2" xfId="12"/>
    <cellStyle name="標準_Sheet1" xfId="4"/>
    <cellStyle name="標準_Sheet3" xfId="5"/>
    <cellStyle name="標準_経済性" xfId="6"/>
    <cellStyle name="標準_指標編集・営農条件シート_修正案_Bfm 2" xfId="14"/>
    <cellStyle name="標準_施設機械装備" xfId="7"/>
    <cellStyle name="未定義"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69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99FF66"/>
      <color rgb="FFCCFF99"/>
      <color rgb="FF99FF99"/>
      <color rgb="FF99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133350</xdr:rowOff>
    </xdr:from>
    <xdr:to>
      <xdr:col>3</xdr:col>
      <xdr:colOff>9525</xdr:colOff>
      <xdr:row>8</xdr:row>
      <xdr:rowOff>0</xdr:rowOff>
    </xdr:to>
    <xdr:sp macro="" textlink="">
      <xdr:nvSpPr>
        <xdr:cNvPr id="5235" name="Line 3"/>
        <xdr:cNvSpPr>
          <a:spLocks noChangeShapeType="1"/>
        </xdr:cNvSpPr>
      </xdr:nvSpPr>
      <xdr:spPr bwMode="auto">
        <a:xfrm>
          <a:off x="209550" y="504825"/>
          <a:ext cx="1485900" cy="800100"/>
        </a:xfrm>
        <a:prstGeom prst="line">
          <a:avLst/>
        </a:prstGeom>
        <a:noFill/>
        <a:ln w="9360">
          <a:solidFill>
            <a:srgbClr val="000000"/>
          </a:solidFill>
          <a:miter lim="800000"/>
          <a:headEnd/>
          <a:tailEnd/>
        </a:ln>
      </xdr:spPr>
    </xdr:sp>
    <xdr:clientData/>
  </xdr:twoCellAnchor>
  <xdr:twoCellAnchor>
    <xdr:from>
      <xdr:col>32</xdr:col>
      <xdr:colOff>28575</xdr:colOff>
      <xdr:row>50</xdr:row>
      <xdr:rowOff>38099</xdr:rowOff>
    </xdr:from>
    <xdr:to>
      <xdr:col>36</xdr:col>
      <xdr:colOff>457200</xdr:colOff>
      <xdr:row>62</xdr:row>
      <xdr:rowOff>76200</xdr:rowOff>
    </xdr:to>
    <xdr:sp macro="" textlink="">
      <xdr:nvSpPr>
        <xdr:cNvPr id="4" name="テキスト ボックス 3"/>
        <xdr:cNvSpPr txBox="1"/>
      </xdr:nvSpPr>
      <xdr:spPr>
        <a:xfrm>
          <a:off x="15897225" y="7667624"/>
          <a:ext cx="2333625" cy="228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○経産牛導入</a:t>
          </a:r>
          <a:endParaRPr kumimoji="1" lang="en-US" altLang="ja-JP" sz="1100"/>
        </a:p>
        <a:p>
          <a:r>
            <a:rPr kumimoji="1" lang="en-US" altLang="ja-JP" sz="1100"/>
            <a:t>…</a:t>
          </a:r>
          <a:r>
            <a:rPr kumimoji="1" lang="ja-JP" altLang="en-US" sz="1100"/>
            <a:t>放牧馴致期間</a:t>
          </a:r>
          <a:endParaRPr kumimoji="1" lang="en-US" altLang="ja-JP" sz="1100"/>
        </a:p>
        <a:p>
          <a:r>
            <a:rPr kumimoji="1" lang="en-US" altLang="ja-JP" sz="1100"/>
            <a:t>―</a:t>
          </a:r>
          <a:r>
            <a:rPr kumimoji="1" lang="ja-JP" altLang="en-US" sz="1100"/>
            <a:t>放牧期間</a:t>
          </a:r>
        </a:p>
        <a:p>
          <a:r>
            <a:rPr kumimoji="1" lang="ja-JP" altLang="en-US" sz="1100"/>
            <a:t>◎入牧</a:t>
          </a:r>
        </a:p>
        <a:p>
          <a:r>
            <a:rPr kumimoji="1" lang="ja-JP" altLang="en-US" sz="1100"/>
            <a:t>◇転牧</a:t>
          </a:r>
        </a:p>
        <a:p>
          <a:r>
            <a:rPr kumimoji="1" lang="ja-JP" altLang="en-US" sz="1100"/>
            <a:t>◆退牧・出荷</a:t>
          </a:r>
        </a:p>
        <a:p>
          <a:endParaRPr kumimoji="1" lang="ja-JP" altLang="en-US" sz="1100"/>
        </a:p>
        <a:p>
          <a:r>
            <a:rPr kumimoji="1" lang="ja-JP" altLang="en-US" sz="1100"/>
            <a:t>∩下草刈り</a:t>
          </a:r>
        </a:p>
        <a:p>
          <a:r>
            <a:rPr kumimoji="1" lang="ja-JP" altLang="en-US" sz="1100"/>
            <a:t>≠施設設置</a:t>
          </a:r>
        </a:p>
        <a:p>
          <a:r>
            <a:rPr kumimoji="1" lang="ja-JP" altLang="en-US" sz="1100"/>
            <a:t>☆放牧管理</a:t>
          </a:r>
        </a:p>
        <a:p>
          <a:r>
            <a:rPr kumimoji="1" lang="ja-JP" altLang="en-US" sz="1100"/>
            <a:t>△化粧刈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485773</xdr:colOff>
      <xdr:row>18</xdr:row>
      <xdr:rowOff>114300</xdr:rowOff>
    </xdr:from>
    <xdr:to>
      <xdr:col>4</xdr:col>
      <xdr:colOff>66674</xdr:colOff>
      <xdr:row>19</xdr:row>
      <xdr:rowOff>133350</xdr:rowOff>
    </xdr:to>
    <xdr:sp macro="" textlink="">
      <xdr:nvSpPr>
        <xdr:cNvPr id="2" name="フリーフォーム 1"/>
        <xdr:cNvSpPr/>
      </xdr:nvSpPr>
      <xdr:spPr bwMode="auto">
        <a:xfrm flipH="1">
          <a:off x="2114548" y="2857500"/>
          <a:ext cx="266701" cy="190500"/>
        </a:xfrm>
        <a:custGeom>
          <a:avLst/>
          <a:gdLst>
            <a:gd name="connsiteX0" fmla="*/ 4531360 w 9579686"/>
            <a:gd name="connsiteY0" fmla="*/ 711200 h 6177280"/>
            <a:gd name="connsiteX1" fmla="*/ 2722880 w 9579686"/>
            <a:gd name="connsiteY1" fmla="*/ 711200 h 6177280"/>
            <a:gd name="connsiteX2" fmla="*/ 2661920 w 9579686"/>
            <a:gd name="connsiteY2" fmla="*/ 690880 h 6177280"/>
            <a:gd name="connsiteX3" fmla="*/ 2540000 w 9579686"/>
            <a:gd name="connsiteY3" fmla="*/ 670560 h 6177280"/>
            <a:gd name="connsiteX4" fmla="*/ 2479040 w 9579686"/>
            <a:gd name="connsiteY4" fmla="*/ 650240 h 6177280"/>
            <a:gd name="connsiteX5" fmla="*/ 2316480 w 9579686"/>
            <a:gd name="connsiteY5" fmla="*/ 629920 h 6177280"/>
            <a:gd name="connsiteX6" fmla="*/ 2113280 w 9579686"/>
            <a:gd name="connsiteY6" fmla="*/ 589280 h 6177280"/>
            <a:gd name="connsiteX7" fmla="*/ 1341120 w 9579686"/>
            <a:gd name="connsiteY7" fmla="*/ 548640 h 6177280"/>
            <a:gd name="connsiteX8" fmla="*/ 1076960 w 9579686"/>
            <a:gd name="connsiteY8" fmla="*/ 568960 h 6177280"/>
            <a:gd name="connsiteX9" fmla="*/ 1016000 w 9579686"/>
            <a:gd name="connsiteY9" fmla="*/ 609600 h 6177280"/>
            <a:gd name="connsiteX10" fmla="*/ 955040 w 9579686"/>
            <a:gd name="connsiteY10" fmla="*/ 629920 h 6177280"/>
            <a:gd name="connsiteX11" fmla="*/ 833120 w 9579686"/>
            <a:gd name="connsiteY11" fmla="*/ 711200 h 6177280"/>
            <a:gd name="connsiteX12" fmla="*/ 711200 w 9579686"/>
            <a:gd name="connsiteY12" fmla="*/ 792480 h 6177280"/>
            <a:gd name="connsiteX13" fmla="*/ 650240 w 9579686"/>
            <a:gd name="connsiteY13" fmla="*/ 833120 h 6177280"/>
            <a:gd name="connsiteX14" fmla="*/ 548640 w 9579686"/>
            <a:gd name="connsiteY14" fmla="*/ 914400 h 6177280"/>
            <a:gd name="connsiteX15" fmla="*/ 487680 w 9579686"/>
            <a:gd name="connsiteY15" fmla="*/ 975360 h 6177280"/>
            <a:gd name="connsiteX16" fmla="*/ 426720 w 9579686"/>
            <a:gd name="connsiteY16" fmla="*/ 1016000 h 6177280"/>
            <a:gd name="connsiteX17" fmla="*/ 365760 w 9579686"/>
            <a:gd name="connsiteY17" fmla="*/ 1158240 h 6177280"/>
            <a:gd name="connsiteX18" fmla="*/ 325120 w 9579686"/>
            <a:gd name="connsiteY18" fmla="*/ 1219200 h 6177280"/>
            <a:gd name="connsiteX19" fmla="*/ 264160 w 9579686"/>
            <a:gd name="connsiteY19" fmla="*/ 1341120 h 6177280"/>
            <a:gd name="connsiteX20" fmla="*/ 203200 w 9579686"/>
            <a:gd name="connsiteY20" fmla="*/ 1483360 h 6177280"/>
            <a:gd name="connsiteX21" fmla="*/ 162560 w 9579686"/>
            <a:gd name="connsiteY21" fmla="*/ 1605280 h 6177280"/>
            <a:gd name="connsiteX22" fmla="*/ 182880 w 9579686"/>
            <a:gd name="connsiteY22" fmla="*/ 1849120 h 6177280"/>
            <a:gd name="connsiteX23" fmla="*/ 203200 w 9579686"/>
            <a:gd name="connsiteY23" fmla="*/ 1930400 h 6177280"/>
            <a:gd name="connsiteX24" fmla="*/ 223520 w 9579686"/>
            <a:gd name="connsiteY24" fmla="*/ 2052320 h 6177280"/>
            <a:gd name="connsiteX25" fmla="*/ 243840 w 9579686"/>
            <a:gd name="connsiteY25" fmla="*/ 2153920 h 6177280"/>
            <a:gd name="connsiteX26" fmla="*/ 243840 w 9579686"/>
            <a:gd name="connsiteY26" fmla="*/ 2824480 h 6177280"/>
            <a:gd name="connsiteX27" fmla="*/ 284480 w 9579686"/>
            <a:gd name="connsiteY27" fmla="*/ 2926080 h 6177280"/>
            <a:gd name="connsiteX28" fmla="*/ 264160 w 9579686"/>
            <a:gd name="connsiteY28" fmla="*/ 3251200 h 6177280"/>
            <a:gd name="connsiteX29" fmla="*/ 203200 w 9579686"/>
            <a:gd name="connsiteY29" fmla="*/ 3434080 h 6177280"/>
            <a:gd name="connsiteX30" fmla="*/ 182880 w 9579686"/>
            <a:gd name="connsiteY30" fmla="*/ 3535680 h 6177280"/>
            <a:gd name="connsiteX31" fmla="*/ 142240 w 9579686"/>
            <a:gd name="connsiteY31" fmla="*/ 3657600 h 6177280"/>
            <a:gd name="connsiteX32" fmla="*/ 121920 w 9579686"/>
            <a:gd name="connsiteY32" fmla="*/ 3759200 h 6177280"/>
            <a:gd name="connsiteX33" fmla="*/ 81280 w 9579686"/>
            <a:gd name="connsiteY33" fmla="*/ 3881120 h 6177280"/>
            <a:gd name="connsiteX34" fmla="*/ 40640 w 9579686"/>
            <a:gd name="connsiteY34" fmla="*/ 4003040 h 6177280"/>
            <a:gd name="connsiteX35" fmla="*/ 20320 w 9579686"/>
            <a:gd name="connsiteY35" fmla="*/ 4064000 h 6177280"/>
            <a:gd name="connsiteX36" fmla="*/ 0 w 9579686"/>
            <a:gd name="connsiteY36" fmla="*/ 4145280 h 6177280"/>
            <a:gd name="connsiteX37" fmla="*/ 60960 w 9579686"/>
            <a:gd name="connsiteY37" fmla="*/ 4409440 h 6177280"/>
            <a:gd name="connsiteX38" fmla="*/ 121920 w 9579686"/>
            <a:gd name="connsiteY38" fmla="*/ 4450080 h 6177280"/>
            <a:gd name="connsiteX39" fmla="*/ 162560 w 9579686"/>
            <a:gd name="connsiteY39" fmla="*/ 4389120 h 6177280"/>
            <a:gd name="connsiteX40" fmla="*/ 203200 w 9579686"/>
            <a:gd name="connsiteY40" fmla="*/ 4267200 h 6177280"/>
            <a:gd name="connsiteX41" fmla="*/ 243840 w 9579686"/>
            <a:gd name="connsiteY41" fmla="*/ 3962400 h 6177280"/>
            <a:gd name="connsiteX42" fmla="*/ 284480 w 9579686"/>
            <a:gd name="connsiteY42" fmla="*/ 3840480 h 6177280"/>
            <a:gd name="connsiteX43" fmla="*/ 304800 w 9579686"/>
            <a:gd name="connsiteY43" fmla="*/ 3738880 h 6177280"/>
            <a:gd name="connsiteX44" fmla="*/ 345440 w 9579686"/>
            <a:gd name="connsiteY44" fmla="*/ 3616960 h 6177280"/>
            <a:gd name="connsiteX45" fmla="*/ 365760 w 9579686"/>
            <a:gd name="connsiteY45" fmla="*/ 3434080 h 6177280"/>
            <a:gd name="connsiteX46" fmla="*/ 386080 w 9579686"/>
            <a:gd name="connsiteY46" fmla="*/ 3373120 h 6177280"/>
            <a:gd name="connsiteX47" fmla="*/ 406400 w 9579686"/>
            <a:gd name="connsiteY47" fmla="*/ 3271520 h 6177280"/>
            <a:gd name="connsiteX48" fmla="*/ 447040 w 9579686"/>
            <a:gd name="connsiteY48" fmla="*/ 3149600 h 6177280"/>
            <a:gd name="connsiteX49" fmla="*/ 487680 w 9579686"/>
            <a:gd name="connsiteY49" fmla="*/ 2885440 h 6177280"/>
            <a:gd name="connsiteX50" fmla="*/ 528320 w 9579686"/>
            <a:gd name="connsiteY50" fmla="*/ 2621280 h 6177280"/>
            <a:gd name="connsiteX51" fmla="*/ 650240 w 9579686"/>
            <a:gd name="connsiteY51" fmla="*/ 2844800 h 6177280"/>
            <a:gd name="connsiteX52" fmla="*/ 690880 w 9579686"/>
            <a:gd name="connsiteY52" fmla="*/ 2966720 h 6177280"/>
            <a:gd name="connsiteX53" fmla="*/ 711200 w 9579686"/>
            <a:gd name="connsiteY53" fmla="*/ 3048000 h 6177280"/>
            <a:gd name="connsiteX54" fmla="*/ 751840 w 9579686"/>
            <a:gd name="connsiteY54" fmla="*/ 3108960 h 6177280"/>
            <a:gd name="connsiteX55" fmla="*/ 792480 w 9579686"/>
            <a:gd name="connsiteY55" fmla="*/ 3230880 h 6177280"/>
            <a:gd name="connsiteX56" fmla="*/ 812800 w 9579686"/>
            <a:gd name="connsiteY56" fmla="*/ 3291840 h 6177280"/>
            <a:gd name="connsiteX57" fmla="*/ 833120 w 9579686"/>
            <a:gd name="connsiteY57" fmla="*/ 3352800 h 6177280"/>
            <a:gd name="connsiteX58" fmla="*/ 873760 w 9579686"/>
            <a:gd name="connsiteY58" fmla="*/ 3535680 h 6177280"/>
            <a:gd name="connsiteX59" fmla="*/ 812800 w 9579686"/>
            <a:gd name="connsiteY59" fmla="*/ 4064000 h 6177280"/>
            <a:gd name="connsiteX60" fmla="*/ 772160 w 9579686"/>
            <a:gd name="connsiteY60" fmla="*/ 4124960 h 6177280"/>
            <a:gd name="connsiteX61" fmla="*/ 731520 w 9579686"/>
            <a:gd name="connsiteY61" fmla="*/ 4246880 h 6177280"/>
            <a:gd name="connsiteX62" fmla="*/ 751840 w 9579686"/>
            <a:gd name="connsiteY62" fmla="*/ 4490720 h 6177280"/>
            <a:gd name="connsiteX63" fmla="*/ 792480 w 9579686"/>
            <a:gd name="connsiteY63" fmla="*/ 4612640 h 6177280"/>
            <a:gd name="connsiteX64" fmla="*/ 833120 w 9579686"/>
            <a:gd name="connsiteY64" fmla="*/ 4856480 h 6177280"/>
            <a:gd name="connsiteX65" fmla="*/ 853440 w 9579686"/>
            <a:gd name="connsiteY65" fmla="*/ 5567680 h 6177280"/>
            <a:gd name="connsiteX66" fmla="*/ 955040 w 9579686"/>
            <a:gd name="connsiteY66" fmla="*/ 5791200 h 6177280"/>
            <a:gd name="connsiteX67" fmla="*/ 975360 w 9579686"/>
            <a:gd name="connsiteY67" fmla="*/ 5852160 h 6177280"/>
            <a:gd name="connsiteX68" fmla="*/ 1320800 w 9579686"/>
            <a:gd name="connsiteY68" fmla="*/ 5872480 h 6177280"/>
            <a:gd name="connsiteX69" fmla="*/ 1402080 w 9579686"/>
            <a:gd name="connsiteY69" fmla="*/ 5892800 h 6177280"/>
            <a:gd name="connsiteX70" fmla="*/ 1463040 w 9579686"/>
            <a:gd name="connsiteY70" fmla="*/ 5913120 h 6177280"/>
            <a:gd name="connsiteX71" fmla="*/ 1584960 w 9579686"/>
            <a:gd name="connsiteY71" fmla="*/ 5892800 h 6177280"/>
            <a:gd name="connsiteX72" fmla="*/ 1645920 w 9579686"/>
            <a:gd name="connsiteY72" fmla="*/ 5852160 h 6177280"/>
            <a:gd name="connsiteX73" fmla="*/ 1605280 w 9579686"/>
            <a:gd name="connsiteY73" fmla="*/ 5730240 h 6177280"/>
            <a:gd name="connsiteX74" fmla="*/ 1544320 w 9579686"/>
            <a:gd name="connsiteY74" fmla="*/ 5466080 h 6177280"/>
            <a:gd name="connsiteX75" fmla="*/ 1524000 w 9579686"/>
            <a:gd name="connsiteY75" fmla="*/ 5405120 h 6177280"/>
            <a:gd name="connsiteX76" fmla="*/ 1402080 w 9579686"/>
            <a:gd name="connsiteY76" fmla="*/ 5323840 h 6177280"/>
            <a:gd name="connsiteX77" fmla="*/ 1280160 w 9579686"/>
            <a:gd name="connsiteY77" fmla="*/ 5222240 h 6177280"/>
            <a:gd name="connsiteX78" fmla="*/ 1239520 w 9579686"/>
            <a:gd name="connsiteY78" fmla="*/ 5100320 h 6177280"/>
            <a:gd name="connsiteX79" fmla="*/ 1137920 w 9579686"/>
            <a:gd name="connsiteY79" fmla="*/ 4917440 h 6177280"/>
            <a:gd name="connsiteX80" fmla="*/ 1158240 w 9579686"/>
            <a:gd name="connsiteY80" fmla="*/ 4734560 h 6177280"/>
            <a:gd name="connsiteX81" fmla="*/ 1219200 w 9579686"/>
            <a:gd name="connsiteY81" fmla="*/ 4592320 h 6177280"/>
            <a:gd name="connsiteX82" fmla="*/ 1280160 w 9579686"/>
            <a:gd name="connsiteY82" fmla="*/ 4531360 h 6177280"/>
            <a:gd name="connsiteX83" fmla="*/ 1300480 w 9579686"/>
            <a:gd name="connsiteY83" fmla="*/ 4348480 h 6177280"/>
            <a:gd name="connsiteX84" fmla="*/ 1361440 w 9579686"/>
            <a:gd name="connsiteY84" fmla="*/ 4429760 h 6177280"/>
            <a:gd name="connsiteX85" fmla="*/ 1442720 w 9579686"/>
            <a:gd name="connsiteY85" fmla="*/ 4612640 h 6177280"/>
            <a:gd name="connsiteX86" fmla="*/ 1503680 w 9579686"/>
            <a:gd name="connsiteY86" fmla="*/ 5303520 h 6177280"/>
            <a:gd name="connsiteX87" fmla="*/ 1524000 w 9579686"/>
            <a:gd name="connsiteY87" fmla="*/ 5364480 h 6177280"/>
            <a:gd name="connsiteX88" fmla="*/ 1584960 w 9579686"/>
            <a:gd name="connsiteY88" fmla="*/ 5425440 h 6177280"/>
            <a:gd name="connsiteX89" fmla="*/ 1605280 w 9579686"/>
            <a:gd name="connsiteY89" fmla="*/ 5527040 h 6177280"/>
            <a:gd name="connsiteX90" fmla="*/ 1645920 w 9579686"/>
            <a:gd name="connsiteY90" fmla="*/ 5648960 h 6177280"/>
            <a:gd name="connsiteX91" fmla="*/ 1666240 w 9579686"/>
            <a:gd name="connsiteY91" fmla="*/ 5750560 h 6177280"/>
            <a:gd name="connsiteX92" fmla="*/ 1727200 w 9579686"/>
            <a:gd name="connsiteY92" fmla="*/ 5791200 h 6177280"/>
            <a:gd name="connsiteX93" fmla="*/ 1991360 w 9579686"/>
            <a:gd name="connsiteY93" fmla="*/ 5770880 h 6177280"/>
            <a:gd name="connsiteX94" fmla="*/ 2113280 w 9579686"/>
            <a:gd name="connsiteY94" fmla="*/ 5750560 h 6177280"/>
            <a:gd name="connsiteX95" fmla="*/ 2092960 w 9579686"/>
            <a:gd name="connsiteY95" fmla="*/ 5648960 h 6177280"/>
            <a:gd name="connsiteX96" fmla="*/ 1971040 w 9579686"/>
            <a:gd name="connsiteY96" fmla="*/ 5405120 h 6177280"/>
            <a:gd name="connsiteX97" fmla="*/ 1971040 w 9579686"/>
            <a:gd name="connsiteY97" fmla="*/ 5405120 h 6177280"/>
            <a:gd name="connsiteX98" fmla="*/ 1889760 w 9579686"/>
            <a:gd name="connsiteY98" fmla="*/ 5222240 h 6177280"/>
            <a:gd name="connsiteX99" fmla="*/ 1869440 w 9579686"/>
            <a:gd name="connsiteY99" fmla="*/ 5140960 h 6177280"/>
            <a:gd name="connsiteX100" fmla="*/ 1849120 w 9579686"/>
            <a:gd name="connsiteY100" fmla="*/ 5080000 h 6177280"/>
            <a:gd name="connsiteX101" fmla="*/ 1788160 w 9579686"/>
            <a:gd name="connsiteY101" fmla="*/ 4734560 h 6177280"/>
            <a:gd name="connsiteX102" fmla="*/ 1828800 w 9579686"/>
            <a:gd name="connsiteY102" fmla="*/ 4084320 h 6177280"/>
            <a:gd name="connsiteX103" fmla="*/ 1849120 w 9579686"/>
            <a:gd name="connsiteY103" fmla="*/ 3982720 h 6177280"/>
            <a:gd name="connsiteX104" fmla="*/ 1930400 w 9579686"/>
            <a:gd name="connsiteY104" fmla="*/ 3860800 h 6177280"/>
            <a:gd name="connsiteX105" fmla="*/ 2052320 w 9579686"/>
            <a:gd name="connsiteY105" fmla="*/ 3779520 h 6177280"/>
            <a:gd name="connsiteX106" fmla="*/ 2113280 w 9579686"/>
            <a:gd name="connsiteY106" fmla="*/ 3738880 h 6177280"/>
            <a:gd name="connsiteX107" fmla="*/ 2235200 w 9579686"/>
            <a:gd name="connsiteY107" fmla="*/ 3637280 h 6177280"/>
            <a:gd name="connsiteX108" fmla="*/ 2296160 w 9579686"/>
            <a:gd name="connsiteY108" fmla="*/ 3616960 h 6177280"/>
            <a:gd name="connsiteX109" fmla="*/ 2621280 w 9579686"/>
            <a:gd name="connsiteY109" fmla="*/ 3657600 h 6177280"/>
            <a:gd name="connsiteX110" fmla="*/ 2743200 w 9579686"/>
            <a:gd name="connsiteY110" fmla="*/ 3698240 h 6177280"/>
            <a:gd name="connsiteX111" fmla="*/ 2804160 w 9579686"/>
            <a:gd name="connsiteY111" fmla="*/ 3718560 h 6177280"/>
            <a:gd name="connsiteX112" fmla="*/ 2865120 w 9579686"/>
            <a:gd name="connsiteY112" fmla="*/ 3759200 h 6177280"/>
            <a:gd name="connsiteX113" fmla="*/ 2987040 w 9579686"/>
            <a:gd name="connsiteY113" fmla="*/ 3799840 h 6177280"/>
            <a:gd name="connsiteX114" fmla="*/ 3108960 w 9579686"/>
            <a:gd name="connsiteY114" fmla="*/ 3840480 h 6177280"/>
            <a:gd name="connsiteX115" fmla="*/ 3169920 w 9579686"/>
            <a:gd name="connsiteY115" fmla="*/ 3860800 h 6177280"/>
            <a:gd name="connsiteX116" fmla="*/ 3271520 w 9579686"/>
            <a:gd name="connsiteY116" fmla="*/ 3881120 h 6177280"/>
            <a:gd name="connsiteX117" fmla="*/ 3454400 w 9579686"/>
            <a:gd name="connsiteY117" fmla="*/ 4023360 h 6177280"/>
            <a:gd name="connsiteX118" fmla="*/ 3515360 w 9579686"/>
            <a:gd name="connsiteY118" fmla="*/ 3982720 h 6177280"/>
            <a:gd name="connsiteX119" fmla="*/ 3515360 w 9579686"/>
            <a:gd name="connsiteY119" fmla="*/ 3860800 h 6177280"/>
            <a:gd name="connsiteX120" fmla="*/ 3759200 w 9579686"/>
            <a:gd name="connsiteY120" fmla="*/ 3840480 h 6177280"/>
            <a:gd name="connsiteX121" fmla="*/ 3820160 w 9579686"/>
            <a:gd name="connsiteY121" fmla="*/ 3820160 h 6177280"/>
            <a:gd name="connsiteX122" fmla="*/ 4450080 w 9579686"/>
            <a:gd name="connsiteY122" fmla="*/ 3860800 h 6177280"/>
            <a:gd name="connsiteX123" fmla="*/ 4693920 w 9579686"/>
            <a:gd name="connsiteY123" fmla="*/ 3840480 h 6177280"/>
            <a:gd name="connsiteX124" fmla="*/ 4897120 w 9579686"/>
            <a:gd name="connsiteY124" fmla="*/ 3799840 h 6177280"/>
            <a:gd name="connsiteX125" fmla="*/ 5120640 w 9579686"/>
            <a:gd name="connsiteY125" fmla="*/ 3779520 h 6177280"/>
            <a:gd name="connsiteX126" fmla="*/ 5181600 w 9579686"/>
            <a:gd name="connsiteY126" fmla="*/ 3921760 h 6177280"/>
            <a:gd name="connsiteX127" fmla="*/ 5140960 w 9579686"/>
            <a:gd name="connsiteY127" fmla="*/ 4348480 h 6177280"/>
            <a:gd name="connsiteX128" fmla="*/ 5140960 w 9579686"/>
            <a:gd name="connsiteY128" fmla="*/ 4734560 h 6177280"/>
            <a:gd name="connsiteX129" fmla="*/ 5222240 w 9579686"/>
            <a:gd name="connsiteY129" fmla="*/ 4856480 h 6177280"/>
            <a:gd name="connsiteX130" fmla="*/ 5181600 w 9579686"/>
            <a:gd name="connsiteY130" fmla="*/ 5222240 h 6177280"/>
            <a:gd name="connsiteX131" fmla="*/ 5161280 w 9579686"/>
            <a:gd name="connsiteY131" fmla="*/ 5364480 h 6177280"/>
            <a:gd name="connsiteX132" fmla="*/ 5201920 w 9579686"/>
            <a:gd name="connsiteY132" fmla="*/ 5791200 h 6177280"/>
            <a:gd name="connsiteX133" fmla="*/ 5161280 w 9579686"/>
            <a:gd name="connsiteY133" fmla="*/ 5933440 h 6177280"/>
            <a:gd name="connsiteX134" fmla="*/ 5181600 w 9579686"/>
            <a:gd name="connsiteY134" fmla="*/ 5994400 h 6177280"/>
            <a:gd name="connsiteX135" fmla="*/ 5323840 w 9579686"/>
            <a:gd name="connsiteY135" fmla="*/ 6136640 h 6177280"/>
            <a:gd name="connsiteX136" fmla="*/ 5588000 w 9579686"/>
            <a:gd name="connsiteY136" fmla="*/ 6156960 h 6177280"/>
            <a:gd name="connsiteX137" fmla="*/ 5730240 w 9579686"/>
            <a:gd name="connsiteY137" fmla="*/ 6177280 h 6177280"/>
            <a:gd name="connsiteX138" fmla="*/ 5831840 w 9579686"/>
            <a:gd name="connsiteY138" fmla="*/ 6156960 h 6177280"/>
            <a:gd name="connsiteX139" fmla="*/ 5852160 w 9579686"/>
            <a:gd name="connsiteY139" fmla="*/ 6096000 h 6177280"/>
            <a:gd name="connsiteX140" fmla="*/ 5872480 w 9579686"/>
            <a:gd name="connsiteY140" fmla="*/ 5953760 h 6177280"/>
            <a:gd name="connsiteX141" fmla="*/ 5933440 w 9579686"/>
            <a:gd name="connsiteY141" fmla="*/ 5933440 h 6177280"/>
            <a:gd name="connsiteX142" fmla="*/ 5974080 w 9579686"/>
            <a:gd name="connsiteY142" fmla="*/ 5872480 h 6177280"/>
            <a:gd name="connsiteX143" fmla="*/ 5913120 w 9579686"/>
            <a:gd name="connsiteY143" fmla="*/ 5709920 h 6177280"/>
            <a:gd name="connsiteX144" fmla="*/ 5852160 w 9579686"/>
            <a:gd name="connsiteY144" fmla="*/ 5648960 h 6177280"/>
            <a:gd name="connsiteX145" fmla="*/ 5811520 w 9579686"/>
            <a:gd name="connsiteY145" fmla="*/ 5567680 h 6177280"/>
            <a:gd name="connsiteX146" fmla="*/ 5770880 w 9579686"/>
            <a:gd name="connsiteY146" fmla="*/ 5303520 h 6177280"/>
            <a:gd name="connsiteX147" fmla="*/ 5730240 w 9579686"/>
            <a:gd name="connsiteY147" fmla="*/ 5181600 h 6177280"/>
            <a:gd name="connsiteX148" fmla="*/ 5770880 w 9579686"/>
            <a:gd name="connsiteY148" fmla="*/ 4978400 h 6177280"/>
            <a:gd name="connsiteX149" fmla="*/ 5791200 w 9579686"/>
            <a:gd name="connsiteY149" fmla="*/ 4876800 h 6177280"/>
            <a:gd name="connsiteX150" fmla="*/ 5831840 w 9579686"/>
            <a:gd name="connsiteY150" fmla="*/ 4754880 h 6177280"/>
            <a:gd name="connsiteX151" fmla="*/ 5872480 w 9579686"/>
            <a:gd name="connsiteY151" fmla="*/ 4693920 h 6177280"/>
            <a:gd name="connsiteX152" fmla="*/ 5913120 w 9579686"/>
            <a:gd name="connsiteY152" fmla="*/ 4572000 h 6177280"/>
            <a:gd name="connsiteX153" fmla="*/ 5953760 w 9579686"/>
            <a:gd name="connsiteY153" fmla="*/ 4409440 h 6177280"/>
            <a:gd name="connsiteX154" fmla="*/ 6014720 w 9579686"/>
            <a:gd name="connsiteY154" fmla="*/ 4165600 h 6177280"/>
            <a:gd name="connsiteX155" fmla="*/ 6055360 w 9579686"/>
            <a:gd name="connsiteY155" fmla="*/ 4104640 h 6177280"/>
            <a:gd name="connsiteX156" fmla="*/ 6278880 w 9579686"/>
            <a:gd name="connsiteY156" fmla="*/ 4043680 h 6177280"/>
            <a:gd name="connsiteX157" fmla="*/ 6360160 w 9579686"/>
            <a:gd name="connsiteY157" fmla="*/ 4023360 h 6177280"/>
            <a:gd name="connsiteX158" fmla="*/ 6543040 w 9579686"/>
            <a:gd name="connsiteY158" fmla="*/ 3982720 h 6177280"/>
            <a:gd name="connsiteX159" fmla="*/ 6624320 w 9579686"/>
            <a:gd name="connsiteY159" fmla="*/ 3860800 h 6177280"/>
            <a:gd name="connsiteX160" fmla="*/ 6705600 w 9579686"/>
            <a:gd name="connsiteY160" fmla="*/ 3738880 h 6177280"/>
            <a:gd name="connsiteX161" fmla="*/ 6746240 w 9579686"/>
            <a:gd name="connsiteY161" fmla="*/ 3677920 h 6177280"/>
            <a:gd name="connsiteX162" fmla="*/ 6786880 w 9579686"/>
            <a:gd name="connsiteY162" fmla="*/ 3556000 h 6177280"/>
            <a:gd name="connsiteX163" fmla="*/ 6827520 w 9579686"/>
            <a:gd name="connsiteY163" fmla="*/ 3495040 h 6177280"/>
            <a:gd name="connsiteX164" fmla="*/ 6847840 w 9579686"/>
            <a:gd name="connsiteY164" fmla="*/ 3434080 h 6177280"/>
            <a:gd name="connsiteX165" fmla="*/ 6888480 w 9579686"/>
            <a:gd name="connsiteY165" fmla="*/ 3373120 h 6177280"/>
            <a:gd name="connsiteX166" fmla="*/ 6908800 w 9579686"/>
            <a:gd name="connsiteY166" fmla="*/ 3312160 h 6177280"/>
            <a:gd name="connsiteX167" fmla="*/ 7030720 w 9579686"/>
            <a:gd name="connsiteY167" fmla="*/ 3271520 h 6177280"/>
            <a:gd name="connsiteX168" fmla="*/ 7112000 w 9579686"/>
            <a:gd name="connsiteY168" fmla="*/ 3068320 h 6177280"/>
            <a:gd name="connsiteX169" fmla="*/ 7213600 w 9579686"/>
            <a:gd name="connsiteY169" fmla="*/ 2885440 h 6177280"/>
            <a:gd name="connsiteX170" fmla="*/ 7254240 w 9579686"/>
            <a:gd name="connsiteY170" fmla="*/ 2824480 h 6177280"/>
            <a:gd name="connsiteX171" fmla="*/ 7437120 w 9579686"/>
            <a:gd name="connsiteY171" fmla="*/ 2702560 h 6177280"/>
            <a:gd name="connsiteX172" fmla="*/ 7498080 w 9579686"/>
            <a:gd name="connsiteY172" fmla="*/ 2661920 h 6177280"/>
            <a:gd name="connsiteX173" fmla="*/ 7620000 w 9579686"/>
            <a:gd name="connsiteY173" fmla="*/ 2621280 h 6177280"/>
            <a:gd name="connsiteX174" fmla="*/ 7701280 w 9579686"/>
            <a:gd name="connsiteY174" fmla="*/ 2560320 h 6177280"/>
            <a:gd name="connsiteX175" fmla="*/ 7823200 w 9579686"/>
            <a:gd name="connsiteY175" fmla="*/ 2479040 h 6177280"/>
            <a:gd name="connsiteX176" fmla="*/ 7884160 w 9579686"/>
            <a:gd name="connsiteY176" fmla="*/ 2418080 h 6177280"/>
            <a:gd name="connsiteX177" fmla="*/ 8453120 w 9579686"/>
            <a:gd name="connsiteY177" fmla="*/ 2438400 h 6177280"/>
            <a:gd name="connsiteX178" fmla="*/ 8514080 w 9579686"/>
            <a:gd name="connsiteY178" fmla="*/ 2458720 h 6177280"/>
            <a:gd name="connsiteX179" fmla="*/ 8575040 w 9579686"/>
            <a:gd name="connsiteY179" fmla="*/ 2499360 h 6177280"/>
            <a:gd name="connsiteX180" fmla="*/ 8818880 w 9579686"/>
            <a:gd name="connsiteY180" fmla="*/ 2479040 h 6177280"/>
            <a:gd name="connsiteX181" fmla="*/ 8940800 w 9579686"/>
            <a:gd name="connsiteY181" fmla="*/ 2519680 h 6177280"/>
            <a:gd name="connsiteX182" fmla="*/ 9184640 w 9579686"/>
            <a:gd name="connsiteY182" fmla="*/ 2479040 h 6177280"/>
            <a:gd name="connsiteX183" fmla="*/ 9326880 w 9579686"/>
            <a:gd name="connsiteY183" fmla="*/ 2438400 h 6177280"/>
            <a:gd name="connsiteX184" fmla="*/ 9408160 w 9579686"/>
            <a:gd name="connsiteY184" fmla="*/ 2418080 h 6177280"/>
            <a:gd name="connsiteX185" fmla="*/ 9428480 w 9579686"/>
            <a:gd name="connsiteY185" fmla="*/ 2255520 h 6177280"/>
            <a:gd name="connsiteX186" fmla="*/ 9570720 w 9579686"/>
            <a:gd name="connsiteY186" fmla="*/ 2235200 h 6177280"/>
            <a:gd name="connsiteX187" fmla="*/ 9550400 w 9579686"/>
            <a:gd name="connsiteY187" fmla="*/ 2113280 h 6177280"/>
            <a:gd name="connsiteX188" fmla="*/ 9530080 w 9579686"/>
            <a:gd name="connsiteY188" fmla="*/ 1950720 h 6177280"/>
            <a:gd name="connsiteX189" fmla="*/ 9428480 w 9579686"/>
            <a:gd name="connsiteY189" fmla="*/ 1767840 h 6177280"/>
            <a:gd name="connsiteX190" fmla="*/ 9387840 w 9579686"/>
            <a:gd name="connsiteY190" fmla="*/ 1706880 h 6177280"/>
            <a:gd name="connsiteX191" fmla="*/ 9347200 w 9579686"/>
            <a:gd name="connsiteY191" fmla="*/ 1645920 h 6177280"/>
            <a:gd name="connsiteX192" fmla="*/ 9326880 w 9579686"/>
            <a:gd name="connsiteY192" fmla="*/ 1584960 h 6177280"/>
            <a:gd name="connsiteX193" fmla="*/ 9184640 w 9579686"/>
            <a:gd name="connsiteY193" fmla="*/ 1402080 h 6177280"/>
            <a:gd name="connsiteX194" fmla="*/ 9144000 w 9579686"/>
            <a:gd name="connsiteY194" fmla="*/ 1178560 h 6177280"/>
            <a:gd name="connsiteX195" fmla="*/ 9123680 w 9579686"/>
            <a:gd name="connsiteY195" fmla="*/ 1117600 h 6177280"/>
            <a:gd name="connsiteX196" fmla="*/ 9103360 w 9579686"/>
            <a:gd name="connsiteY196" fmla="*/ 1036320 h 6177280"/>
            <a:gd name="connsiteX197" fmla="*/ 9001760 w 9579686"/>
            <a:gd name="connsiteY197" fmla="*/ 914400 h 6177280"/>
            <a:gd name="connsiteX198" fmla="*/ 8879840 w 9579686"/>
            <a:gd name="connsiteY198" fmla="*/ 670560 h 6177280"/>
            <a:gd name="connsiteX199" fmla="*/ 8859520 w 9579686"/>
            <a:gd name="connsiteY199" fmla="*/ 609600 h 6177280"/>
            <a:gd name="connsiteX200" fmla="*/ 8900160 w 9579686"/>
            <a:gd name="connsiteY200" fmla="*/ 406400 h 6177280"/>
            <a:gd name="connsiteX201" fmla="*/ 9062720 w 9579686"/>
            <a:gd name="connsiteY201" fmla="*/ 345440 h 6177280"/>
            <a:gd name="connsiteX202" fmla="*/ 9245600 w 9579686"/>
            <a:gd name="connsiteY202" fmla="*/ 264160 h 6177280"/>
            <a:gd name="connsiteX203" fmla="*/ 9306560 w 9579686"/>
            <a:gd name="connsiteY203" fmla="*/ 142240 h 6177280"/>
            <a:gd name="connsiteX204" fmla="*/ 9245600 w 9579686"/>
            <a:gd name="connsiteY204" fmla="*/ 101600 h 6177280"/>
            <a:gd name="connsiteX205" fmla="*/ 9164320 w 9579686"/>
            <a:gd name="connsiteY205" fmla="*/ 121920 h 6177280"/>
            <a:gd name="connsiteX206" fmla="*/ 9042400 w 9579686"/>
            <a:gd name="connsiteY206" fmla="*/ 142240 h 6177280"/>
            <a:gd name="connsiteX207" fmla="*/ 8859520 w 9579686"/>
            <a:gd name="connsiteY207" fmla="*/ 223520 h 6177280"/>
            <a:gd name="connsiteX208" fmla="*/ 8798560 w 9579686"/>
            <a:gd name="connsiteY208" fmla="*/ 243840 h 6177280"/>
            <a:gd name="connsiteX209" fmla="*/ 8737600 w 9579686"/>
            <a:gd name="connsiteY209" fmla="*/ 284480 h 6177280"/>
            <a:gd name="connsiteX210" fmla="*/ 8676640 w 9579686"/>
            <a:gd name="connsiteY210" fmla="*/ 345440 h 6177280"/>
            <a:gd name="connsiteX211" fmla="*/ 8554720 w 9579686"/>
            <a:gd name="connsiteY211" fmla="*/ 386080 h 6177280"/>
            <a:gd name="connsiteX212" fmla="*/ 8432800 w 9579686"/>
            <a:gd name="connsiteY212" fmla="*/ 345440 h 6177280"/>
            <a:gd name="connsiteX213" fmla="*/ 8453120 w 9579686"/>
            <a:gd name="connsiteY213" fmla="*/ 223520 h 6177280"/>
            <a:gd name="connsiteX214" fmla="*/ 8575040 w 9579686"/>
            <a:gd name="connsiteY214" fmla="*/ 142240 h 6177280"/>
            <a:gd name="connsiteX215" fmla="*/ 8595360 w 9579686"/>
            <a:gd name="connsiteY215" fmla="*/ 81280 h 6177280"/>
            <a:gd name="connsiteX216" fmla="*/ 8636000 w 9579686"/>
            <a:gd name="connsiteY216" fmla="*/ 20320 h 6177280"/>
            <a:gd name="connsiteX217" fmla="*/ 8575040 w 9579686"/>
            <a:gd name="connsiteY217" fmla="*/ 0 h 6177280"/>
            <a:gd name="connsiteX218" fmla="*/ 8310880 w 9579686"/>
            <a:gd name="connsiteY218" fmla="*/ 20320 h 6177280"/>
            <a:gd name="connsiteX219" fmla="*/ 8168640 w 9579686"/>
            <a:gd name="connsiteY219" fmla="*/ 182880 h 6177280"/>
            <a:gd name="connsiteX220" fmla="*/ 8128000 w 9579686"/>
            <a:gd name="connsiteY220" fmla="*/ 243840 h 6177280"/>
            <a:gd name="connsiteX221" fmla="*/ 8087360 w 9579686"/>
            <a:gd name="connsiteY221" fmla="*/ 386080 h 6177280"/>
            <a:gd name="connsiteX222" fmla="*/ 7884160 w 9579686"/>
            <a:gd name="connsiteY222" fmla="*/ 365760 h 6177280"/>
            <a:gd name="connsiteX223" fmla="*/ 7823200 w 9579686"/>
            <a:gd name="connsiteY223" fmla="*/ 345440 h 6177280"/>
            <a:gd name="connsiteX224" fmla="*/ 7416800 w 9579686"/>
            <a:gd name="connsiteY224" fmla="*/ 365760 h 6177280"/>
            <a:gd name="connsiteX225" fmla="*/ 7355840 w 9579686"/>
            <a:gd name="connsiteY225" fmla="*/ 386080 h 6177280"/>
            <a:gd name="connsiteX226" fmla="*/ 7335520 w 9579686"/>
            <a:gd name="connsiteY226" fmla="*/ 447040 h 6177280"/>
            <a:gd name="connsiteX227" fmla="*/ 7315200 w 9579686"/>
            <a:gd name="connsiteY227" fmla="*/ 609600 h 6177280"/>
            <a:gd name="connsiteX228" fmla="*/ 7254240 w 9579686"/>
            <a:gd name="connsiteY228" fmla="*/ 629920 h 6177280"/>
            <a:gd name="connsiteX229" fmla="*/ 7112000 w 9579686"/>
            <a:gd name="connsiteY229" fmla="*/ 650240 h 6177280"/>
            <a:gd name="connsiteX230" fmla="*/ 6664960 w 9579686"/>
            <a:gd name="connsiteY230" fmla="*/ 629920 h 6177280"/>
            <a:gd name="connsiteX231" fmla="*/ 6522720 w 9579686"/>
            <a:gd name="connsiteY231" fmla="*/ 568960 h 6177280"/>
            <a:gd name="connsiteX232" fmla="*/ 6421120 w 9579686"/>
            <a:gd name="connsiteY232" fmla="*/ 548640 h 6177280"/>
            <a:gd name="connsiteX233" fmla="*/ 6339840 w 9579686"/>
            <a:gd name="connsiteY233" fmla="*/ 528320 h 6177280"/>
            <a:gd name="connsiteX234" fmla="*/ 6278880 w 9579686"/>
            <a:gd name="connsiteY234" fmla="*/ 508000 h 6177280"/>
            <a:gd name="connsiteX235" fmla="*/ 5770880 w 9579686"/>
            <a:gd name="connsiteY235" fmla="*/ 487680 h 6177280"/>
            <a:gd name="connsiteX236" fmla="*/ 5547360 w 9579686"/>
            <a:gd name="connsiteY236" fmla="*/ 508000 h 6177280"/>
            <a:gd name="connsiteX237" fmla="*/ 5384800 w 9579686"/>
            <a:gd name="connsiteY237" fmla="*/ 568960 h 6177280"/>
            <a:gd name="connsiteX238" fmla="*/ 4978400 w 9579686"/>
            <a:gd name="connsiteY238" fmla="*/ 589280 h 6177280"/>
            <a:gd name="connsiteX239" fmla="*/ 4897120 w 9579686"/>
            <a:gd name="connsiteY239" fmla="*/ 609600 h 6177280"/>
            <a:gd name="connsiteX240" fmla="*/ 4612640 w 9579686"/>
            <a:gd name="connsiteY240" fmla="*/ 650240 h 6177280"/>
            <a:gd name="connsiteX241" fmla="*/ 4490720 w 9579686"/>
            <a:gd name="connsiteY241" fmla="*/ 690880 h 6177280"/>
            <a:gd name="connsiteX242" fmla="*/ 4287520 w 9579686"/>
            <a:gd name="connsiteY242" fmla="*/ 731520 h 6177280"/>
            <a:gd name="connsiteX243" fmla="*/ 4226560 w 9579686"/>
            <a:gd name="connsiteY243" fmla="*/ 751840 h 617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Lst>
          <a:rect l="l" t="t" r="r" b="b"/>
          <a:pathLst>
            <a:path w="9579686" h="6177280">
              <a:moveTo>
                <a:pt x="4531360" y="711200"/>
              </a:moveTo>
              <a:cubicBezTo>
                <a:pt x="3679735" y="733037"/>
                <a:pt x="3644815" y="745990"/>
                <a:pt x="2722880" y="711200"/>
              </a:cubicBezTo>
              <a:cubicBezTo>
                <a:pt x="2701476" y="710392"/>
                <a:pt x="2682829" y="695526"/>
                <a:pt x="2661920" y="690880"/>
              </a:cubicBezTo>
              <a:cubicBezTo>
                <a:pt x="2621701" y="681942"/>
                <a:pt x="2580219" y="679498"/>
                <a:pt x="2540000" y="670560"/>
              </a:cubicBezTo>
              <a:cubicBezTo>
                <a:pt x="2519091" y="665914"/>
                <a:pt x="2500114" y="654072"/>
                <a:pt x="2479040" y="650240"/>
              </a:cubicBezTo>
              <a:cubicBezTo>
                <a:pt x="2425312" y="640471"/>
                <a:pt x="2370345" y="638898"/>
                <a:pt x="2316480" y="629920"/>
              </a:cubicBezTo>
              <a:cubicBezTo>
                <a:pt x="2248345" y="618564"/>
                <a:pt x="2182259" y="592910"/>
                <a:pt x="2113280" y="589280"/>
              </a:cubicBezTo>
              <a:lnTo>
                <a:pt x="1341120" y="548640"/>
              </a:lnTo>
              <a:cubicBezTo>
                <a:pt x="1253067" y="555413"/>
                <a:pt x="1163761" y="552685"/>
                <a:pt x="1076960" y="568960"/>
              </a:cubicBezTo>
              <a:cubicBezTo>
                <a:pt x="1052957" y="573461"/>
                <a:pt x="1037843" y="598678"/>
                <a:pt x="1016000" y="609600"/>
              </a:cubicBezTo>
              <a:cubicBezTo>
                <a:pt x="996842" y="619179"/>
                <a:pt x="973764" y="619518"/>
                <a:pt x="955040" y="629920"/>
              </a:cubicBezTo>
              <a:cubicBezTo>
                <a:pt x="912343" y="653640"/>
                <a:pt x="873760" y="684107"/>
                <a:pt x="833120" y="711200"/>
              </a:cubicBezTo>
              <a:lnTo>
                <a:pt x="711200" y="792480"/>
              </a:lnTo>
              <a:lnTo>
                <a:pt x="650240" y="833120"/>
              </a:lnTo>
              <a:cubicBezTo>
                <a:pt x="559350" y="969454"/>
                <a:pt x="666420" y="835880"/>
                <a:pt x="548640" y="914400"/>
              </a:cubicBezTo>
              <a:cubicBezTo>
                <a:pt x="524730" y="930340"/>
                <a:pt x="509756" y="956963"/>
                <a:pt x="487680" y="975360"/>
              </a:cubicBezTo>
              <a:cubicBezTo>
                <a:pt x="468919" y="990994"/>
                <a:pt x="447040" y="1002453"/>
                <a:pt x="426720" y="1016000"/>
              </a:cubicBezTo>
              <a:cubicBezTo>
                <a:pt x="324691" y="1169044"/>
                <a:pt x="444489" y="974538"/>
                <a:pt x="365760" y="1158240"/>
              </a:cubicBezTo>
              <a:cubicBezTo>
                <a:pt x="356140" y="1180687"/>
                <a:pt x="336042" y="1197357"/>
                <a:pt x="325120" y="1219200"/>
              </a:cubicBezTo>
              <a:cubicBezTo>
                <a:pt x="240992" y="1387457"/>
                <a:pt x="380629" y="1166417"/>
                <a:pt x="264160" y="1341120"/>
              </a:cubicBezTo>
              <a:cubicBezTo>
                <a:pt x="210408" y="1556130"/>
                <a:pt x="283387" y="1302938"/>
                <a:pt x="203200" y="1483360"/>
              </a:cubicBezTo>
              <a:cubicBezTo>
                <a:pt x="185802" y="1522506"/>
                <a:pt x="162560" y="1605280"/>
                <a:pt x="162560" y="1605280"/>
              </a:cubicBezTo>
              <a:cubicBezTo>
                <a:pt x="169333" y="1686560"/>
                <a:pt x="172764" y="1768188"/>
                <a:pt x="182880" y="1849120"/>
              </a:cubicBezTo>
              <a:cubicBezTo>
                <a:pt x="186344" y="1876832"/>
                <a:pt x="197723" y="1903015"/>
                <a:pt x="203200" y="1930400"/>
              </a:cubicBezTo>
              <a:cubicBezTo>
                <a:pt x="211280" y="1970800"/>
                <a:pt x="216150" y="2011784"/>
                <a:pt x="223520" y="2052320"/>
              </a:cubicBezTo>
              <a:cubicBezTo>
                <a:pt x="229698" y="2086300"/>
                <a:pt x="237067" y="2120053"/>
                <a:pt x="243840" y="2153920"/>
              </a:cubicBezTo>
              <a:cubicBezTo>
                <a:pt x="219966" y="2440410"/>
                <a:pt x="205199" y="2489590"/>
                <a:pt x="243840" y="2824480"/>
              </a:cubicBezTo>
              <a:cubicBezTo>
                <a:pt x="248021" y="2860715"/>
                <a:pt x="270933" y="2892213"/>
                <a:pt x="284480" y="2926080"/>
              </a:cubicBezTo>
              <a:cubicBezTo>
                <a:pt x="277707" y="3034453"/>
                <a:pt x="278831" y="3143611"/>
                <a:pt x="264160" y="3251200"/>
              </a:cubicBezTo>
              <a:cubicBezTo>
                <a:pt x="246743" y="3378926"/>
                <a:pt x="222069" y="3339737"/>
                <a:pt x="203200" y="3434080"/>
              </a:cubicBezTo>
              <a:cubicBezTo>
                <a:pt x="196427" y="3467947"/>
                <a:pt x="191967" y="3502360"/>
                <a:pt x="182880" y="3535680"/>
              </a:cubicBezTo>
              <a:cubicBezTo>
                <a:pt x="171608" y="3577009"/>
                <a:pt x="150641" y="3615594"/>
                <a:pt x="142240" y="3657600"/>
              </a:cubicBezTo>
              <a:cubicBezTo>
                <a:pt x="135467" y="3691467"/>
                <a:pt x="131007" y="3725880"/>
                <a:pt x="121920" y="3759200"/>
              </a:cubicBezTo>
              <a:cubicBezTo>
                <a:pt x="110648" y="3800529"/>
                <a:pt x="94827" y="3840480"/>
                <a:pt x="81280" y="3881120"/>
              </a:cubicBezTo>
              <a:lnTo>
                <a:pt x="40640" y="4003040"/>
              </a:lnTo>
              <a:cubicBezTo>
                <a:pt x="33867" y="4023360"/>
                <a:pt x="25515" y="4043220"/>
                <a:pt x="20320" y="4064000"/>
              </a:cubicBezTo>
              <a:lnTo>
                <a:pt x="0" y="4145280"/>
              </a:lnTo>
              <a:cubicBezTo>
                <a:pt x="10610" y="4251378"/>
                <a:pt x="-13084" y="4335396"/>
                <a:pt x="60960" y="4409440"/>
              </a:cubicBezTo>
              <a:cubicBezTo>
                <a:pt x="78229" y="4426709"/>
                <a:pt x="101600" y="4436533"/>
                <a:pt x="121920" y="4450080"/>
              </a:cubicBezTo>
              <a:cubicBezTo>
                <a:pt x="135467" y="4429760"/>
                <a:pt x="152641" y="4411437"/>
                <a:pt x="162560" y="4389120"/>
              </a:cubicBezTo>
              <a:cubicBezTo>
                <a:pt x="179958" y="4349974"/>
                <a:pt x="203200" y="4267200"/>
                <a:pt x="203200" y="4267200"/>
              </a:cubicBezTo>
              <a:cubicBezTo>
                <a:pt x="212986" y="4169342"/>
                <a:pt x="217259" y="4059865"/>
                <a:pt x="243840" y="3962400"/>
              </a:cubicBezTo>
              <a:cubicBezTo>
                <a:pt x="255112" y="3921071"/>
                <a:pt x="276079" y="3882486"/>
                <a:pt x="284480" y="3840480"/>
              </a:cubicBezTo>
              <a:cubicBezTo>
                <a:pt x="291253" y="3806613"/>
                <a:pt x="295713" y="3772200"/>
                <a:pt x="304800" y="3738880"/>
              </a:cubicBezTo>
              <a:cubicBezTo>
                <a:pt x="316072" y="3697551"/>
                <a:pt x="345440" y="3616960"/>
                <a:pt x="345440" y="3616960"/>
              </a:cubicBezTo>
              <a:cubicBezTo>
                <a:pt x="352213" y="3556000"/>
                <a:pt x="355677" y="3494581"/>
                <a:pt x="365760" y="3434080"/>
              </a:cubicBezTo>
              <a:cubicBezTo>
                <a:pt x="369281" y="3412952"/>
                <a:pt x="380885" y="3393900"/>
                <a:pt x="386080" y="3373120"/>
              </a:cubicBezTo>
              <a:cubicBezTo>
                <a:pt x="394457" y="3339614"/>
                <a:pt x="397313" y="3304840"/>
                <a:pt x="406400" y="3271520"/>
              </a:cubicBezTo>
              <a:cubicBezTo>
                <a:pt x="417672" y="3230191"/>
                <a:pt x="447040" y="3149600"/>
                <a:pt x="447040" y="3149600"/>
              </a:cubicBezTo>
              <a:cubicBezTo>
                <a:pt x="505961" y="2737151"/>
                <a:pt x="431292" y="3251960"/>
                <a:pt x="487680" y="2885440"/>
              </a:cubicBezTo>
              <a:cubicBezTo>
                <a:pt x="539973" y="2545534"/>
                <a:pt x="477634" y="2925396"/>
                <a:pt x="528320" y="2621280"/>
              </a:cubicBezTo>
              <a:cubicBezTo>
                <a:pt x="577787" y="2695480"/>
                <a:pt x="619506" y="2752598"/>
                <a:pt x="650240" y="2844800"/>
              </a:cubicBezTo>
              <a:cubicBezTo>
                <a:pt x="663787" y="2885440"/>
                <a:pt x="680490" y="2925161"/>
                <a:pt x="690880" y="2966720"/>
              </a:cubicBezTo>
              <a:cubicBezTo>
                <a:pt x="697653" y="2993813"/>
                <a:pt x="700199" y="3022331"/>
                <a:pt x="711200" y="3048000"/>
              </a:cubicBezTo>
              <a:cubicBezTo>
                <a:pt x="720820" y="3070447"/>
                <a:pt x="741921" y="3086643"/>
                <a:pt x="751840" y="3108960"/>
              </a:cubicBezTo>
              <a:cubicBezTo>
                <a:pt x="769238" y="3148106"/>
                <a:pt x="778933" y="3190240"/>
                <a:pt x="792480" y="3230880"/>
              </a:cubicBezTo>
              <a:lnTo>
                <a:pt x="812800" y="3291840"/>
              </a:lnTo>
              <a:cubicBezTo>
                <a:pt x="819573" y="3312160"/>
                <a:pt x="828474" y="3331891"/>
                <a:pt x="833120" y="3352800"/>
              </a:cubicBezTo>
              <a:lnTo>
                <a:pt x="873760" y="3535680"/>
              </a:lnTo>
              <a:cubicBezTo>
                <a:pt x="872745" y="3555977"/>
                <a:pt x="889559" y="3948862"/>
                <a:pt x="812800" y="4064000"/>
              </a:cubicBezTo>
              <a:cubicBezTo>
                <a:pt x="799253" y="4084320"/>
                <a:pt x="782079" y="4102643"/>
                <a:pt x="772160" y="4124960"/>
              </a:cubicBezTo>
              <a:cubicBezTo>
                <a:pt x="754762" y="4164106"/>
                <a:pt x="731520" y="4246880"/>
                <a:pt x="731520" y="4246880"/>
              </a:cubicBezTo>
              <a:cubicBezTo>
                <a:pt x="738293" y="4328160"/>
                <a:pt x="738431" y="4410268"/>
                <a:pt x="751840" y="4490720"/>
              </a:cubicBezTo>
              <a:cubicBezTo>
                <a:pt x="758883" y="4532975"/>
                <a:pt x="784079" y="4570634"/>
                <a:pt x="792480" y="4612640"/>
              </a:cubicBezTo>
              <a:cubicBezTo>
                <a:pt x="822193" y="4761205"/>
                <a:pt x="807916" y="4680050"/>
                <a:pt x="833120" y="4856480"/>
              </a:cubicBezTo>
              <a:cubicBezTo>
                <a:pt x="839893" y="5093547"/>
                <a:pt x="841597" y="5330812"/>
                <a:pt x="853440" y="5567680"/>
              </a:cubicBezTo>
              <a:cubicBezTo>
                <a:pt x="863224" y="5763360"/>
                <a:pt x="883049" y="5575227"/>
                <a:pt x="955040" y="5791200"/>
              </a:cubicBezTo>
              <a:cubicBezTo>
                <a:pt x="961813" y="5811520"/>
                <a:pt x="954451" y="5847514"/>
                <a:pt x="975360" y="5852160"/>
              </a:cubicBezTo>
              <a:cubicBezTo>
                <a:pt x="1087959" y="5877182"/>
                <a:pt x="1205653" y="5865707"/>
                <a:pt x="1320800" y="5872480"/>
              </a:cubicBezTo>
              <a:cubicBezTo>
                <a:pt x="1347893" y="5879253"/>
                <a:pt x="1375227" y="5885128"/>
                <a:pt x="1402080" y="5892800"/>
              </a:cubicBezTo>
              <a:cubicBezTo>
                <a:pt x="1422675" y="5898684"/>
                <a:pt x="1441621" y="5913120"/>
                <a:pt x="1463040" y="5913120"/>
              </a:cubicBezTo>
              <a:cubicBezTo>
                <a:pt x="1504241" y="5913120"/>
                <a:pt x="1544320" y="5899573"/>
                <a:pt x="1584960" y="5892800"/>
              </a:cubicBezTo>
              <a:cubicBezTo>
                <a:pt x="1605280" y="5879253"/>
                <a:pt x="1642891" y="5876393"/>
                <a:pt x="1645920" y="5852160"/>
              </a:cubicBezTo>
              <a:cubicBezTo>
                <a:pt x="1651233" y="5809652"/>
                <a:pt x="1605280" y="5730240"/>
                <a:pt x="1605280" y="5730240"/>
              </a:cubicBezTo>
              <a:cubicBezTo>
                <a:pt x="1578902" y="5545592"/>
                <a:pt x="1600106" y="5633437"/>
                <a:pt x="1544320" y="5466080"/>
              </a:cubicBezTo>
              <a:cubicBezTo>
                <a:pt x="1537547" y="5445760"/>
                <a:pt x="1541822" y="5417001"/>
                <a:pt x="1524000" y="5405120"/>
              </a:cubicBezTo>
              <a:cubicBezTo>
                <a:pt x="1483360" y="5378027"/>
                <a:pt x="1436617" y="5358377"/>
                <a:pt x="1402080" y="5323840"/>
              </a:cubicBezTo>
              <a:cubicBezTo>
                <a:pt x="1323851" y="5245611"/>
                <a:pt x="1365030" y="5278820"/>
                <a:pt x="1280160" y="5222240"/>
              </a:cubicBezTo>
              <a:cubicBezTo>
                <a:pt x="1266613" y="5181600"/>
                <a:pt x="1263282" y="5135964"/>
                <a:pt x="1239520" y="5100320"/>
              </a:cubicBezTo>
              <a:cubicBezTo>
                <a:pt x="1146359" y="4960578"/>
                <a:pt x="1173686" y="5024737"/>
                <a:pt x="1137920" y="4917440"/>
              </a:cubicBezTo>
              <a:cubicBezTo>
                <a:pt x="1144693" y="4856480"/>
                <a:pt x="1148157" y="4795061"/>
                <a:pt x="1158240" y="4734560"/>
              </a:cubicBezTo>
              <a:cubicBezTo>
                <a:pt x="1164008" y="4699953"/>
                <a:pt x="1203108" y="4614849"/>
                <a:pt x="1219200" y="4592320"/>
              </a:cubicBezTo>
              <a:cubicBezTo>
                <a:pt x="1235903" y="4568936"/>
                <a:pt x="1259840" y="4551680"/>
                <a:pt x="1280160" y="4531360"/>
              </a:cubicBezTo>
              <a:cubicBezTo>
                <a:pt x="1286933" y="4470400"/>
                <a:pt x="1262164" y="4396375"/>
                <a:pt x="1300480" y="4348480"/>
              </a:cubicBezTo>
              <a:cubicBezTo>
                <a:pt x="1321636" y="4322035"/>
                <a:pt x="1346294" y="4399469"/>
                <a:pt x="1361440" y="4429760"/>
              </a:cubicBezTo>
              <a:cubicBezTo>
                <a:pt x="1506528" y="4719937"/>
                <a:pt x="1323176" y="4433323"/>
                <a:pt x="1442720" y="4612640"/>
              </a:cubicBezTo>
              <a:cubicBezTo>
                <a:pt x="1453748" y="4899355"/>
                <a:pt x="1423922" y="5064245"/>
                <a:pt x="1503680" y="5303520"/>
              </a:cubicBezTo>
              <a:cubicBezTo>
                <a:pt x="1510453" y="5323840"/>
                <a:pt x="1512119" y="5346658"/>
                <a:pt x="1524000" y="5364480"/>
              </a:cubicBezTo>
              <a:cubicBezTo>
                <a:pt x="1539940" y="5388390"/>
                <a:pt x="1564640" y="5405120"/>
                <a:pt x="1584960" y="5425440"/>
              </a:cubicBezTo>
              <a:cubicBezTo>
                <a:pt x="1591733" y="5459307"/>
                <a:pt x="1596193" y="5493720"/>
                <a:pt x="1605280" y="5527040"/>
              </a:cubicBezTo>
              <a:cubicBezTo>
                <a:pt x="1616552" y="5568369"/>
                <a:pt x="1637519" y="5606954"/>
                <a:pt x="1645920" y="5648960"/>
              </a:cubicBezTo>
              <a:cubicBezTo>
                <a:pt x="1652693" y="5682827"/>
                <a:pt x="1649105" y="5720573"/>
                <a:pt x="1666240" y="5750560"/>
              </a:cubicBezTo>
              <a:cubicBezTo>
                <a:pt x="1678357" y="5771764"/>
                <a:pt x="1706880" y="5777653"/>
                <a:pt x="1727200" y="5791200"/>
              </a:cubicBezTo>
              <a:cubicBezTo>
                <a:pt x="1815253" y="5784427"/>
                <a:pt x="1903532" y="5780125"/>
                <a:pt x="1991360" y="5770880"/>
              </a:cubicBezTo>
              <a:cubicBezTo>
                <a:pt x="2032334" y="5766567"/>
                <a:pt x="2086904" y="5782211"/>
                <a:pt x="2113280" y="5750560"/>
              </a:cubicBezTo>
              <a:cubicBezTo>
                <a:pt x="2135390" y="5724028"/>
                <a:pt x="2102047" y="5682280"/>
                <a:pt x="2092960" y="5648960"/>
              </a:cubicBezTo>
              <a:cubicBezTo>
                <a:pt x="2054132" y="5506589"/>
                <a:pt x="2056406" y="5533169"/>
                <a:pt x="1971040" y="5405120"/>
              </a:cubicBezTo>
              <a:lnTo>
                <a:pt x="1971040" y="5405120"/>
              </a:lnTo>
              <a:cubicBezTo>
                <a:pt x="1922677" y="5260032"/>
                <a:pt x="1954162" y="5318844"/>
                <a:pt x="1889760" y="5222240"/>
              </a:cubicBezTo>
              <a:cubicBezTo>
                <a:pt x="1882987" y="5195147"/>
                <a:pt x="1877112" y="5167813"/>
                <a:pt x="1869440" y="5140960"/>
              </a:cubicBezTo>
              <a:cubicBezTo>
                <a:pt x="1863556" y="5120365"/>
                <a:pt x="1853936" y="5100871"/>
                <a:pt x="1849120" y="5080000"/>
              </a:cubicBezTo>
              <a:cubicBezTo>
                <a:pt x="1811595" y="4917393"/>
                <a:pt x="1809576" y="4884470"/>
                <a:pt x="1788160" y="4734560"/>
              </a:cubicBezTo>
              <a:cubicBezTo>
                <a:pt x="1819069" y="3869099"/>
                <a:pt x="1761041" y="4389234"/>
                <a:pt x="1828800" y="4084320"/>
              </a:cubicBezTo>
              <a:cubicBezTo>
                <a:pt x="1836292" y="4050605"/>
                <a:pt x="1834828" y="4014162"/>
                <a:pt x="1849120" y="3982720"/>
              </a:cubicBezTo>
              <a:cubicBezTo>
                <a:pt x="1869331" y="3938255"/>
                <a:pt x="1889760" y="3887893"/>
                <a:pt x="1930400" y="3860800"/>
              </a:cubicBezTo>
              <a:lnTo>
                <a:pt x="2052320" y="3779520"/>
              </a:lnTo>
              <a:cubicBezTo>
                <a:pt x="2072640" y="3765973"/>
                <a:pt x="2096011" y="3756149"/>
                <a:pt x="2113280" y="3738880"/>
              </a:cubicBezTo>
              <a:cubicBezTo>
                <a:pt x="2158220" y="3693940"/>
                <a:pt x="2178620" y="3665570"/>
                <a:pt x="2235200" y="3637280"/>
              </a:cubicBezTo>
              <a:cubicBezTo>
                <a:pt x="2254358" y="3627701"/>
                <a:pt x="2275840" y="3623733"/>
                <a:pt x="2296160" y="3616960"/>
              </a:cubicBezTo>
              <a:cubicBezTo>
                <a:pt x="2402477" y="3626625"/>
                <a:pt x="2516303" y="3628970"/>
                <a:pt x="2621280" y="3657600"/>
              </a:cubicBezTo>
              <a:cubicBezTo>
                <a:pt x="2662609" y="3668872"/>
                <a:pt x="2702560" y="3684693"/>
                <a:pt x="2743200" y="3698240"/>
              </a:cubicBezTo>
              <a:cubicBezTo>
                <a:pt x="2763520" y="3705013"/>
                <a:pt x="2786338" y="3706679"/>
                <a:pt x="2804160" y="3718560"/>
              </a:cubicBezTo>
              <a:cubicBezTo>
                <a:pt x="2824480" y="3732107"/>
                <a:pt x="2842803" y="3749281"/>
                <a:pt x="2865120" y="3759200"/>
              </a:cubicBezTo>
              <a:cubicBezTo>
                <a:pt x="2904266" y="3776598"/>
                <a:pt x="2946400" y="3786293"/>
                <a:pt x="2987040" y="3799840"/>
              </a:cubicBezTo>
              <a:lnTo>
                <a:pt x="3108960" y="3840480"/>
              </a:lnTo>
              <a:cubicBezTo>
                <a:pt x="3129280" y="3847253"/>
                <a:pt x="3148917" y="3856599"/>
                <a:pt x="3169920" y="3860800"/>
              </a:cubicBezTo>
              <a:lnTo>
                <a:pt x="3271520" y="3881120"/>
              </a:lnTo>
              <a:cubicBezTo>
                <a:pt x="3417350" y="3978340"/>
                <a:pt x="3358903" y="3927863"/>
                <a:pt x="3454400" y="4023360"/>
              </a:cubicBezTo>
              <a:cubicBezTo>
                <a:pt x="3474720" y="4009813"/>
                <a:pt x="3506290" y="4005395"/>
                <a:pt x="3515360" y="3982720"/>
              </a:cubicBezTo>
              <a:cubicBezTo>
                <a:pt x="3522965" y="3963707"/>
                <a:pt x="3453568" y="3879813"/>
                <a:pt x="3515360" y="3860800"/>
              </a:cubicBezTo>
              <a:cubicBezTo>
                <a:pt x="3593315" y="3836814"/>
                <a:pt x="3677920" y="3847253"/>
                <a:pt x="3759200" y="3840480"/>
              </a:cubicBezTo>
              <a:cubicBezTo>
                <a:pt x="3779520" y="3833707"/>
                <a:pt x="3798750" y="3819530"/>
                <a:pt x="3820160" y="3820160"/>
              </a:cubicBezTo>
              <a:cubicBezTo>
                <a:pt x="4030479" y="3826346"/>
                <a:pt x="4450080" y="3860800"/>
                <a:pt x="4450080" y="3860800"/>
              </a:cubicBezTo>
              <a:cubicBezTo>
                <a:pt x="4531360" y="3854027"/>
                <a:pt x="4613106" y="3851500"/>
                <a:pt x="4693920" y="3840480"/>
              </a:cubicBezTo>
              <a:cubicBezTo>
                <a:pt x="4762361" y="3831147"/>
                <a:pt x="4828329" y="3806094"/>
                <a:pt x="4897120" y="3799840"/>
              </a:cubicBezTo>
              <a:lnTo>
                <a:pt x="5120640" y="3779520"/>
              </a:lnTo>
              <a:cubicBezTo>
                <a:pt x="5128575" y="3795391"/>
                <a:pt x="5181600" y="3891861"/>
                <a:pt x="5181600" y="3921760"/>
              </a:cubicBezTo>
              <a:cubicBezTo>
                <a:pt x="5181600" y="4207239"/>
                <a:pt x="5183939" y="4176566"/>
                <a:pt x="5140960" y="4348480"/>
              </a:cubicBezTo>
              <a:cubicBezTo>
                <a:pt x="5126393" y="4479583"/>
                <a:pt x="5099809" y="4602878"/>
                <a:pt x="5140960" y="4734560"/>
              </a:cubicBezTo>
              <a:cubicBezTo>
                <a:pt x="5155529" y="4781180"/>
                <a:pt x="5222240" y="4856480"/>
                <a:pt x="5222240" y="4856480"/>
              </a:cubicBezTo>
              <a:cubicBezTo>
                <a:pt x="5208693" y="4978400"/>
                <a:pt x="5196216" y="5100444"/>
                <a:pt x="5181600" y="5222240"/>
              </a:cubicBezTo>
              <a:cubicBezTo>
                <a:pt x="5175894" y="5269794"/>
                <a:pt x="5161280" y="5316585"/>
                <a:pt x="5161280" y="5364480"/>
              </a:cubicBezTo>
              <a:cubicBezTo>
                <a:pt x="5161280" y="5687102"/>
                <a:pt x="5146759" y="5625716"/>
                <a:pt x="5201920" y="5791200"/>
              </a:cubicBezTo>
              <a:cubicBezTo>
                <a:pt x="5192338" y="5819947"/>
                <a:pt x="5161280" y="5907925"/>
                <a:pt x="5161280" y="5933440"/>
              </a:cubicBezTo>
              <a:cubicBezTo>
                <a:pt x="5161280" y="5954859"/>
                <a:pt x="5171198" y="5975676"/>
                <a:pt x="5181600" y="5994400"/>
              </a:cubicBezTo>
              <a:cubicBezTo>
                <a:pt x="5227644" y="6077278"/>
                <a:pt x="5237206" y="6125811"/>
                <a:pt x="5323840" y="6136640"/>
              </a:cubicBezTo>
              <a:cubicBezTo>
                <a:pt x="5411471" y="6147594"/>
                <a:pt x="5500125" y="6148172"/>
                <a:pt x="5588000" y="6156960"/>
              </a:cubicBezTo>
              <a:cubicBezTo>
                <a:pt x="5635657" y="6161726"/>
                <a:pt x="5682827" y="6170507"/>
                <a:pt x="5730240" y="6177280"/>
              </a:cubicBezTo>
              <a:cubicBezTo>
                <a:pt x="5764107" y="6170507"/>
                <a:pt x="5803103" y="6176118"/>
                <a:pt x="5831840" y="6156960"/>
              </a:cubicBezTo>
              <a:cubicBezTo>
                <a:pt x="5849662" y="6145079"/>
                <a:pt x="5847959" y="6117003"/>
                <a:pt x="5852160" y="6096000"/>
              </a:cubicBezTo>
              <a:cubicBezTo>
                <a:pt x="5861553" y="6049035"/>
                <a:pt x="5851061" y="5996598"/>
                <a:pt x="5872480" y="5953760"/>
              </a:cubicBezTo>
              <a:cubicBezTo>
                <a:pt x="5882059" y="5934602"/>
                <a:pt x="5913120" y="5940213"/>
                <a:pt x="5933440" y="5933440"/>
              </a:cubicBezTo>
              <a:cubicBezTo>
                <a:pt x="5946987" y="5913120"/>
                <a:pt x="5971051" y="5896713"/>
                <a:pt x="5974080" y="5872480"/>
              </a:cubicBezTo>
              <a:cubicBezTo>
                <a:pt x="5981694" y="5811571"/>
                <a:pt x="5949779" y="5753911"/>
                <a:pt x="5913120" y="5709920"/>
              </a:cubicBezTo>
              <a:cubicBezTo>
                <a:pt x="5894723" y="5687844"/>
                <a:pt x="5868863" y="5672344"/>
                <a:pt x="5852160" y="5648960"/>
              </a:cubicBezTo>
              <a:cubicBezTo>
                <a:pt x="5834554" y="5624311"/>
                <a:pt x="5825067" y="5594773"/>
                <a:pt x="5811520" y="5567680"/>
              </a:cubicBezTo>
              <a:cubicBezTo>
                <a:pt x="5797210" y="5438890"/>
                <a:pt x="5801935" y="5407038"/>
                <a:pt x="5770880" y="5303520"/>
              </a:cubicBezTo>
              <a:cubicBezTo>
                <a:pt x="5758570" y="5262488"/>
                <a:pt x="5730240" y="5181600"/>
                <a:pt x="5730240" y="5181600"/>
              </a:cubicBezTo>
              <a:cubicBezTo>
                <a:pt x="5770058" y="4942693"/>
                <a:pt x="5730463" y="5160276"/>
                <a:pt x="5770880" y="4978400"/>
              </a:cubicBezTo>
              <a:cubicBezTo>
                <a:pt x="5778372" y="4944685"/>
                <a:pt x="5782113" y="4910120"/>
                <a:pt x="5791200" y="4876800"/>
              </a:cubicBezTo>
              <a:cubicBezTo>
                <a:pt x="5802472" y="4835471"/>
                <a:pt x="5808078" y="4790524"/>
                <a:pt x="5831840" y="4754880"/>
              </a:cubicBezTo>
              <a:cubicBezTo>
                <a:pt x="5845387" y="4734560"/>
                <a:pt x="5862561" y="4716237"/>
                <a:pt x="5872480" y="4693920"/>
              </a:cubicBezTo>
              <a:cubicBezTo>
                <a:pt x="5889878" y="4654774"/>
                <a:pt x="5899573" y="4612640"/>
                <a:pt x="5913120" y="4572000"/>
              </a:cubicBezTo>
              <a:cubicBezTo>
                <a:pt x="5941320" y="4487399"/>
                <a:pt x="5934143" y="4517331"/>
                <a:pt x="5953760" y="4409440"/>
              </a:cubicBezTo>
              <a:cubicBezTo>
                <a:pt x="5965187" y="4346594"/>
                <a:pt x="5977621" y="4221249"/>
                <a:pt x="6014720" y="4165600"/>
              </a:cubicBezTo>
              <a:cubicBezTo>
                <a:pt x="6028267" y="4145280"/>
                <a:pt x="6034651" y="4117583"/>
                <a:pt x="6055360" y="4104640"/>
              </a:cubicBezTo>
              <a:cubicBezTo>
                <a:pt x="6107859" y="4071828"/>
                <a:pt x="6217658" y="4057285"/>
                <a:pt x="6278880" y="4043680"/>
              </a:cubicBezTo>
              <a:cubicBezTo>
                <a:pt x="6306142" y="4037622"/>
                <a:pt x="6332775" y="4028837"/>
                <a:pt x="6360160" y="4023360"/>
              </a:cubicBezTo>
              <a:cubicBezTo>
                <a:pt x="6538970" y="3987598"/>
                <a:pt x="6424402" y="4022266"/>
                <a:pt x="6543040" y="3982720"/>
              </a:cubicBezTo>
              <a:cubicBezTo>
                <a:pt x="6678327" y="3847433"/>
                <a:pt x="6550802" y="3993133"/>
                <a:pt x="6624320" y="3860800"/>
              </a:cubicBezTo>
              <a:cubicBezTo>
                <a:pt x="6648040" y="3818103"/>
                <a:pt x="6678507" y="3779520"/>
                <a:pt x="6705600" y="3738880"/>
              </a:cubicBezTo>
              <a:cubicBezTo>
                <a:pt x="6719147" y="3718560"/>
                <a:pt x="6738517" y="3701088"/>
                <a:pt x="6746240" y="3677920"/>
              </a:cubicBezTo>
              <a:cubicBezTo>
                <a:pt x="6759787" y="3637280"/>
                <a:pt x="6763118" y="3591644"/>
                <a:pt x="6786880" y="3556000"/>
              </a:cubicBezTo>
              <a:cubicBezTo>
                <a:pt x="6800427" y="3535680"/>
                <a:pt x="6816598" y="3516883"/>
                <a:pt x="6827520" y="3495040"/>
              </a:cubicBezTo>
              <a:cubicBezTo>
                <a:pt x="6837099" y="3475882"/>
                <a:pt x="6838261" y="3453238"/>
                <a:pt x="6847840" y="3434080"/>
              </a:cubicBezTo>
              <a:cubicBezTo>
                <a:pt x="6858762" y="3412237"/>
                <a:pt x="6877558" y="3394963"/>
                <a:pt x="6888480" y="3373120"/>
              </a:cubicBezTo>
              <a:cubicBezTo>
                <a:pt x="6898059" y="3353962"/>
                <a:pt x="6891371" y="3324610"/>
                <a:pt x="6908800" y="3312160"/>
              </a:cubicBezTo>
              <a:cubicBezTo>
                <a:pt x="6943659" y="3287261"/>
                <a:pt x="7030720" y="3271520"/>
                <a:pt x="7030720" y="3271520"/>
              </a:cubicBezTo>
              <a:cubicBezTo>
                <a:pt x="7137251" y="3164989"/>
                <a:pt x="7068109" y="3258515"/>
                <a:pt x="7112000" y="3068320"/>
              </a:cubicBezTo>
              <a:cubicBezTo>
                <a:pt x="7149250" y="2906905"/>
                <a:pt x="7130719" y="2984897"/>
                <a:pt x="7213600" y="2885440"/>
              </a:cubicBezTo>
              <a:cubicBezTo>
                <a:pt x="7229234" y="2866679"/>
                <a:pt x="7235861" y="2840562"/>
                <a:pt x="7254240" y="2824480"/>
              </a:cubicBezTo>
              <a:lnTo>
                <a:pt x="7437120" y="2702560"/>
              </a:lnTo>
              <a:cubicBezTo>
                <a:pt x="7457440" y="2689013"/>
                <a:pt x="7474912" y="2669643"/>
                <a:pt x="7498080" y="2661920"/>
              </a:cubicBezTo>
              <a:lnTo>
                <a:pt x="7620000" y="2621280"/>
              </a:lnTo>
              <a:cubicBezTo>
                <a:pt x="7647093" y="2600960"/>
                <a:pt x="7673535" y="2579741"/>
                <a:pt x="7701280" y="2560320"/>
              </a:cubicBezTo>
              <a:cubicBezTo>
                <a:pt x="7741294" y="2532310"/>
                <a:pt x="7788663" y="2513577"/>
                <a:pt x="7823200" y="2479040"/>
              </a:cubicBezTo>
              <a:lnTo>
                <a:pt x="7884160" y="2418080"/>
              </a:lnTo>
              <a:cubicBezTo>
                <a:pt x="8073813" y="2424853"/>
                <a:pt x="8263739" y="2426182"/>
                <a:pt x="8453120" y="2438400"/>
              </a:cubicBezTo>
              <a:cubicBezTo>
                <a:pt x="8474495" y="2439779"/>
                <a:pt x="8494922" y="2449141"/>
                <a:pt x="8514080" y="2458720"/>
              </a:cubicBezTo>
              <a:cubicBezTo>
                <a:pt x="8535923" y="2469642"/>
                <a:pt x="8554720" y="2485813"/>
                <a:pt x="8575040" y="2499360"/>
              </a:cubicBezTo>
              <a:cubicBezTo>
                <a:pt x="8678574" y="2430337"/>
                <a:pt x="8632974" y="2441859"/>
                <a:pt x="8818880" y="2479040"/>
              </a:cubicBezTo>
              <a:cubicBezTo>
                <a:pt x="8860886" y="2487441"/>
                <a:pt x="8940800" y="2519680"/>
                <a:pt x="8940800" y="2519680"/>
              </a:cubicBezTo>
              <a:cubicBezTo>
                <a:pt x="9059544" y="2502717"/>
                <a:pt x="9077673" y="2502810"/>
                <a:pt x="9184640" y="2479040"/>
              </a:cubicBezTo>
              <a:cubicBezTo>
                <a:pt x="9327568" y="2447278"/>
                <a:pt x="9208081" y="2472342"/>
                <a:pt x="9326880" y="2438400"/>
              </a:cubicBezTo>
              <a:cubicBezTo>
                <a:pt x="9353733" y="2430728"/>
                <a:pt x="9381067" y="2424853"/>
                <a:pt x="9408160" y="2418080"/>
              </a:cubicBezTo>
              <a:cubicBezTo>
                <a:pt x="9414933" y="2363893"/>
                <a:pt x="9392200" y="2296335"/>
                <a:pt x="9428480" y="2255520"/>
              </a:cubicBezTo>
              <a:cubicBezTo>
                <a:pt x="9460300" y="2219723"/>
                <a:pt x="9539551" y="2271564"/>
                <a:pt x="9570720" y="2235200"/>
              </a:cubicBezTo>
              <a:cubicBezTo>
                <a:pt x="9597533" y="2203918"/>
                <a:pt x="9556227" y="2154066"/>
                <a:pt x="9550400" y="2113280"/>
              </a:cubicBezTo>
              <a:cubicBezTo>
                <a:pt x="9542677" y="2059220"/>
                <a:pt x="9539849" y="2004448"/>
                <a:pt x="9530080" y="1950720"/>
              </a:cubicBezTo>
              <a:cubicBezTo>
                <a:pt x="9516668" y="1876953"/>
                <a:pt x="9470667" y="1831121"/>
                <a:pt x="9428480" y="1767840"/>
              </a:cubicBezTo>
              <a:lnTo>
                <a:pt x="9387840" y="1706880"/>
              </a:lnTo>
              <a:cubicBezTo>
                <a:pt x="9374293" y="1686560"/>
                <a:pt x="9354923" y="1669088"/>
                <a:pt x="9347200" y="1645920"/>
              </a:cubicBezTo>
              <a:cubicBezTo>
                <a:pt x="9340427" y="1625600"/>
                <a:pt x="9337282" y="1603684"/>
                <a:pt x="9326880" y="1584960"/>
              </a:cubicBezTo>
              <a:cubicBezTo>
                <a:pt x="9266117" y="1475587"/>
                <a:pt x="9258688" y="1476128"/>
                <a:pt x="9184640" y="1402080"/>
              </a:cubicBezTo>
              <a:cubicBezTo>
                <a:pt x="9124401" y="1161124"/>
                <a:pt x="9216808" y="1542602"/>
                <a:pt x="9144000" y="1178560"/>
              </a:cubicBezTo>
              <a:cubicBezTo>
                <a:pt x="9139799" y="1157557"/>
                <a:pt x="9129564" y="1138195"/>
                <a:pt x="9123680" y="1117600"/>
              </a:cubicBezTo>
              <a:cubicBezTo>
                <a:pt x="9116008" y="1090747"/>
                <a:pt x="9114361" y="1061989"/>
                <a:pt x="9103360" y="1036320"/>
              </a:cubicBezTo>
              <a:cubicBezTo>
                <a:pt x="9073655" y="967009"/>
                <a:pt x="9048364" y="974320"/>
                <a:pt x="9001760" y="914400"/>
              </a:cubicBezTo>
              <a:cubicBezTo>
                <a:pt x="8909848" y="796227"/>
                <a:pt x="8924410" y="804269"/>
                <a:pt x="8879840" y="670560"/>
              </a:cubicBezTo>
              <a:lnTo>
                <a:pt x="8859520" y="609600"/>
              </a:lnTo>
              <a:cubicBezTo>
                <a:pt x="8873067" y="541867"/>
                <a:pt x="8834630" y="428243"/>
                <a:pt x="8900160" y="406400"/>
              </a:cubicBezTo>
              <a:cubicBezTo>
                <a:pt x="9081331" y="346010"/>
                <a:pt x="8795448" y="442630"/>
                <a:pt x="9062720" y="345440"/>
              </a:cubicBezTo>
              <a:cubicBezTo>
                <a:pt x="9222317" y="287405"/>
                <a:pt x="9140725" y="334077"/>
                <a:pt x="9245600" y="264160"/>
              </a:cubicBezTo>
              <a:cubicBezTo>
                <a:pt x="9254157" y="251324"/>
                <a:pt x="9317076" y="168530"/>
                <a:pt x="9306560" y="142240"/>
              </a:cubicBezTo>
              <a:cubicBezTo>
                <a:pt x="9297490" y="119565"/>
                <a:pt x="9265920" y="115147"/>
                <a:pt x="9245600" y="101600"/>
              </a:cubicBezTo>
              <a:cubicBezTo>
                <a:pt x="9218507" y="108373"/>
                <a:pt x="9191705" y="116443"/>
                <a:pt x="9164320" y="121920"/>
              </a:cubicBezTo>
              <a:cubicBezTo>
                <a:pt x="9123920" y="130000"/>
                <a:pt x="9082370" y="132247"/>
                <a:pt x="9042400" y="142240"/>
              </a:cubicBezTo>
              <a:cubicBezTo>
                <a:pt x="8832705" y="194664"/>
                <a:pt x="8992955" y="156802"/>
                <a:pt x="8859520" y="223520"/>
              </a:cubicBezTo>
              <a:cubicBezTo>
                <a:pt x="8840362" y="233099"/>
                <a:pt x="8817718" y="234261"/>
                <a:pt x="8798560" y="243840"/>
              </a:cubicBezTo>
              <a:cubicBezTo>
                <a:pt x="8776717" y="254762"/>
                <a:pt x="8756361" y="268846"/>
                <a:pt x="8737600" y="284480"/>
              </a:cubicBezTo>
              <a:cubicBezTo>
                <a:pt x="8715524" y="302877"/>
                <a:pt x="8701760" y="331484"/>
                <a:pt x="8676640" y="345440"/>
              </a:cubicBezTo>
              <a:cubicBezTo>
                <a:pt x="8639193" y="366244"/>
                <a:pt x="8554720" y="386080"/>
                <a:pt x="8554720" y="386080"/>
              </a:cubicBezTo>
              <a:cubicBezTo>
                <a:pt x="8514080" y="372533"/>
                <a:pt x="8425757" y="387695"/>
                <a:pt x="8432800" y="345440"/>
              </a:cubicBezTo>
              <a:cubicBezTo>
                <a:pt x="8439573" y="304800"/>
                <a:pt x="8429493" y="257273"/>
                <a:pt x="8453120" y="223520"/>
              </a:cubicBezTo>
              <a:cubicBezTo>
                <a:pt x="8481130" y="183506"/>
                <a:pt x="8575040" y="142240"/>
                <a:pt x="8575040" y="142240"/>
              </a:cubicBezTo>
              <a:cubicBezTo>
                <a:pt x="8581813" y="121920"/>
                <a:pt x="8585781" y="100438"/>
                <a:pt x="8595360" y="81280"/>
              </a:cubicBezTo>
              <a:cubicBezTo>
                <a:pt x="8606282" y="59437"/>
                <a:pt x="8641923" y="44012"/>
                <a:pt x="8636000" y="20320"/>
              </a:cubicBezTo>
              <a:cubicBezTo>
                <a:pt x="8630805" y="-460"/>
                <a:pt x="8595360" y="6773"/>
                <a:pt x="8575040" y="0"/>
              </a:cubicBezTo>
              <a:cubicBezTo>
                <a:pt x="8486987" y="6773"/>
                <a:pt x="8397681" y="4045"/>
                <a:pt x="8310880" y="20320"/>
              </a:cubicBezTo>
              <a:cubicBezTo>
                <a:pt x="8246372" y="32415"/>
                <a:pt x="8189283" y="151916"/>
                <a:pt x="8168640" y="182880"/>
              </a:cubicBezTo>
              <a:cubicBezTo>
                <a:pt x="8155093" y="203200"/>
                <a:pt x="8135723" y="220672"/>
                <a:pt x="8128000" y="243840"/>
              </a:cubicBezTo>
              <a:cubicBezTo>
                <a:pt x="8098849" y="331294"/>
                <a:pt x="8112875" y="284020"/>
                <a:pt x="8087360" y="386080"/>
              </a:cubicBezTo>
              <a:cubicBezTo>
                <a:pt x="8019627" y="379307"/>
                <a:pt x="7951440" y="376111"/>
                <a:pt x="7884160" y="365760"/>
              </a:cubicBezTo>
              <a:cubicBezTo>
                <a:pt x="7862990" y="362503"/>
                <a:pt x="7844619" y="345440"/>
                <a:pt x="7823200" y="345440"/>
              </a:cubicBezTo>
              <a:cubicBezTo>
                <a:pt x="7687564" y="345440"/>
                <a:pt x="7552267" y="358987"/>
                <a:pt x="7416800" y="365760"/>
              </a:cubicBezTo>
              <a:cubicBezTo>
                <a:pt x="7396480" y="372533"/>
                <a:pt x="7370986" y="370934"/>
                <a:pt x="7355840" y="386080"/>
              </a:cubicBezTo>
              <a:cubicBezTo>
                <a:pt x="7340694" y="401226"/>
                <a:pt x="7339352" y="425966"/>
                <a:pt x="7335520" y="447040"/>
              </a:cubicBezTo>
              <a:cubicBezTo>
                <a:pt x="7325751" y="500768"/>
                <a:pt x="7337379" y="559698"/>
                <a:pt x="7315200" y="609600"/>
              </a:cubicBezTo>
              <a:cubicBezTo>
                <a:pt x="7306501" y="629173"/>
                <a:pt x="7275243" y="625719"/>
                <a:pt x="7254240" y="629920"/>
              </a:cubicBezTo>
              <a:cubicBezTo>
                <a:pt x="7207275" y="639313"/>
                <a:pt x="7159413" y="643467"/>
                <a:pt x="7112000" y="650240"/>
              </a:cubicBezTo>
              <a:cubicBezTo>
                <a:pt x="6962987" y="643467"/>
                <a:pt x="6813652" y="641815"/>
                <a:pt x="6664960" y="629920"/>
              </a:cubicBezTo>
              <a:cubicBezTo>
                <a:pt x="6618236" y="626182"/>
                <a:pt x="6562385" y="582182"/>
                <a:pt x="6522720" y="568960"/>
              </a:cubicBezTo>
              <a:cubicBezTo>
                <a:pt x="6489955" y="558038"/>
                <a:pt x="6454835" y="556132"/>
                <a:pt x="6421120" y="548640"/>
              </a:cubicBezTo>
              <a:cubicBezTo>
                <a:pt x="6393858" y="542582"/>
                <a:pt x="6366693" y="535992"/>
                <a:pt x="6339840" y="528320"/>
              </a:cubicBezTo>
              <a:cubicBezTo>
                <a:pt x="6319245" y="522436"/>
                <a:pt x="6300245" y="509526"/>
                <a:pt x="6278880" y="508000"/>
              </a:cubicBezTo>
              <a:cubicBezTo>
                <a:pt x="6109842" y="495926"/>
                <a:pt x="5940213" y="494453"/>
                <a:pt x="5770880" y="487680"/>
              </a:cubicBezTo>
              <a:cubicBezTo>
                <a:pt x="5696373" y="494453"/>
                <a:pt x="5620721" y="493328"/>
                <a:pt x="5547360" y="508000"/>
              </a:cubicBezTo>
              <a:cubicBezTo>
                <a:pt x="5339343" y="549603"/>
                <a:pt x="5589283" y="551920"/>
                <a:pt x="5384800" y="568960"/>
              </a:cubicBezTo>
              <a:cubicBezTo>
                <a:pt x="5249633" y="580224"/>
                <a:pt x="5113867" y="582507"/>
                <a:pt x="4978400" y="589280"/>
              </a:cubicBezTo>
              <a:cubicBezTo>
                <a:pt x="4951307" y="596053"/>
                <a:pt x="4924667" y="605009"/>
                <a:pt x="4897120" y="609600"/>
              </a:cubicBezTo>
              <a:cubicBezTo>
                <a:pt x="4824947" y="621629"/>
                <a:pt x="4689386" y="631054"/>
                <a:pt x="4612640" y="650240"/>
              </a:cubicBezTo>
              <a:cubicBezTo>
                <a:pt x="4571081" y="660630"/>
                <a:pt x="4532726" y="682479"/>
                <a:pt x="4490720" y="690880"/>
              </a:cubicBezTo>
              <a:cubicBezTo>
                <a:pt x="4422987" y="704427"/>
                <a:pt x="4353050" y="709677"/>
                <a:pt x="4287520" y="731520"/>
              </a:cubicBezTo>
              <a:lnTo>
                <a:pt x="4226560" y="751840"/>
              </a:lnTo>
            </a:path>
          </a:pathLst>
        </a:custGeom>
        <a:solidFill>
          <a:sysClr val="windowText" lastClr="000000"/>
        </a:solidFill>
        <a:ln w="25400" cap="flat" cmpd="sng" algn="ctr">
          <a:noFill/>
          <a:prstDash val="solid"/>
        </a:ln>
        <a:effectLst/>
        <a:scene3d>
          <a:camera prst="orthographicFront">
            <a:rot lat="0" lon="10800000" rev="0"/>
          </a:camera>
          <a:lightRig rig="threePt" dir="t"/>
        </a:scene3d>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defRPr/>
          </a:pPr>
          <a:endParaRPr kumimoji="0" lang="ja-JP" altLang="en-US" sz="2000" kern="0">
            <a:solidFill>
              <a:prstClr val="white"/>
            </a:solidFill>
            <a:latin typeface="Calibri"/>
            <a:ea typeface="ＭＳ Ｐゴシック"/>
          </a:endParaRPr>
        </a:p>
      </xdr:txBody>
    </xdr:sp>
    <xdr:clientData/>
  </xdr:twoCellAnchor>
  <xdr:twoCellAnchor>
    <xdr:from>
      <xdr:col>3</xdr:col>
      <xdr:colOff>6798</xdr:colOff>
      <xdr:row>19</xdr:row>
      <xdr:rowOff>121934</xdr:rowOff>
    </xdr:from>
    <xdr:to>
      <xdr:col>3</xdr:col>
      <xdr:colOff>282686</xdr:colOff>
      <xdr:row>20</xdr:row>
      <xdr:rowOff>163572</xdr:rowOff>
    </xdr:to>
    <xdr:sp macro="" textlink="">
      <xdr:nvSpPr>
        <xdr:cNvPr id="3" name="フリーフォーム 2"/>
        <xdr:cNvSpPr/>
      </xdr:nvSpPr>
      <xdr:spPr bwMode="auto">
        <a:xfrm rot="200979" flipH="1">
          <a:off x="1635573" y="3036584"/>
          <a:ext cx="275888" cy="213088"/>
        </a:xfrm>
        <a:custGeom>
          <a:avLst/>
          <a:gdLst>
            <a:gd name="connsiteX0" fmla="*/ 4531360 w 9579686"/>
            <a:gd name="connsiteY0" fmla="*/ 711200 h 6177280"/>
            <a:gd name="connsiteX1" fmla="*/ 2722880 w 9579686"/>
            <a:gd name="connsiteY1" fmla="*/ 711200 h 6177280"/>
            <a:gd name="connsiteX2" fmla="*/ 2661920 w 9579686"/>
            <a:gd name="connsiteY2" fmla="*/ 690880 h 6177280"/>
            <a:gd name="connsiteX3" fmla="*/ 2540000 w 9579686"/>
            <a:gd name="connsiteY3" fmla="*/ 670560 h 6177280"/>
            <a:gd name="connsiteX4" fmla="*/ 2479040 w 9579686"/>
            <a:gd name="connsiteY4" fmla="*/ 650240 h 6177280"/>
            <a:gd name="connsiteX5" fmla="*/ 2316480 w 9579686"/>
            <a:gd name="connsiteY5" fmla="*/ 629920 h 6177280"/>
            <a:gd name="connsiteX6" fmla="*/ 2113280 w 9579686"/>
            <a:gd name="connsiteY6" fmla="*/ 589280 h 6177280"/>
            <a:gd name="connsiteX7" fmla="*/ 1341120 w 9579686"/>
            <a:gd name="connsiteY7" fmla="*/ 548640 h 6177280"/>
            <a:gd name="connsiteX8" fmla="*/ 1076960 w 9579686"/>
            <a:gd name="connsiteY8" fmla="*/ 568960 h 6177280"/>
            <a:gd name="connsiteX9" fmla="*/ 1016000 w 9579686"/>
            <a:gd name="connsiteY9" fmla="*/ 609600 h 6177280"/>
            <a:gd name="connsiteX10" fmla="*/ 955040 w 9579686"/>
            <a:gd name="connsiteY10" fmla="*/ 629920 h 6177280"/>
            <a:gd name="connsiteX11" fmla="*/ 833120 w 9579686"/>
            <a:gd name="connsiteY11" fmla="*/ 711200 h 6177280"/>
            <a:gd name="connsiteX12" fmla="*/ 711200 w 9579686"/>
            <a:gd name="connsiteY12" fmla="*/ 792480 h 6177280"/>
            <a:gd name="connsiteX13" fmla="*/ 650240 w 9579686"/>
            <a:gd name="connsiteY13" fmla="*/ 833120 h 6177280"/>
            <a:gd name="connsiteX14" fmla="*/ 548640 w 9579686"/>
            <a:gd name="connsiteY14" fmla="*/ 914400 h 6177280"/>
            <a:gd name="connsiteX15" fmla="*/ 487680 w 9579686"/>
            <a:gd name="connsiteY15" fmla="*/ 975360 h 6177280"/>
            <a:gd name="connsiteX16" fmla="*/ 426720 w 9579686"/>
            <a:gd name="connsiteY16" fmla="*/ 1016000 h 6177280"/>
            <a:gd name="connsiteX17" fmla="*/ 365760 w 9579686"/>
            <a:gd name="connsiteY17" fmla="*/ 1158240 h 6177280"/>
            <a:gd name="connsiteX18" fmla="*/ 325120 w 9579686"/>
            <a:gd name="connsiteY18" fmla="*/ 1219200 h 6177280"/>
            <a:gd name="connsiteX19" fmla="*/ 264160 w 9579686"/>
            <a:gd name="connsiteY19" fmla="*/ 1341120 h 6177280"/>
            <a:gd name="connsiteX20" fmla="*/ 203200 w 9579686"/>
            <a:gd name="connsiteY20" fmla="*/ 1483360 h 6177280"/>
            <a:gd name="connsiteX21" fmla="*/ 162560 w 9579686"/>
            <a:gd name="connsiteY21" fmla="*/ 1605280 h 6177280"/>
            <a:gd name="connsiteX22" fmla="*/ 182880 w 9579686"/>
            <a:gd name="connsiteY22" fmla="*/ 1849120 h 6177280"/>
            <a:gd name="connsiteX23" fmla="*/ 203200 w 9579686"/>
            <a:gd name="connsiteY23" fmla="*/ 1930400 h 6177280"/>
            <a:gd name="connsiteX24" fmla="*/ 223520 w 9579686"/>
            <a:gd name="connsiteY24" fmla="*/ 2052320 h 6177280"/>
            <a:gd name="connsiteX25" fmla="*/ 243840 w 9579686"/>
            <a:gd name="connsiteY25" fmla="*/ 2153920 h 6177280"/>
            <a:gd name="connsiteX26" fmla="*/ 243840 w 9579686"/>
            <a:gd name="connsiteY26" fmla="*/ 2824480 h 6177280"/>
            <a:gd name="connsiteX27" fmla="*/ 284480 w 9579686"/>
            <a:gd name="connsiteY27" fmla="*/ 2926080 h 6177280"/>
            <a:gd name="connsiteX28" fmla="*/ 264160 w 9579686"/>
            <a:gd name="connsiteY28" fmla="*/ 3251200 h 6177280"/>
            <a:gd name="connsiteX29" fmla="*/ 203200 w 9579686"/>
            <a:gd name="connsiteY29" fmla="*/ 3434080 h 6177280"/>
            <a:gd name="connsiteX30" fmla="*/ 182880 w 9579686"/>
            <a:gd name="connsiteY30" fmla="*/ 3535680 h 6177280"/>
            <a:gd name="connsiteX31" fmla="*/ 142240 w 9579686"/>
            <a:gd name="connsiteY31" fmla="*/ 3657600 h 6177280"/>
            <a:gd name="connsiteX32" fmla="*/ 121920 w 9579686"/>
            <a:gd name="connsiteY32" fmla="*/ 3759200 h 6177280"/>
            <a:gd name="connsiteX33" fmla="*/ 81280 w 9579686"/>
            <a:gd name="connsiteY33" fmla="*/ 3881120 h 6177280"/>
            <a:gd name="connsiteX34" fmla="*/ 40640 w 9579686"/>
            <a:gd name="connsiteY34" fmla="*/ 4003040 h 6177280"/>
            <a:gd name="connsiteX35" fmla="*/ 20320 w 9579686"/>
            <a:gd name="connsiteY35" fmla="*/ 4064000 h 6177280"/>
            <a:gd name="connsiteX36" fmla="*/ 0 w 9579686"/>
            <a:gd name="connsiteY36" fmla="*/ 4145280 h 6177280"/>
            <a:gd name="connsiteX37" fmla="*/ 60960 w 9579686"/>
            <a:gd name="connsiteY37" fmla="*/ 4409440 h 6177280"/>
            <a:gd name="connsiteX38" fmla="*/ 121920 w 9579686"/>
            <a:gd name="connsiteY38" fmla="*/ 4450080 h 6177280"/>
            <a:gd name="connsiteX39" fmla="*/ 162560 w 9579686"/>
            <a:gd name="connsiteY39" fmla="*/ 4389120 h 6177280"/>
            <a:gd name="connsiteX40" fmla="*/ 203200 w 9579686"/>
            <a:gd name="connsiteY40" fmla="*/ 4267200 h 6177280"/>
            <a:gd name="connsiteX41" fmla="*/ 243840 w 9579686"/>
            <a:gd name="connsiteY41" fmla="*/ 3962400 h 6177280"/>
            <a:gd name="connsiteX42" fmla="*/ 284480 w 9579686"/>
            <a:gd name="connsiteY42" fmla="*/ 3840480 h 6177280"/>
            <a:gd name="connsiteX43" fmla="*/ 304800 w 9579686"/>
            <a:gd name="connsiteY43" fmla="*/ 3738880 h 6177280"/>
            <a:gd name="connsiteX44" fmla="*/ 345440 w 9579686"/>
            <a:gd name="connsiteY44" fmla="*/ 3616960 h 6177280"/>
            <a:gd name="connsiteX45" fmla="*/ 365760 w 9579686"/>
            <a:gd name="connsiteY45" fmla="*/ 3434080 h 6177280"/>
            <a:gd name="connsiteX46" fmla="*/ 386080 w 9579686"/>
            <a:gd name="connsiteY46" fmla="*/ 3373120 h 6177280"/>
            <a:gd name="connsiteX47" fmla="*/ 406400 w 9579686"/>
            <a:gd name="connsiteY47" fmla="*/ 3271520 h 6177280"/>
            <a:gd name="connsiteX48" fmla="*/ 447040 w 9579686"/>
            <a:gd name="connsiteY48" fmla="*/ 3149600 h 6177280"/>
            <a:gd name="connsiteX49" fmla="*/ 487680 w 9579686"/>
            <a:gd name="connsiteY49" fmla="*/ 2885440 h 6177280"/>
            <a:gd name="connsiteX50" fmla="*/ 528320 w 9579686"/>
            <a:gd name="connsiteY50" fmla="*/ 2621280 h 6177280"/>
            <a:gd name="connsiteX51" fmla="*/ 650240 w 9579686"/>
            <a:gd name="connsiteY51" fmla="*/ 2844800 h 6177280"/>
            <a:gd name="connsiteX52" fmla="*/ 690880 w 9579686"/>
            <a:gd name="connsiteY52" fmla="*/ 2966720 h 6177280"/>
            <a:gd name="connsiteX53" fmla="*/ 711200 w 9579686"/>
            <a:gd name="connsiteY53" fmla="*/ 3048000 h 6177280"/>
            <a:gd name="connsiteX54" fmla="*/ 751840 w 9579686"/>
            <a:gd name="connsiteY54" fmla="*/ 3108960 h 6177280"/>
            <a:gd name="connsiteX55" fmla="*/ 792480 w 9579686"/>
            <a:gd name="connsiteY55" fmla="*/ 3230880 h 6177280"/>
            <a:gd name="connsiteX56" fmla="*/ 812800 w 9579686"/>
            <a:gd name="connsiteY56" fmla="*/ 3291840 h 6177280"/>
            <a:gd name="connsiteX57" fmla="*/ 833120 w 9579686"/>
            <a:gd name="connsiteY57" fmla="*/ 3352800 h 6177280"/>
            <a:gd name="connsiteX58" fmla="*/ 873760 w 9579686"/>
            <a:gd name="connsiteY58" fmla="*/ 3535680 h 6177280"/>
            <a:gd name="connsiteX59" fmla="*/ 812800 w 9579686"/>
            <a:gd name="connsiteY59" fmla="*/ 4064000 h 6177280"/>
            <a:gd name="connsiteX60" fmla="*/ 772160 w 9579686"/>
            <a:gd name="connsiteY60" fmla="*/ 4124960 h 6177280"/>
            <a:gd name="connsiteX61" fmla="*/ 731520 w 9579686"/>
            <a:gd name="connsiteY61" fmla="*/ 4246880 h 6177280"/>
            <a:gd name="connsiteX62" fmla="*/ 751840 w 9579686"/>
            <a:gd name="connsiteY62" fmla="*/ 4490720 h 6177280"/>
            <a:gd name="connsiteX63" fmla="*/ 792480 w 9579686"/>
            <a:gd name="connsiteY63" fmla="*/ 4612640 h 6177280"/>
            <a:gd name="connsiteX64" fmla="*/ 833120 w 9579686"/>
            <a:gd name="connsiteY64" fmla="*/ 4856480 h 6177280"/>
            <a:gd name="connsiteX65" fmla="*/ 853440 w 9579686"/>
            <a:gd name="connsiteY65" fmla="*/ 5567680 h 6177280"/>
            <a:gd name="connsiteX66" fmla="*/ 955040 w 9579686"/>
            <a:gd name="connsiteY66" fmla="*/ 5791200 h 6177280"/>
            <a:gd name="connsiteX67" fmla="*/ 975360 w 9579686"/>
            <a:gd name="connsiteY67" fmla="*/ 5852160 h 6177280"/>
            <a:gd name="connsiteX68" fmla="*/ 1320800 w 9579686"/>
            <a:gd name="connsiteY68" fmla="*/ 5872480 h 6177280"/>
            <a:gd name="connsiteX69" fmla="*/ 1402080 w 9579686"/>
            <a:gd name="connsiteY69" fmla="*/ 5892800 h 6177280"/>
            <a:gd name="connsiteX70" fmla="*/ 1463040 w 9579686"/>
            <a:gd name="connsiteY70" fmla="*/ 5913120 h 6177280"/>
            <a:gd name="connsiteX71" fmla="*/ 1584960 w 9579686"/>
            <a:gd name="connsiteY71" fmla="*/ 5892800 h 6177280"/>
            <a:gd name="connsiteX72" fmla="*/ 1645920 w 9579686"/>
            <a:gd name="connsiteY72" fmla="*/ 5852160 h 6177280"/>
            <a:gd name="connsiteX73" fmla="*/ 1605280 w 9579686"/>
            <a:gd name="connsiteY73" fmla="*/ 5730240 h 6177280"/>
            <a:gd name="connsiteX74" fmla="*/ 1544320 w 9579686"/>
            <a:gd name="connsiteY74" fmla="*/ 5466080 h 6177280"/>
            <a:gd name="connsiteX75" fmla="*/ 1524000 w 9579686"/>
            <a:gd name="connsiteY75" fmla="*/ 5405120 h 6177280"/>
            <a:gd name="connsiteX76" fmla="*/ 1402080 w 9579686"/>
            <a:gd name="connsiteY76" fmla="*/ 5323840 h 6177280"/>
            <a:gd name="connsiteX77" fmla="*/ 1280160 w 9579686"/>
            <a:gd name="connsiteY77" fmla="*/ 5222240 h 6177280"/>
            <a:gd name="connsiteX78" fmla="*/ 1239520 w 9579686"/>
            <a:gd name="connsiteY78" fmla="*/ 5100320 h 6177280"/>
            <a:gd name="connsiteX79" fmla="*/ 1137920 w 9579686"/>
            <a:gd name="connsiteY79" fmla="*/ 4917440 h 6177280"/>
            <a:gd name="connsiteX80" fmla="*/ 1158240 w 9579686"/>
            <a:gd name="connsiteY80" fmla="*/ 4734560 h 6177280"/>
            <a:gd name="connsiteX81" fmla="*/ 1219200 w 9579686"/>
            <a:gd name="connsiteY81" fmla="*/ 4592320 h 6177280"/>
            <a:gd name="connsiteX82" fmla="*/ 1280160 w 9579686"/>
            <a:gd name="connsiteY82" fmla="*/ 4531360 h 6177280"/>
            <a:gd name="connsiteX83" fmla="*/ 1300480 w 9579686"/>
            <a:gd name="connsiteY83" fmla="*/ 4348480 h 6177280"/>
            <a:gd name="connsiteX84" fmla="*/ 1361440 w 9579686"/>
            <a:gd name="connsiteY84" fmla="*/ 4429760 h 6177280"/>
            <a:gd name="connsiteX85" fmla="*/ 1442720 w 9579686"/>
            <a:gd name="connsiteY85" fmla="*/ 4612640 h 6177280"/>
            <a:gd name="connsiteX86" fmla="*/ 1503680 w 9579686"/>
            <a:gd name="connsiteY86" fmla="*/ 5303520 h 6177280"/>
            <a:gd name="connsiteX87" fmla="*/ 1524000 w 9579686"/>
            <a:gd name="connsiteY87" fmla="*/ 5364480 h 6177280"/>
            <a:gd name="connsiteX88" fmla="*/ 1584960 w 9579686"/>
            <a:gd name="connsiteY88" fmla="*/ 5425440 h 6177280"/>
            <a:gd name="connsiteX89" fmla="*/ 1605280 w 9579686"/>
            <a:gd name="connsiteY89" fmla="*/ 5527040 h 6177280"/>
            <a:gd name="connsiteX90" fmla="*/ 1645920 w 9579686"/>
            <a:gd name="connsiteY90" fmla="*/ 5648960 h 6177280"/>
            <a:gd name="connsiteX91" fmla="*/ 1666240 w 9579686"/>
            <a:gd name="connsiteY91" fmla="*/ 5750560 h 6177280"/>
            <a:gd name="connsiteX92" fmla="*/ 1727200 w 9579686"/>
            <a:gd name="connsiteY92" fmla="*/ 5791200 h 6177280"/>
            <a:gd name="connsiteX93" fmla="*/ 1991360 w 9579686"/>
            <a:gd name="connsiteY93" fmla="*/ 5770880 h 6177280"/>
            <a:gd name="connsiteX94" fmla="*/ 2113280 w 9579686"/>
            <a:gd name="connsiteY94" fmla="*/ 5750560 h 6177280"/>
            <a:gd name="connsiteX95" fmla="*/ 2092960 w 9579686"/>
            <a:gd name="connsiteY95" fmla="*/ 5648960 h 6177280"/>
            <a:gd name="connsiteX96" fmla="*/ 1971040 w 9579686"/>
            <a:gd name="connsiteY96" fmla="*/ 5405120 h 6177280"/>
            <a:gd name="connsiteX97" fmla="*/ 1971040 w 9579686"/>
            <a:gd name="connsiteY97" fmla="*/ 5405120 h 6177280"/>
            <a:gd name="connsiteX98" fmla="*/ 1889760 w 9579686"/>
            <a:gd name="connsiteY98" fmla="*/ 5222240 h 6177280"/>
            <a:gd name="connsiteX99" fmla="*/ 1869440 w 9579686"/>
            <a:gd name="connsiteY99" fmla="*/ 5140960 h 6177280"/>
            <a:gd name="connsiteX100" fmla="*/ 1849120 w 9579686"/>
            <a:gd name="connsiteY100" fmla="*/ 5080000 h 6177280"/>
            <a:gd name="connsiteX101" fmla="*/ 1788160 w 9579686"/>
            <a:gd name="connsiteY101" fmla="*/ 4734560 h 6177280"/>
            <a:gd name="connsiteX102" fmla="*/ 1828800 w 9579686"/>
            <a:gd name="connsiteY102" fmla="*/ 4084320 h 6177280"/>
            <a:gd name="connsiteX103" fmla="*/ 1849120 w 9579686"/>
            <a:gd name="connsiteY103" fmla="*/ 3982720 h 6177280"/>
            <a:gd name="connsiteX104" fmla="*/ 1930400 w 9579686"/>
            <a:gd name="connsiteY104" fmla="*/ 3860800 h 6177280"/>
            <a:gd name="connsiteX105" fmla="*/ 2052320 w 9579686"/>
            <a:gd name="connsiteY105" fmla="*/ 3779520 h 6177280"/>
            <a:gd name="connsiteX106" fmla="*/ 2113280 w 9579686"/>
            <a:gd name="connsiteY106" fmla="*/ 3738880 h 6177280"/>
            <a:gd name="connsiteX107" fmla="*/ 2235200 w 9579686"/>
            <a:gd name="connsiteY107" fmla="*/ 3637280 h 6177280"/>
            <a:gd name="connsiteX108" fmla="*/ 2296160 w 9579686"/>
            <a:gd name="connsiteY108" fmla="*/ 3616960 h 6177280"/>
            <a:gd name="connsiteX109" fmla="*/ 2621280 w 9579686"/>
            <a:gd name="connsiteY109" fmla="*/ 3657600 h 6177280"/>
            <a:gd name="connsiteX110" fmla="*/ 2743200 w 9579686"/>
            <a:gd name="connsiteY110" fmla="*/ 3698240 h 6177280"/>
            <a:gd name="connsiteX111" fmla="*/ 2804160 w 9579686"/>
            <a:gd name="connsiteY111" fmla="*/ 3718560 h 6177280"/>
            <a:gd name="connsiteX112" fmla="*/ 2865120 w 9579686"/>
            <a:gd name="connsiteY112" fmla="*/ 3759200 h 6177280"/>
            <a:gd name="connsiteX113" fmla="*/ 2987040 w 9579686"/>
            <a:gd name="connsiteY113" fmla="*/ 3799840 h 6177280"/>
            <a:gd name="connsiteX114" fmla="*/ 3108960 w 9579686"/>
            <a:gd name="connsiteY114" fmla="*/ 3840480 h 6177280"/>
            <a:gd name="connsiteX115" fmla="*/ 3169920 w 9579686"/>
            <a:gd name="connsiteY115" fmla="*/ 3860800 h 6177280"/>
            <a:gd name="connsiteX116" fmla="*/ 3271520 w 9579686"/>
            <a:gd name="connsiteY116" fmla="*/ 3881120 h 6177280"/>
            <a:gd name="connsiteX117" fmla="*/ 3454400 w 9579686"/>
            <a:gd name="connsiteY117" fmla="*/ 4023360 h 6177280"/>
            <a:gd name="connsiteX118" fmla="*/ 3515360 w 9579686"/>
            <a:gd name="connsiteY118" fmla="*/ 3982720 h 6177280"/>
            <a:gd name="connsiteX119" fmla="*/ 3515360 w 9579686"/>
            <a:gd name="connsiteY119" fmla="*/ 3860800 h 6177280"/>
            <a:gd name="connsiteX120" fmla="*/ 3759200 w 9579686"/>
            <a:gd name="connsiteY120" fmla="*/ 3840480 h 6177280"/>
            <a:gd name="connsiteX121" fmla="*/ 3820160 w 9579686"/>
            <a:gd name="connsiteY121" fmla="*/ 3820160 h 6177280"/>
            <a:gd name="connsiteX122" fmla="*/ 4450080 w 9579686"/>
            <a:gd name="connsiteY122" fmla="*/ 3860800 h 6177280"/>
            <a:gd name="connsiteX123" fmla="*/ 4693920 w 9579686"/>
            <a:gd name="connsiteY123" fmla="*/ 3840480 h 6177280"/>
            <a:gd name="connsiteX124" fmla="*/ 4897120 w 9579686"/>
            <a:gd name="connsiteY124" fmla="*/ 3799840 h 6177280"/>
            <a:gd name="connsiteX125" fmla="*/ 5120640 w 9579686"/>
            <a:gd name="connsiteY125" fmla="*/ 3779520 h 6177280"/>
            <a:gd name="connsiteX126" fmla="*/ 5181600 w 9579686"/>
            <a:gd name="connsiteY126" fmla="*/ 3921760 h 6177280"/>
            <a:gd name="connsiteX127" fmla="*/ 5140960 w 9579686"/>
            <a:gd name="connsiteY127" fmla="*/ 4348480 h 6177280"/>
            <a:gd name="connsiteX128" fmla="*/ 5140960 w 9579686"/>
            <a:gd name="connsiteY128" fmla="*/ 4734560 h 6177280"/>
            <a:gd name="connsiteX129" fmla="*/ 5222240 w 9579686"/>
            <a:gd name="connsiteY129" fmla="*/ 4856480 h 6177280"/>
            <a:gd name="connsiteX130" fmla="*/ 5181600 w 9579686"/>
            <a:gd name="connsiteY130" fmla="*/ 5222240 h 6177280"/>
            <a:gd name="connsiteX131" fmla="*/ 5161280 w 9579686"/>
            <a:gd name="connsiteY131" fmla="*/ 5364480 h 6177280"/>
            <a:gd name="connsiteX132" fmla="*/ 5201920 w 9579686"/>
            <a:gd name="connsiteY132" fmla="*/ 5791200 h 6177280"/>
            <a:gd name="connsiteX133" fmla="*/ 5161280 w 9579686"/>
            <a:gd name="connsiteY133" fmla="*/ 5933440 h 6177280"/>
            <a:gd name="connsiteX134" fmla="*/ 5181600 w 9579686"/>
            <a:gd name="connsiteY134" fmla="*/ 5994400 h 6177280"/>
            <a:gd name="connsiteX135" fmla="*/ 5323840 w 9579686"/>
            <a:gd name="connsiteY135" fmla="*/ 6136640 h 6177280"/>
            <a:gd name="connsiteX136" fmla="*/ 5588000 w 9579686"/>
            <a:gd name="connsiteY136" fmla="*/ 6156960 h 6177280"/>
            <a:gd name="connsiteX137" fmla="*/ 5730240 w 9579686"/>
            <a:gd name="connsiteY137" fmla="*/ 6177280 h 6177280"/>
            <a:gd name="connsiteX138" fmla="*/ 5831840 w 9579686"/>
            <a:gd name="connsiteY138" fmla="*/ 6156960 h 6177280"/>
            <a:gd name="connsiteX139" fmla="*/ 5852160 w 9579686"/>
            <a:gd name="connsiteY139" fmla="*/ 6096000 h 6177280"/>
            <a:gd name="connsiteX140" fmla="*/ 5872480 w 9579686"/>
            <a:gd name="connsiteY140" fmla="*/ 5953760 h 6177280"/>
            <a:gd name="connsiteX141" fmla="*/ 5933440 w 9579686"/>
            <a:gd name="connsiteY141" fmla="*/ 5933440 h 6177280"/>
            <a:gd name="connsiteX142" fmla="*/ 5974080 w 9579686"/>
            <a:gd name="connsiteY142" fmla="*/ 5872480 h 6177280"/>
            <a:gd name="connsiteX143" fmla="*/ 5913120 w 9579686"/>
            <a:gd name="connsiteY143" fmla="*/ 5709920 h 6177280"/>
            <a:gd name="connsiteX144" fmla="*/ 5852160 w 9579686"/>
            <a:gd name="connsiteY144" fmla="*/ 5648960 h 6177280"/>
            <a:gd name="connsiteX145" fmla="*/ 5811520 w 9579686"/>
            <a:gd name="connsiteY145" fmla="*/ 5567680 h 6177280"/>
            <a:gd name="connsiteX146" fmla="*/ 5770880 w 9579686"/>
            <a:gd name="connsiteY146" fmla="*/ 5303520 h 6177280"/>
            <a:gd name="connsiteX147" fmla="*/ 5730240 w 9579686"/>
            <a:gd name="connsiteY147" fmla="*/ 5181600 h 6177280"/>
            <a:gd name="connsiteX148" fmla="*/ 5770880 w 9579686"/>
            <a:gd name="connsiteY148" fmla="*/ 4978400 h 6177280"/>
            <a:gd name="connsiteX149" fmla="*/ 5791200 w 9579686"/>
            <a:gd name="connsiteY149" fmla="*/ 4876800 h 6177280"/>
            <a:gd name="connsiteX150" fmla="*/ 5831840 w 9579686"/>
            <a:gd name="connsiteY150" fmla="*/ 4754880 h 6177280"/>
            <a:gd name="connsiteX151" fmla="*/ 5872480 w 9579686"/>
            <a:gd name="connsiteY151" fmla="*/ 4693920 h 6177280"/>
            <a:gd name="connsiteX152" fmla="*/ 5913120 w 9579686"/>
            <a:gd name="connsiteY152" fmla="*/ 4572000 h 6177280"/>
            <a:gd name="connsiteX153" fmla="*/ 5953760 w 9579686"/>
            <a:gd name="connsiteY153" fmla="*/ 4409440 h 6177280"/>
            <a:gd name="connsiteX154" fmla="*/ 6014720 w 9579686"/>
            <a:gd name="connsiteY154" fmla="*/ 4165600 h 6177280"/>
            <a:gd name="connsiteX155" fmla="*/ 6055360 w 9579686"/>
            <a:gd name="connsiteY155" fmla="*/ 4104640 h 6177280"/>
            <a:gd name="connsiteX156" fmla="*/ 6278880 w 9579686"/>
            <a:gd name="connsiteY156" fmla="*/ 4043680 h 6177280"/>
            <a:gd name="connsiteX157" fmla="*/ 6360160 w 9579686"/>
            <a:gd name="connsiteY157" fmla="*/ 4023360 h 6177280"/>
            <a:gd name="connsiteX158" fmla="*/ 6543040 w 9579686"/>
            <a:gd name="connsiteY158" fmla="*/ 3982720 h 6177280"/>
            <a:gd name="connsiteX159" fmla="*/ 6624320 w 9579686"/>
            <a:gd name="connsiteY159" fmla="*/ 3860800 h 6177280"/>
            <a:gd name="connsiteX160" fmla="*/ 6705600 w 9579686"/>
            <a:gd name="connsiteY160" fmla="*/ 3738880 h 6177280"/>
            <a:gd name="connsiteX161" fmla="*/ 6746240 w 9579686"/>
            <a:gd name="connsiteY161" fmla="*/ 3677920 h 6177280"/>
            <a:gd name="connsiteX162" fmla="*/ 6786880 w 9579686"/>
            <a:gd name="connsiteY162" fmla="*/ 3556000 h 6177280"/>
            <a:gd name="connsiteX163" fmla="*/ 6827520 w 9579686"/>
            <a:gd name="connsiteY163" fmla="*/ 3495040 h 6177280"/>
            <a:gd name="connsiteX164" fmla="*/ 6847840 w 9579686"/>
            <a:gd name="connsiteY164" fmla="*/ 3434080 h 6177280"/>
            <a:gd name="connsiteX165" fmla="*/ 6888480 w 9579686"/>
            <a:gd name="connsiteY165" fmla="*/ 3373120 h 6177280"/>
            <a:gd name="connsiteX166" fmla="*/ 6908800 w 9579686"/>
            <a:gd name="connsiteY166" fmla="*/ 3312160 h 6177280"/>
            <a:gd name="connsiteX167" fmla="*/ 7030720 w 9579686"/>
            <a:gd name="connsiteY167" fmla="*/ 3271520 h 6177280"/>
            <a:gd name="connsiteX168" fmla="*/ 7112000 w 9579686"/>
            <a:gd name="connsiteY168" fmla="*/ 3068320 h 6177280"/>
            <a:gd name="connsiteX169" fmla="*/ 7213600 w 9579686"/>
            <a:gd name="connsiteY169" fmla="*/ 2885440 h 6177280"/>
            <a:gd name="connsiteX170" fmla="*/ 7254240 w 9579686"/>
            <a:gd name="connsiteY170" fmla="*/ 2824480 h 6177280"/>
            <a:gd name="connsiteX171" fmla="*/ 7437120 w 9579686"/>
            <a:gd name="connsiteY171" fmla="*/ 2702560 h 6177280"/>
            <a:gd name="connsiteX172" fmla="*/ 7498080 w 9579686"/>
            <a:gd name="connsiteY172" fmla="*/ 2661920 h 6177280"/>
            <a:gd name="connsiteX173" fmla="*/ 7620000 w 9579686"/>
            <a:gd name="connsiteY173" fmla="*/ 2621280 h 6177280"/>
            <a:gd name="connsiteX174" fmla="*/ 7701280 w 9579686"/>
            <a:gd name="connsiteY174" fmla="*/ 2560320 h 6177280"/>
            <a:gd name="connsiteX175" fmla="*/ 7823200 w 9579686"/>
            <a:gd name="connsiteY175" fmla="*/ 2479040 h 6177280"/>
            <a:gd name="connsiteX176" fmla="*/ 7884160 w 9579686"/>
            <a:gd name="connsiteY176" fmla="*/ 2418080 h 6177280"/>
            <a:gd name="connsiteX177" fmla="*/ 8453120 w 9579686"/>
            <a:gd name="connsiteY177" fmla="*/ 2438400 h 6177280"/>
            <a:gd name="connsiteX178" fmla="*/ 8514080 w 9579686"/>
            <a:gd name="connsiteY178" fmla="*/ 2458720 h 6177280"/>
            <a:gd name="connsiteX179" fmla="*/ 8575040 w 9579686"/>
            <a:gd name="connsiteY179" fmla="*/ 2499360 h 6177280"/>
            <a:gd name="connsiteX180" fmla="*/ 8818880 w 9579686"/>
            <a:gd name="connsiteY180" fmla="*/ 2479040 h 6177280"/>
            <a:gd name="connsiteX181" fmla="*/ 8940800 w 9579686"/>
            <a:gd name="connsiteY181" fmla="*/ 2519680 h 6177280"/>
            <a:gd name="connsiteX182" fmla="*/ 9184640 w 9579686"/>
            <a:gd name="connsiteY182" fmla="*/ 2479040 h 6177280"/>
            <a:gd name="connsiteX183" fmla="*/ 9326880 w 9579686"/>
            <a:gd name="connsiteY183" fmla="*/ 2438400 h 6177280"/>
            <a:gd name="connsiteX184" fmla="*/ 9408160 w 9579686"/>
            <a:gd name="connsiteY184" fmla="*/ 2418080 h 6177280"/>
            <a:gd name="connsiteX185" fmla="*/ 9428480 w 9579686"/>
            <a:gd name="connsiteY185" fmla="*/ 2255520 h 6177280"/>
            <a:gd name="connsiteX186" fmla="*/ 9570720 w 9579686"/>
            <a:gd name="connsiteY186" fmla="*/ 2235200 h 6177280"/>
            <a:gd name="connsiteX187" fmla="*/ 9550400 w 9579686"/>
            <a:gd name="connsiteY187" fmla="*/ 2113280 h 6177280"/>
            <a:gd name="connsiteX188" fmla="*/ 9530080 w 9579686"/>
            <a:gd name="connsiteY188" fmla="*/ 1950720 h 6177280"/>
            <a:gd name="connsiteX189" fmla="*/ 9428480 w 9579686"/>
            <a:gd name="connsiteY189" fmla="*/ 1767840 h 6177280"/>
            <a:gd name="connsiteX190" fmla="*/ 9387840 w 9579686"/>
            <a:gd name="connsiteY190" fmla="*/ 1706880 h 6177280"/>
            <a:gd name="connsiteX191" fmla="*/ 9347200 w 9579686"/>
            <a:gd name="connsiteY191" fmla="*/ 1645920 h 6177280"/>
            <a:gd name="connsiteX192" fmla="*/ 9326880 w 9579686"/>
            <a:gd name="connsiteY192" fmla="*/ 1584960 h 6177280"/>
            <a:gd name="connsiteX193" fmla="*/ 9184640 w 9579686"/>
            <a:gd name="connsiteY193" fmla="*/ 1402080 h 6177280"/>
            <a:gd name="connsiteX194" fmla="*/ 9144000 w 9579686"/>
            <a:gd name="connsiteY194" fmla="*/ 1178560 h 6177280"/>
            <a:gd name="connsiteX195" fmla="*/ 9123680 w 9579686"/>
            <a:gd name="connsiteY195" fmla="*/ 1117600 h 6177280"/>
            <a:gd name="connsiteX196" fmla="*/ 9103360 w 9579686"/>
            <a:gd name="connsiteY196" fmla="*/ 1036320 h 6177280"/>
            <a:gd name="connsiteX197" fmla="*/ 9001760 w 9579686"/>
            <a:gd name="connsiteY197" fmla="*/ 914400 h 6177280"/>
            <a:gd name="connsiteX198" fmla="*/ 8879840 w 9579686"/>
            <a:gd name="connsiteY198" fmla="*/ 670560 h 6177280"/>
            <a:gd name="connsiteX199" fmla="*/ 8859520 w 9579686"/>
            <a:gd name="connsiteY199" fmla="*/ 609600 h 6177280"/>
            <a:gd name="connsiteX200" fmla="*/ 8900160 w 9579686"/>
            <a:gd name="connsiteY200" fmla="*/ 406400 h 6177280"/>
            <a:gd name="connsiteX201" fmla="*/ 9062720 w 9579686"/>
            <a:gd name="connsiteY201" fmla="*/ 345440 h 6177280"/>
            <a:gd name="connsiteX202" fmla="*/ 9245600 w 9579686"/>
            <a:gd name="connsiteY202" fmla="*/ 264160 h 6177280"/>
            <a:gd name="connsiteX203" fmla="*/ 9306560 w 9579686"/>
            <a:gd name="connsiteY203" fmla="*/ 142240 h 6177280"/>
            <a:gd name="connsiteX204" fmla="*/ 9245600 w 9579686"/>
            <a:gd name="connsiteY204" fmla="*/ 101600 h 6177280"/>
            <a:gd name="connsiteX205" fmla="*/ 9164320 w 9579686"/>
            <a:gd name="connsiteY205" fmla="*/ 121920 h 6177280"/>
            <a:gd name="connsiteX206" fmla="*/ 9042400 w 9579686"/>
            <a:gd name="connsiteY206" fmla="*/ 142240 h 6177280"/>
            <a:gd name="connsiteX207" fmla="*/ 8859520 w 9579686"/>
            <a:gd name="connsiteY207" fmla="*/ 223520 h 6177280"/>
            <a:gd name="connsiteX208" fmla="*/ 8798560 w 9579686"/>
            <a:gd name="connsiteY208" fmla="*/ 243840 h 6177280"/>
            <a:gd name="connsiteX209" fmla="*/ 8737600 w 9579686"/>
            <a:gd name="connsiteY209" fmla="*/ 284480 h 6177280"/>
            <a:gd name="connsiteX210" fmla="*/ 8676640 w 9579686"/>
            <a:gd name="connsiteY210" fmla="*/ 345440 h 6177280"/>
            <a:gd name="connsiteX211" fmla="*/ 8554720 w 9579686"/>
            <a:gd name="connsiteY211" fmla="*/ 386080 h 6177280"/>
            <a:gd name="connsiteX212" fmla="*/ 8432800 w 9579686"/>
            <a:gd name="connsiteY212" fmla="*/ 345440 h 6177280"/>
            <a:gd name="connsiteX213" fmla="*/ 8453120 w 9579686"/>
            <a:gd name="connsiteY213" fmla="*/ 223520 h 6177280"/>
            <a:gd name="connsiteX214" fmla="*/ 8575040 w 9579686"/>
            <a:gd name="connsiteY214" fmla="*/ 142240 h 6177280"/>
            <a:gd name="connsiteX215" fmla="*/ 8595360 w 9579686"/>
            <a:gd name="connsiteY215" fmla="*/ 81280 h 6177280"/>
            <a:gd name="connsiteX216" fmla="*/ 8636000 w 9579686"/>
            <a:gd name="connsiteY216" fmla="*/ 20320 h 6177280"/>
            <a:gd name="connsiteX217" fmla="*/ 8575040 w 9579686"/>
            <a:gd name="connsiteY217" fmla="*/ 0 h 6177280"/>
            <a:gd name="connsiteX218" fmla="*/ 8310880 w 9579686"/>
            <a:gd name="connsiteY218" fmla="*/ 20320 h 6177280"/>
            <a:gd name="connsiteX219" fmla="*/ 8168640 w 9579686"/>
            <a:gd name="connsiteY219" fmla="*/ 182880 h 6177280"/>
            <a:gd name="connsiteX220" fmla="*/ 8128000 w 9579686"/>
            <a:gd name="connsiteY220" fmla="*/ 243840 h 6177280"/>
            <a:gd name="connsiteX221" fmla="*/ 8087360 w 9579686"/>
            <a:gd name="connsiteY221" fmla="*/ 386080 h 6177280"/>
            <a:gd name="connsiteX222" fmla="*/ 7884160 w 9579686"/>
            <a:gd name="connsiteY222" fmla="*/ 365760 h 6177280"/>
            <a:gd name="connsiteX223" fmla="*/ 7823200 w 9579686"/>
            <a:gd name="connsiteY223" fmla="*/ 345440 h 6177280"/>
            <a:gd name="connsiteX224" fmla="*/ 7416800 w 9579686"/>
            <a:gd name="connsiteY224" fmla="*/ 365760 h 6177280"/>
            <a:gd name="connsiteX225" fmla="*/ 7355840 w 9579686"/>
            <a:gd name="connsiteY225" fmla="*/ 386080 h 6177280"/>
            <a:gd name="connsiteX226" fmla="*/ 7335520 w 9579686"/>
            <a:gd name="connsiteY226" fmla="*/ 447040 h 6177280"/>
            <a:gd name="connsiteX227" fmla="*/ 7315200 w 9579686"/>
            <a:gd name="connsiteY227" fmla="*/ 609600 h 6177280"/>
            <a:gd name="connsiteX228" fmla="*/ 7254240 w 9579686"/>
            <a:gd name="connsiteY228" fmla="*/ 629920 h 6177280"/>
            <a:gd name="connsiteX229" fmla="*/ 7112000 w 9579686"/>
            <a:gd name="connsiteY229" fmla="*/ 650240 h 6177280"/>
            <a:gd name="connsiteX230" fmla="*/ 6664960 w 9579686"/>
            <a:gd name="connsiteY230" fmla="*/ 629920 h 6177280"/>
            <a:gd name="connsiteX231" fmla="*/ 6522720 w 9579686"/>
            <a:gd name="connsiteY231" fmla="*/ 568960 h 6177280"/>
            <a:gd name="connsiteX232" fmla="*/ 6421120 w 9579686"/>
            <a:gd name="connsiteY232" fmla="*/ 548640 h 6177280"/>
            <a:gd name="connsiteX233" fmla="*/ 6339840 w 9579686"/>
            <a:gd name="connsiteY233" fmla="*/ 528320 h 6177280"/>
            <a:gd name="connsiteX234" fmla="*/ 6278880 w 9579686"/>
            <a:gd name="connsiteY234" fmla="*/ 508000 h 6177280"/>
            <a:gd name="connsiteX235" fmla="*/ 5770880 w 9579686"/>
            <a:gd name="connsiteY235" fmla="*/ 487680 h 6177280"/>
            <a:gd name="connsiteX236" fmla="*/ 5547360 w 9579686"/>
            <a:gd name="connsiteY236" fmla="*/ 508000 h 6177280"/>
            <a:gd name="connsiteX237" fmla="*/ 5384800 w 9579686"/>
            <a:gd name="connsiteY237" fmla="*/ 568960 h 6177280"/>
            <a:gd name="connsiteX238" fmla="*/ 4978400 w 9579686"/>
            <a:gd name="connsiteY238" fmla="*/ 589280 h 6177280"/>
            <a:gd name="connsiteX239" fmla="*/ 4897120 w 9579686"/>
            <a:gd name="connsiteY239" fmla="*/ 609600 h 6177280"/>
            <a:gd name="connsiteX240" fmla="*/ 4612640 w 9579686"/>
            <a:gd name="connsiteY240" fmla="*/ 650240 h 6177280"/>
            <a:gd name="connsiteX241" fmla="*/ 4490720 w 9579686"/>
            <a:gd name="connsiteY241" fmla="*/ 690880 h 6177280"/>
            <a:gd name="connsiteX242" fmla="*/ 4287520 w 9579686"/>
            <a:gd name="connsiteY242" fmla="*/ 731520 h 6177280"/>
            <a:gd name="connsiteX243" fmla="*/ 4226560 w 9579686"/>
            <a:gd name="connsiteY243" fmla="*/ 751840 h 617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Lst>
          <a:rect l="l" t="t" r="r" b="b"/>
          <a:pathLst>
            <a:path w="9579686" h="6177280">
              <a:moveTo>
                <a:pt x="4531360" y="711200"/>
              </a:moveTo>
              <a:cubicBezTo>
                <a:pt x="3679735" y="733037"/>
                <a:pt x="3644815" y="745990"/>
                <a:pt x="2722880" y="711200"/>
              </a:cubicBezTo>
              <a:cubicBezTo>
                <a:pt x="2701476" y="710392"/>
                <a:pt x="2682829" y="695526"/>
                <a:pt x="2661920" y="690880"/>
              </a:cubicBezTo>
              <a:cubicBezTo>
                <a:pt x="2621701" y="681942"/>
                <a:pt x="2580219" y="679498"/>
                <a:pt x="2540000" y="670560"/>
              </a:cubicBezTo>
              <a:cubicBezTo>
                <a:pt x="2519091" y="665914"/>
                <a:pt x="2500114" y="654072"/>
                <a:pt x="2479040" y="650240"/>
              </a:cubicBezTo>
              <a:cubicBezTo>
                <a:pt x="2425312" y="640471"/>
                <a:pt x="2370345" y="638898"/>
                <a:pt x="2316480" y="629920"/>
              </a:cubicBezTo>
              <a:cubicBezTo>
                <a:pt x="2248345" y="618564"/>
                <a:pt x="2182259" y="592910"/>
                <a:pt x="2113280" y="589280"/>
              </a:cubicBezTo>
              <a:lnTo>
                <a:pt x="1341120" y="548640"/>
              </a:lnTo>
              <a:cubicBezTo>
                <a:pt x="1253067" y="555413"/>
                <a:pt x="1163761" y="552685"/>
                <a:pt x="1076960" y="568960"/>
              </a:cubicBezTo>
              <a:cubicBezTo>
                <a:pt x="1052957" y="573461"/>
                <a:pt x="1037843" y="598678"/>
                <a:pt x="1016000" y="609600"/>
              </a:cubicBezTo>
              <a:cubicBezTo>
                <a:pt x="996842" y="619179"/>
                <a:pt x="973764" y="619518"/>
                <a:pt x="955040" y="629920"/>
              </a:cubicBezTo>
              <a:cubicBezTo>
                <a:pt x="912343" y="653640"/>
                <a:pt x="873760" y="684107"/>
                <a:pt x="833120" y="711200"/>
              </a:cubicBezTo>
              <a:lnTo>
                <a:pt x="711200" y="792480"/>
              </a:lnTo>
              <a:lnTo>
                <a:pt x="650240" y="833120"/>
              </a:lnTo>
              <a:cubicBezTo>
                <a:pt x="559350" y="969454"/>
                <a:pt x="666420" y="835880"/>
                <a:pt x="548640" y="914400"/>
              </a:cubicBezTo>
              <a:cubicBezTo>
                <a:pt x="524730" y="930340"/>
                <a:pt x="509756" y="956963"/>
                <a:pt x="487680" y="975360"/>
              </a:cubicBezTo>
              <a:cubicBezTo>
                <a:pt x="468919" y="990994"/>
                <a:pt x="447040" y="1002453"/>
                <a:pt x="426720" y="1016000"/>
              </a:cubicBezTo>
              <a:cubicBezTo>
                <a:pt x="324691" y="1169044"/>
                <a:pt x="444489" y="974538"/>
                <a:pt x="365760" y="1158240"/>
              </a:cubicBezTo>
              <a:cubicBezTo>
                <a:pt x="356140" y="1180687"/>
                <a:pt x="336042" y="1197357"/>
                <a:pt x="325120" y="1219200"/>
              </a:cubicBezTo>
              <a:cubicBezTo>
                <a:pt x="240992" y="1387457"/>
                <a:pt x="380629" y="1166417"/>
                <a:pt x="264160" y="1341120"/>
              </a:cubicBezTo>
              <a:cubicBezTo>
                <a:pt x="210408" y="1556130"/>
                <a:pt x="283387" y="1302938"/>
                <a:pt x="203200" y="1483360"/>
              </a:cubicBezTo>
              <a:cubicBezTo>
                <a:pt x="185802" y="1522506"/>
                <a:pt x="162560" y="1605280"/>
                <a:pt x="162560" y="1605280"/>
              </a:cubicBezTo>
              <a:cubicBezTo>
                <a:pt x="169333" y="1686560"/>
                <a:pt x="172764" y="1768188"/>
                <a:pt x="182880" y="1849120"/>
              </a:cubicBezTo>
              <a:cubicBezTo>
                <a:pt x="186344" y="1876832"/>
                <a:pt x="197723" y="1903015"/>
                <a:pt x="203200" y="1930400"/>
              </a:cubicBezTo>
              <a:cubicBezTo>
                <a:pt x="211280" y="1970800"/>
                <a:pt x="216150" y="2011784"/>
                <a:pt x="223520" y="2052320"/>
              </a:cubicBezTo>
              <a:cubicBezTo>
                <a:pt x="229698" y="2086300"/>
                <a:pt x="237067" y="2120053"/>
                <a:pt x="243840" y="2153920"/>
              </a:cubicBezTo>
              <a:cubicBezTo>
                <a:pt x="219966" y="2440410"/>
                <a:pt x="205199" y="2489590"/>
                <a:pt x="243840" y="2824480"/>
              </a:cubicBezTo>
              <a:cubicBezTo>
                <a:pt x="248021" y="2860715"/>
                <a:pt x="270933" y="2892213"/>
                <a:pt x="284480" y="2926080"/>
              </a:cubicBezTo>
              <a:cubicBezTo>
                <a:pt x="277707" y="3034453"/>
                <a:pt x="278831" y="3143611"/>
                <a:pt x="264160" y="3251200"/>
              </a:cubicBezTo>
              <a:cubicBezTo>
                <a:pt x="246743" y="3378926"/>
                <a:pt x="222069" y="3339737"/>
                <a:pt x="203200" y="3434080"/>
              </a:cubicBezTo>
              <a:cubicBezTo>
                <a:pt x="196427" y="3467947"/>
                <a:pt x="191967" y="3502360"/>
                <a:pt x="182880" y="3535680"/>
              </a:cubicBezTo>
              <a:cubicBezTo>
                <a:pt x="171608" y="3577009"/>
                <a:pt x="150641" y="3615594"/>
                <a:pt x="142240" y="3657600"/>
              </a:cubicBezTo>
              <a:cubicBezTo>
                <a:pt x="135467" y="3691467"/>
                <a:pt x="131007" y="3725880"/>
                <a:pt x="121920" y="3759200"/>
              </a:cubicBezTo>
              <a:cubicBezTo>
                <a:pt x="110648" y="3800529"/>
                <a:pt x="94827" y="3840480"/>
                <a:pt x="81280" y="3881120"/>
              </a:cubicBezTo>
              <a:lnTo>
                <a:pt x="40640" y="4003040"/>
              </a:lnTo>
              <a:cubicBezTo>
                <a:pt x="33867" y="4023360"/>
                <a:pt x="25515" y="4043220"/>
                <a:pt x="20320" y="4064000"/>
              </a:cubicBezTo>
              <a:lnTo>
                <a:pt x="0" y="4145280"/>
              </a:lnTo>
              <a:cubicBezTo>
                <a:pt x="10610" y="4251378"/>
                <a:pt x="-13084" y="4335396"/>
                <a:pt x="60960" y="4409440"/>
              </a:cubicBezTo>
              <a:cubicBezTo>
                <a:pt x="78229" y="4426709"/>
                <a:pt x="101600" y="4436533"/>
                <a:pt x="121920" y="4450080"/>
              </a:cubicBezTo>
              <a:cubicBezTo>
                <a:pt x="135467" y="4429760"/>
                <a:pt x="152641" y="4411437"/>
                <a:pt x="162560" y="4389120"/>
              </a:cubicBezTo>
              <a:cubicBezTo>
                <a:pt x="179958" y="4349974"/>
                <a:pt x="203200" y="4267200"/>
                <a:pt x="203200" y="4267200"/>
              </a:cubicBezTo>
              <a:cubicBezTo>
                <a:pt x="212986" y="4169342"/>
                <a:pt x="217259" y="4059865"/>
                <a:pt x="243840" y="3962400"/>
              </a:cubicBezTo>
              <a:cubicBezTo>
                <a:pt x="255112" y="3921071"/>
                <a:pt x="276079" y="3882486"/>
                <a:pt x="284480" y="3840480"/>
              </a:cubicBezTo>
              <a:cubicBezTo>
                <a:pt x="291253" y="3806613"/>
                <a:pt x="295713" y="3772200"/>
                <a:pt x="304800" y="3738880"/>
              </a:cubicBezTo>
              <a:cubicBezTo>
                <a:pt x="316072" y="3697551"/>
                <a:pt x="345440" y="3616960"/>
                <a:pt x="345440" y="3616960"/>
              </a:cubicBezTo>
              <a:cubicBezTo>
                <a:pt x="352213" y="3556000"/>
                <a:pt x="355677" y="3494581"/>
                <a:pt x="365760" y="3434080"/>
              </a:cubicBezTo>
              <a:cubicBezTo>
                <a:pt x="369281" y="3412952"/>
                <a:pt x="380885" y="3393900"/>
                <a:pt x="386080" y="3373120"/>
              </a:cubicBezTo>
              <a:cubicBezTo>
                <a:pt x="394457" y="3339614"/>
                <a:pt x="397313" y="3304840"/>
                <a:pt x="406400" y="3271520"/>
              </a:cubicBezTo>
              <a:cubicBezTo>
                <a:pt x="417672" y="3230191"/>
                <a:pt x="447040" y="3149600"/>
                <a:pt x="447040" y="3149600"/>
              </a:cubicBezTo>
              <a:cubicBezTo>
                <a:pt x="505961" y="2737151"/>
                <a:pt x="431292" y="3251960"/>
                <a:pt x="487680" y="2885440"/>
              </a:cubicBezTo>
              <a:cubicBezTo>
                <a:pt x="539973" y="2545534"/>
                <a:pt x="477634" y="2925396"/>
                <a:pt x="528320" y="2621280"/>
              </a:cubicBezTo>
              <a:cubicBezTo>
                <a:pt x="577787" y="2695480"/>
                <a:pt x="619506" y="2752598"/>
                <a:pt x="650240" y="2844800"/>
              </a:cubicBezTo>
              <a:cubicBezTo>
                <a:pt x="663787" y="2885440"/>
                <a:pt x="680490" y="2925161"/>
                <a:pt x="690880" y="2966720"/>
              </a:cubicBezTo>
              <a:cubicBezTo>
                <a:pt x="697653" y="2993813"/>
                <a:pt x="700199" y="3022331"/>
                <a:pt x="711200" y="3048000"/>
              </a:cubicBezTo>
              <a:cubicBezTo>
                <a:pt x="720820" y="3070447"/>
                <a:pt x="741921" y="3086643"/>
                <a:pt x="751840" y="3108960"/>
              </a:cubicBezTo>
              <a:cubicBezTo>
                <a:pt x="769238" y="3148106"/>
                <a:pt x="778933" y="3190240"/>
                <a:pt x="792480" y="3230880"/>
              </a:cubicBezTo>
              <a:lnTo>
                <a:pt x="812800" y="3291840"/>
              </a:lnTo>
              <a:cubicBezTo>
                <a:pt x="819573" y="3312160"/>
                <a:pt x="828474" y="3331891"/>
                <a:pt x="833120" y="3352800"/>
              </a:cubicBezTo>
              <a:lnTo>
                <a:pt x="873760" y="3535680"/>
              </a:lnTo>
              <a:cubicBezTo>
                <a:pt x="872745" y="3555977"/>
                <a:pt x="889559" y="3948862"/>
                <a:pt x="812800" y="4064000"/>
              </a:cubicBezTo>
              <a:cubicBezTo>
                <a:pt x="799253" y="4084320"/>
                <a:pt x="782079" y="4102643"/>
                <a:pt x="772160" y="4124960"/>
              </a:cubicBezTo>
              <a:cubicBezTo>
                <a:pt x="754762" y="4164106"/>
                <a:pt x="731520" y="4246880"/>
                <a:pt x="731520" y="4246880"/>
              </a:cubicBezTo>
              <a:cubicBezTo>
                <a:pt x="738293" y="4328160"/>
                <a:pt x="738431" y="4410268"/>
                <a:pt x="751840" y="4490720"/>
              </a:cubicBezTo>
              <a:cubicBezTo>
                <a:pt x="758883" y="4532975"/>
                <a:pt x="784079" y="4570634"/>
                <a:pt x="792480" y="4612640"/>
              </a:cubicBezTo>
              <a:cubicBezTo>
                <a:pt x="822193" y="4761205"/>
                <a:pt x="807916" y="4680050"/>
                <a:pt x="833120" y="4856480"/>
              </a:cubicBezTo>
              <a:cubicBezTo>
                <a:pt x="839893" y="5093547"/>
                <a:pt x="841597" y="5330812"/>
                <a:pt x="853440" y="5567680"/>
              </a:cubicBezTo>
              <a:cubicBezTo>
                <a:pt x="863224" y="5763360"/>
                <a:pt x="883049" y="5575227"/>
                <a:pt x="955040" y="5791200"/>
              </a:cubicBezTo>
              <a:cubicBezTo>
                <a:pt x="961813" y="5811520"/>
                <a:pt x="954451" y="5847514"/>
                <a:pt x="975360" y="5852160"/>
              </a:cubicBezTo>
              <a:cubicBezTo>
                <a:pt x="1087959" y="5877182"/>
                <a:pt x="1205653" y="5865707"/>
                <a:pt x="1320800" y="5872480"/>
              </a:cubicBezTo>
              <a:cubicBezTo>
                <a:pt x="1347893" y="5879253"/>
                <a:pt x="1375227" y="5885128"/>
                <a:pt x="1402080" y="5892800"/>
              </a:cubicBezTo>
              <a:cubicBezTo>
                <a:pt x="1422675" y="5898684"/>
                <a:pt x="1441621" y="5913120"/>
                <a:pt x="1463040" y="5913120"/>
              </a:cubicBezTo>
              <a:cubicBezTo>
                <a:pt x="1504241" y="5913120"/>
                <a:pt x="1544320" y="5899573"/>
                <a:pt x="1584960" y="5892800"/>
              </a:cubicBezTo>
              <a:cubicBezTo>
                <a:pt x="1605280" y="5879253"/>
                <a:pt x="1642891" y="5876393"/>
                <a:pt x="1645920" y="5852160"/>
              </a:cubicBezTo>
              <a:cubicBezTo>
                <a:pt x="1651233" y="5809652"/>
                <a:pt x="1605280" y="5730240"/>
                <a:pt x="1605280" y="5730240"/>
              </a:cubicBezTo>
              <a:cubicBezTo>
                <a:pt x="1578902" y="5545592"/>
                <a:pt x="1600106" y="5633437"/>
                <a:pt x="1544320" y="5466080"/>
              </a:cubicBezTo>
              <a:cubicBezTo>
                <a:pt x="1537547" y="5445760"/>
                <a:pt x="1541822" y="5417001"/>
                <a:pt x="1524000" y="5405120"/>
              </a:cubicBezTo>
              <a:cubicBezTo>
                <a:pt x="1483360" y="5378027"/>
                <a:pt x="1436617" y="5358377"/>
                <a:pt x="1402080" y="5323840"/>
              </a:cubicBezTo>
              <a:cubicBezTo>
                <a:pt x="1323851" y="5245611"/>
                <a:pt x="1365030" y="5278820"/>
                <a:pt x="1280160" y="5222240"/>
              </a:cubicBezTo>
              <a:cubicBezTo>
                <a:pt x="1266613" y="5181600"/>
                <a:pt x="1263282" y="5135964"/>
                <a:pt x="1239520" y="5100320"/>
              </a:cubicBezTo>
              <a:cubicBezTo>
                <a:pt x="1146359" y="4960578"/>
                <a:pt x="1173686" y="5024737"/>
                <a:pt x="1137920" y="4917440"/>
              </a:cubicBezTo>
              <a:cubicBezTo>
                <a:pt x="1144693" y="4856480"/>
                <a:pt x="1148157" y="4795061"/>
                <a:pt x="1158240" y="4734560"/>
              </a:cubicBezTo>
              <a:cubicBezTo>
                <a:pt x="1164008" y="4699953"/>
                <a:pt x="1203108" y="4614849"/>
                <a:pt x="1219200" y="4592320"/>
              </a:cubicBezTo>
              <a:cubicBezTo>
                <a:pt x="1235903" y="4568936"/>
                <a:pt x="1259840" y="4551680"/>
                <a:pt x="1280160" y="4531360"/>
              </a:cubicBezTo>
              <a:cubicBezTo>
                <a:pt x="1286933" y="4470400"/>
                <a:pt x="1262164" y="4396375"/>
                <a:pt x="1300480" y="4348480"/>
              </a:cubicBezTo>
              <a:cubicBezTo>
                <a:pt x="1321636" y="4322035"/>
                <a:pt x="1346294" y="4399469"/>
                <a:pt x="1361440" y="4429760"/>
              </a:cubicBezTo>
              <a:cubicBezTo>
                <a:pt x="1506528" y="4719937"/>
                <a:pt x="1323176" y="4433323"/>
                <a:pt x="1442720" y="4612640"/>
              </a:cubicBezTo>
              <a:cubicBezTo>
                <a:pt x="1453748" y="4899355"/>
                <a:pt x="1423922" y="5064245"/>
                <a:pt x="1503680" y="5303520"/>
              </a:cubicBezTo>
              <a:cubicBezTo>
                <a:pt x="1510453" y="5323840"/>
                <a:pt x="1512119" y="5346658"/>
                <a:pt x="1524000" y="5364480"/>
              </a:cubicBezTo>
              <a:cubicBezTo>
                <a:pt x="1539940" y="5388390"/>
                <a:pt x="1564640" y="5405120"/>
                <a:pt x="1584960" y="5425440"/>
              </a:cubicBezTo>
              <a:cubicBezTo>
                <a:pt x="1591733" y="5459307"/>
                <a:pt x="1596193" y="5493720"/>
                <a:pt x="1605280" y="5527040"/>
              </a:cubicBezTo>
              <a:cubicBezTo>
                <a:pt x="1616552" y="5568369"/>
                <a:pt x="1637519" y="5606954"/>
                <a:pt x="1645920" y="5648960"/>
              </a:cubicBezTo>
              <a:cubicBezTo>
                <a:pt x="1652693" y="5682827"/>
                <a:pt x="1649105" y="5720573"/>
                <a:pt x="1666240" y="5750560"/>
              </a:cubicBezTo>
              <a:cubicBezTo>
                <a:pt x="1678357" y="5771764"/>
                <a:pt x="1706880" y="5777653"/>
                <a:pt x="1727200" y="5791200"/>
              </a:cubicBezTo>
              <a:cubicBezTo>
                <a:pt x="1815253" y="5784427"/>
                <a:pt x="1903532" y="5780125"/>
                <a:pt x="1991360" y="5770880"/>
              </a:cubicBezTo>
              <a:cubicBezTo>
                <a:pt x="2032334" y="5766567"/>
                <a:pt x="2086904" y="5782211"/>
                <a:pt x="2113280" y="5750560"/>
              </a:cubicBezTo>
              <a:cubicBezTo>
                <a:pt x="2135390" y="5724028"/>
                <a:pt x="2102047" y="5682280"/>
                <a:pt x="2092960" y="5648960"/>
              </a:cubicBezTo>
              <a:cubicBezTo>
                <a:pt x="2054132" y="5506589"/>
                <a:pt x="2056406" y="5533169"/>
                <a:pt x="1971040" y="5405120"/>
              </a:cubicBezTo>
              <a:lnTo>
                <a:pt x="1971040" y="5405120"/>
              </a:lnTo>
              <a:cubicBezTo>
                <a:pt x="1922677" y="5260032"/>
                <a:pt x="1954162" y="5318844"/>
                <a:pt x="1889760" y="5222240"/>
              </a:cubicBezTo>
              <a:cubicBezTo>
                <a:pt x="1882987" y="5195147"/>
                <a:pt x="1877112" y="5167813"/>
                <a:pt x="1869440" y="5140960"/>
              </a:cubicBezTo>
              <a:cubicBezTo>
                <a:pt x="1863556" y="5120365"/>
                <a:pt x="1853936" y="5100871"/>
                <a:pt x="1849120" y="5080000"/>
              </a:cubicBezTo>
              <a:cubicBezTo>
                <a:pt x="1811595" y="4917393"/>
                <a:pt x="1809576" y="4884470"/>
                <a:pt x="1788160" y="4734560"/>
              </a:cubicBezTo>
              <a:cubicBezTo>
                <a:pt x="1819069" y="3869099"/>
                <a:pt x="1761041" y="4389234"/>
                <a:pt x="1828800" y="4084320"/>
              </a:cubicBezTo>
              <a:cubicBezTo>
                <a:pt x="1836292" y="4050605"/>
                <a:pt x="1834828" y="4014162"/>
                <a:pt x="1849120" y="3982720"/>
              </a:cubicBezTo>
              <a:cubicBezTo>
                <a:pt x="1869331" y="3938255"/>
                <a:pt x="1889760" y="3887893"/>
                <a:pt x="1930400" y="3860800"/>
              </a:cubicBezTo>
              <a:lnTo>
                <a:pt x="2052320" y="3779520"/>
              </a:lnTo>
              <a:cubicBezTo>
                <a:pt x="2072640" y="3765973"/>
                <a:pt x="2096011" y="3756149"/>
                <a:pt x="2113280" y="3738880"/>
              </a:cubicBezTo>
              <a:cubicBezTo>
                <a:pt x="2158220" y="3693940"/>
                <a:pt x="2178620" y="3665570"/>
                <a:pt x="2235200" y="3637280"/>
              </a:cubicBezTo>
              <a:cubicBezTo>
                <a:pt x="2254358" y="3627701"/>
                <a:pt x="2275840" y="3623733"/>
                <a:pt x="2296160" y="3616960"/>
              </a:cubicBezTo>
              <a:cubicBezTo>
                <a:pt x="2402477" y="3626625"/>
                <a:pt x="2516303" y="3628970"/>
                <a:pt x="2621280" y="3657600"/>
              </a:cubicBezTo>
              <a:cubicBezTo>
                <a:pt x="2662609" y="3668872"/>
                <a:pt x="2702560" y="3684693"/>
                <a:pt x="2743200" y="3698240"/>
              </a:cubicBezTo>
              <a:cubicBezTo>
                <a:pt x="2763520" y="3705013"/>
                <a:pt x="2786338" y="3706679"/>
                <a:pt x="2804160" y="3718560"/>
              </a:cubicBezTo>
              <a:cubicBezTo>
                <a:pt x="2824480" y="3732107"/>
                <a:pt x="2842803" y="3749281"/>
                <a:pt x="2865120" y="3759200"/>
              </a:cubicBezTo>
              <a:cubicBezTo>
                <a:pt x="2904266" y="3776598"/>
                <a:pt x="2946400" y="3786293"/>
                <a:pt x="2987040" y="3799840"/>
              </a:cubicBezTo>
              <a:lnTo>
                <a:pt x="3108960" y="3840480"/>
              </a:lnTo>
              <a:cubicBezTo>
                <a:pt x="3129280" y="3847253"/>
                <a:pt x="3148917" y="3856599"/>
                <a:pt x="3169920" y="3860800"/>
              </a:cubicBezTo>
              <a:lnTo>
                <a:pt x="3271520" y="3881120"/>
              </a:lnTo>
              <a:cubicBezTo>
                <a:pt x="3417350" y="3978340"/>
                <a:pt x="3358903" y="3927863"/>
                <a:pt x="3454400" y="4023360"/>
              </a:cubicBezTo>
              <a:cubicBezTo>
                <a:pt x="3474720" y="4009813"/>
                <a:pt x="3506290" y="4005395"/>
                <a:pt x="3515360" y="3982720"/>
              </a:cubicBezTo>
              <a:cubicBezTo>
                <a:pt x="3522965" y="3963707"/>
                <a:pt x="3453568" y="3879813"/>
                <a:pt x="3515360" y="3860800"/>
              </a:cubicBezTo>
              <a:cubicBezTo>
                <a:pt x="3593315" y="3836814"/>
                <a:pt x="3677920" y="3847253"/>
                <a:pt x="3759200" y="3840480"/>
              </a:cubicBezTo>
              <a:cubicBezTo>
                <a:pt x="3779520" y="3833707"/>
                <a:pt x="3798750" y="3819530"/>
                <a:pt x="3820160" y="3820160"/>
              </a:cubicBezTo>
              <a:cubicBezTo>
                <a:pt x="4030479" y="3826346"/>
                <a:pt x="4450080" y="3860800"/>
                <a:pt x="4450080" y="3860800"/>
              </a:cubicBezTo>
              <a:cubicBezTo>
                <a:pt x="4531360" y="3854027"/>
                <a:pt x="4613106" y="3851500"/>
                <a:pt x="4693920" y="3840480"/>
              </a:cubicBezTo>
              <a:cubicBezTo>
                <a:pt x="4762361" y="3831147"/>
                <a:pt x="4828329" y="3806094"/>
                <a:pt x="4897120" y="3799840"/>
              </a:cubicBezTo>
              <a:lnTo>
                <a:pt x="5120640" y="3779520"/>
              </a:lnTo>
              <a:cubicBezTo>
                <a:pt x="5128575" y="3795391"/>
                <a:pt x="5181600" y="3891861"/>
                <a:pt x="5181600" y="3921760"/>
              </a:cubicBezTo>
              <a:cubicBezTo>
                <a:pt x="5181600" y="4207239"/>
                <a:pt x="5183939" y="4176566"/>
                <a:pt x="5140960" y="4348480"/>
              </a:cubicBezTo>
              <a:cubicBezTo>
                <a:pt x="5126393" y="4479583"/>
                <a:pt x="5099809" y="4602878"/>
                <a:pt x="5140960" y="4734560"/>
              </a:cubicBezTo>
              <a:cubicBezTo>
                <a:pt x="5155529" y="4781180"/>
                <a:pt x="5222240" y="4856480"/>
                <a:pt x="5222240" y="4856480"/>
              </a:cubicBezTo>
              <a:cubicBezTo>
                <a:pt x="5208693" y="4978400"/>
                <a:pt x="5196216" y="5100444"/>
                <a:pt x="5181600" y="5222240"/>
              </a:cubicBezTo>
              <a:cubicBezTo>
                <a:pt x="5175894" y="5269794"/>
                <a:pt x="5161280" y="5316585"/>
                <a:pt x="5161280" y="5364480"/>
              </a:cubicBezTo>
              <a:cubicBezTo>
                <a:pt x="5161280" y="5687102"/>
                <a:pt x="5146759" y="5625716"/>
                <a:pt x="5201920" y="5791200"/>
              </a:cubicBezTo>
              <a:cubicBezTo>
                <a:pt x="5192338" y="5819947"/>
                <a:pt x="5161280" y="5907925"/>
                <a:pt x="5161280" y="5933440"/>
              </a:cubicBezTo>
              <a:cubicBezTo>
                <a:pt x="5161280" y="5954859"/>
                <a:pt x="5171198" y="5975676"/>
                <a:pt x="5181600" y="5994400"/>
              </a:cubicBezTo>
              <a:cubicBezTo>
                <a:pt x="5227644" y="6077278"/>
                <a:pt x="5237206" y="6125811"/>
                <a:pt x="5323840" y="6136640"/>
              </a:cubicBezTo>
              <a:cubicBezTo>
                <a:pt x="5411471" y="6147594"/>
                <a:pt x="5500125" y="6148172"/>
                <a:pt x="5588000" y="6156960"/>
              </a:cubicBezTo>
              <a:cubicBezTo>
                <a:pt x="5635657" y="6161726"/>
                <a:pt x="5682827" y="6170507"/>
                <a:pt x="5730240" y="6177280"/>
              </a:cubicBezTo>
              <a:cubicBezTo>
                <a:pt x="5764107" y="6170507"/>
                <a:pt x="5803103" y="6176118"/>
                <a:pt x="5831840" y="6156960"/>
              </a:cubicBezTo>
              <a:cubicBezTo>
                <a:pt x="5849662" y="6145079"/>
                <a:pt x="5847959" y="6117003"/>
                <a:pt x="5852160" y="6096000"/>
              </a:cubicBezTo>
              <a:cubicBezTo>
                <a:pt x="5861553" y="6049035"/>
                <a:pt x="5851061" y="5996598"/>
                <a:pt x="5872480" y="5953760"/>
              </a:cubicBezTo>
              <a:cubicBezTo>
                <a:pt x="5882059" y="5934602"/>
                <a:pt x="5913120" y="5940213"/>
                <a:pt x="5933440" y="5933440"/>
              </a:cubicBezTo>
              <a:cubicBezTo>
                <a:pt x="5946987" y="5913120"/>
                <a:pt x="5971051" y="5896713"/>
                <a:pt x="5974080" y="5872480"/>
              </a:cubicBezTo>
              <a:cubicBezTo>
                <a:pt x="5981694" y="5811571"/>
                <a:pt x="5949779" y="5753911"/>
                <a:pt x="5913120" y="5709920"/>
              </a:cubicBezTo>
              <a:cubicBezTo>
                <a:pt x="5894723" y="5687844"/>
                <a:pt x="5868863" y="5672344"/>
                <a:pt x="5852160" y="5648960"/>
              </a:cubicBezTo>
              <a:cubicBezTo>
                <a:pt x="5834554" y="5624311"/>
                <a:pt x="5825067" y="5594773"/>
                <a:pt x="5811520" y="5567680"/>
              </a:cubicBezTo>
              <a:cubicBezTo>
                <a:pt x="5797210" y="5438890"/>
                <a:pt x="5801935" y="5407038"/>
                <a:pt x="5770880" y="5303520"/>
              </a:cubicBezTo>
              <a:cubicBezTo>
                <a:pt x="5758570" y="5262488"/>
                <a:pt x="5730240" y="5181600"/>
                <a:pt x="5730240" y="5181600"/>
              </a:cubicBezTo>
              <a:cubicBezTo>
                <a:pt x="5770058" y="4942693"/>
                <a:pt x="5730463" y="5160276"/>
                <a:pt x="5770880" y="4978400"/>
              </a:cubicBezTo>
              <a:cubicBezTo>
                <a:pt x="5778372" y="4944685"/>
                <a:pt x="5782113" y="4910120"/>
                <a:pt x="5791200" y="4876800"/>
              </a:cubicBezTo>
              <a:cubicBezTo>
                <a:pt x="5802472" y="4835471"/>
                <a:pt x="5808078" y="4790524"/>
                <a:pt x="5831840" y="4754880"/>
              </a:cubicBezTo>
              <a:cubicBezTo>
                <a:pt x="5845387" y="4734560"/>
                <a:pt x="5862561" y="4716237"/>
                <a:pt x="5872480" y="4693920"/>
              </a:cubicBezTo>
              <a:cubicBezTo>
                <a:pt x="5889878" y="4654774"/>
                <a:pt x="5899573" y="4612640"/>
                <a:pt x="5913120" y="4572000"/>
              </a:cubicBezTo>
              <a:cubicBezTo>
                <a:pt x="5941320" y="4487399"/>
                <a:pt x="5934143" y="4517331"/>
                <a:pt x="5953760" y="4409440"/>
              </a:cubicBezTo>
              <a:cubicBezTo>
                <a:pt x="5965187" y="4346594"/>
                <a:pt x="5977621" y="4221249"/>
                <a:pt x="6014720" y="4165600"/>
              </a:cubicBezTo>
              <a:cubicBezTo>
                <a:pt x="6028267" y="4145280"/>
                <a:pt x="6034651" y="4117583"/>
                <a:pt x="6055360" y="4104640"/>
              </a:cubicBezTo>
              <a:cubicBezTo>
                <a:pt x="6107859" y="4071828"/>
                <a:pt x="6217658" y="4057285"/>
                <a:pt x="6278880" y="4043680"/>
              </a:cubicBezTo>
              <a:cubicBezTo>
                <a:pt x="6306142" y="4037622"/>
                <a:pt x="6332775" y="4028837"/>
                <a:pt x="6360160" y="4023360"/>
              </a:cubicBezTo>
              <a:cubicBezTo>
                <a:pt x="6538970" y="3987598"/>
                <a:pt x="6424402" y="4022266"/>
                <a:pt x="6543040" y="3982720"/>
              </a:cubicBezTo>
              <a:cubicBezTo>
                <a:pt x="6678327" y="3847433"/>
                <a:pt x="6550802" y="3993133"/>
                <a:pt x="6624320" y="3860800"/>
              </a:cubicBezTo>
              <a:cubicBezTo>
                <a:pt x="6648040" y="3818103"/>
                <a:pt x="6678507" y="3779520"/>
                <a:pt x="6705600" y="3738880"/>
              </a:cubicBezTo>
              <a:cubicBezTo>
                <a:pt x="6719147" y="3718560"/>
                <a:pt x="6738517" y="3701088"/>
                <a:pt x="6746240" y="3677920"/>
              </a:cubicBezTo>
              <a:cubicBezTo>
                <a:pt x="6759787" y="3637280"/>
                <a:pt x="6763118" y="3591644"/>
                <a:pt x="6786880" y="3556000"/>
              </a:cubicBezTo>
              <a:cubicBezTo>
                <a:pt x="6800427" y="3535680"/>
                <a:pt x="6816598" y="3516883"/>
                <a:pt x="6827520" y="3495040"/>
              </a:cubicBezTo>
              <a:cubicBezTo>
                <a:pt x="6837099" y="3475882"/>
                <a:pt x="6838261" y="3453238"/>
                <a:pt x="6847840" y="3434080"/>
              </a:cubicBezTo>
              <a:cubicBezTo>
                <a:pt x="6858762" y="3412237"/>
                <a:pt x="6877558" y="3394963"/>
                <a:pt x="6888480" y="3373120"/>
              </a:cubicBezTo>
              <a:cubicBezTo>
                <a:pt x="6898059" y="3353962"/>
                <a:pt x="6891371" y="3324610"/>
                <a:pt x="6908800" y="3312160"/>
              </a:cubicBezTo>
              <a:cubicBezTo>
                <a:pt x="6943659" y="3287261"/>
                <a:pt x="7030720" y="3271520"/>
                <a:pt x="7030720" y="3271520"/>
              </a:cubicBezTo>
              <a:cubicBezTo>
                <a:pt x="7137251" y="3164989"/>
                <a:pt x="7068109" y="3258515"/>
                <a:pt x="7112000" y="3068320"/>
              </a:cubicBezTo>
              <a:cubicBezTo>
                <a:pt x="7149250" y="2906905"/>
                <a:pt x="7130719" y="2984897"/>
                <a:pt x="7213600" y="2885440"/>
              </a:cubicBezTo>
              <a:cubicBezTo>
                <a:pt x="7229234" y="2866679"/>
                <a:pt x="7235861" y="2840562"/>
                <a:pt x="7254240" y="2824480"/>
              </a:cubicBezTo>
              <a:lnTo>
                <a:pt x="7437120" y="2702560"/>
              </a:lnTo>
              <a:cubicBezTo>
                <a:pt x="7457440" y="2689013"/>
                <a:pt x="7474912" y="2669643"/>
                <a:pt x="7498080" y="2661920"/>
              </a:cubicBezTo>
              <a:lnTo>
                <a:pt x="7620000" y="2621280"/>
              </a:lnTo>
              <a:cubicBezTo>
                <a:pt x="7647093" y="2600960"/>
                <a:pt x="7673535" y="2579741"/>
                <a:pt x="7701280" y="2560320"/>
              </a:cubicBezTo>
              <a:cubicBezTo>
                <a:pt x="7741294" y="2532310"/>
                <a:pt x="7788663" y="2513577"/>
                <a:pt x="7823200" y="2479040"/>
              </a:cubicBezTo>
              <a:lnTo>
                <a:pt x="7884160" y="2418080"/>
              </a:lnTo>
              <a:cubicBezTo>
                <a:pt x="8073813" y="2424853"/>
                <a:pt x="8263739" y="2426182"/>
                <a:pt x="8453120" y="2438400"/>
              </a:cubicBezTo>
              <a:cubicBezTo>
                <a:pt x="8474495" y="2439779"/>
                <a:pt x="8494922" y="2449141"/>
                <a:pt x="8514080" y="2458720"/>
              </a:cubicBezTo>
              <a:cubicBezTo>
                <a:pt x="8535923" y="2469642"/>
                <a:pt x="8554720" y="2485813"/>
                <a:pt x="8575040" y="2499360"/>
              </a:cubicBezTo>
              <a:cubicBezTo>
                <a:pt x="8678574" y="2430337"/>
                <a:pt x="8632974" y="2441859"/>
                <a:pt x="8818880" y="2479040"/>
              </a:cubicBezTo>
              <a:cubicBezTo>
                <a:pt x="8860886" y="2487441"/>
                <a:pt x="8940800" y="2519680"/>
                <a:pt x="8940800" y="2519680"/>
              </a:cubicBezTo>
              <a:cubicBezTo>
                <a:pt x="9059544" y="2502717"/>
                <a:pt x="9077673" y="2502810"/>
                <a:pt x="9184640" y="2479040"/>
              </a:cubicBezTo>
              <a:cubicBezTo>
                <a:pt x="9327568" y="2447278"/>
                <a:pt x="9208081" y="2472342"/>
                <a:pt x="9326880" y="2438400"/>
              </a:cubicBezTo>
              <a:cubicBezTo>
                <a:pt x="9353733" y="2430728"/>
                <a:pt x="9381067" y="2424853"/>
                <a:pt x="9408160" y="2418080"/>
              </a:cubicBezTo>
              <a:cubicBezTo>
                <a:pt x="9414933" y="2363893"/>
                <a:pt x="9392200" y="2296335"/>
                <a:pt x="9428480" y="2255520"/>
              </a:cubicBezTo>
              <a:cubicBezTo>
                <a:pt x="9460300" y="2219723"/>
                <a:pt x="9539551" y="2271564"/>
                <a:pt x="9570720" y="2235200"/>
              </a:cubicBezTo>
              <a:cubicBezTo>
                <a:pt x="9597533" y="2203918"/>
                <a:pt x="9556227" y="2154066"/>
                <a:pt x="9550400" y="2113280"/>
              </a:cubicBezTo>
              <a:cubicBezTo>
                <a:pt x="9542677" y="2059220"/>
                <a:pt x="9539849" y="2004448"/>
                <a:pt x="9530080" y="1950720"/>
              </a:cubicBezTo>
              <a:cubicBezTo>
                <a:pt x="9516668" y="1876953"/>
                <a:pt x="9470667" y="1831121"/>
                <a:pt x="9428480" y="1767840"/>
              </a:cubicBezTo>
              <a:lnTo>
                <a:pt x="9387840" y="1706880"/>
              </a:lnTo>
              <a:cubicBezTo>
                <a:pt x="9374293" y="1686560"/>
                <a:pt x="9354923" y="1669088"/>
                <a:pt x="9347200" y="1645920"/>
              </a:cubicBezTo>
              <a:cubicBezTo>
                <a:pt x="9340427" y="1625600"/>
                <a:pt x="9337282" y="1603684"/>
                <a:pt x="9326880" y="1584960"/>
              </a:cubicBezTo>
              <a:cubicBezTo>
                <a:pt x="9266117" y="1475587"/>
                <a:pt x="9258688" y="1476128"/>
                <a:pt x="9184640" y="1402080"/>
              </a:cubicBezTo>
              <a:cubicBezTo>
                <a:pt x="9124401" y="1161124"/>
                <a:pt x="9216808" y="1542602"/>
                <a:pt x="9144000" y="1178560"/>
              </a:cubicBezTo>
              <a:cubicBezTo>
                <a:pt x="9139799" y="1157557"/>
                <a:pt x="9129564" y="1138195"/>
                <a:pt x="9123680" y="1117600"/>
              </a:cubicBezTo>
              <a:cubicBezTo>
                <a:pt x="9116008" y="1090747"/>
                <a:pt x="9114361" y="1061989"/>
                <a:pt x="9103360" y="1036320"/>
              </a:cubicBezTo>
              <a:cubicBezTo>
                <a:pt x="9073655" y="967009"/>
                <a:pt x="9048364" y="974320"/>
                <a:pt x="9001760" y="914400"/>
              </a:cubicBezTo>
              <a:cubicBezTo>
                <a:pt x="8909848" y="796227"/>
                <a:pt x="8924410" y="804269"/>
                <a:pt x="8879840" y="670560"/>
              </a:cubicBezTo>
              <a:lnTo>
                <a:pt x="8859520" y="609600"/>
              </a:lnTo>
              <a:cubicBezTo>
                <a:pt x="8873067" y="541867"/>
                <a:pt x="8834630" y="428243"/>
                <a:pt x="8900160" y="406400"/>
              </a:cubicBezTo>
              <a:cubicBezTo>
                <a:pt x="9081331" y="346010"/>
                <a:pt x="8795448" y="442630"/>
                <a:pt x="9062720" y="345440"/>
              </a:cubicBezTo>
              <a:cubicBezTo>
                <a:pt x="9222317" y="287405"/>
                <a:pt x="9140725" y="334077"/>
                <a:pt x="9245600" y="264160"/>
              </a:cubicBezTo>
              <a:cubicBezTo>
                <a:pt x="9254157" y="251324"/>
                <a:pt x="9317076" y="168530"/>
                <a:pt x="9306560" y="142240"/>
              </a:cubicBezTo>
              <a:cubicBezTo>
                <a:pt x="9297490" y="119565"/>
                <a:pt x="9265920" y="115147"/>
                <a:pt x="9245600" y="101600"/>
              </a:cubicBezTo>
              <a:cubicBezTo>
                <a:pt x="9218507" y="108373"/>
                <a:pt x="9191705" y="116443"/>
                <a:pt x="9164320" y="121920"/>
              </a:cubicBezTo>
              <a:cubicBezTo>
                <a:pt x="9123920" y="130000"/>
                <a:pt x="9082370" y="132247"/>
                <a:pt x="9042400" y="142240"/>
              </a:cubicBezTo>
              <a:cubicBezTo>
                <a:pt x="8832705" y="194664"/>
                <a:pt x="8992955" y="156802"/>
                <a:pt x="8859520" y="223520"/>
              </a:cubicBezTo>
              <a:cubicBezTo>
                <a:pt x="8840362" y="233099"/>
                <a:pt x="8817718" y="234261"/>
                <a:pt x="8798560" y="243840"/>
              </a:cubicBezTo>
              <a:cubicBezTo>
                <a:pt x="8776717" y="254762"/>
                <a:pt x="8756361" y="268846"/>
                <a:pt x="8737600" y="284480"/>
              </a:cubicBezTo>
              <a:cubicBezTo>
                <a:pt x="8715524" y="302877"/>
                <a:pt x="8701760" y="331484"/>
                <a:pt x="8676640" y="345440"/>
              </a:cubicBezTo>
              <a:cubicBezTo>
                <a:pt x="8639193" y="366244"/>
                <a:pt x="8554720" y="386080"/>
                <a:pt x="8554720" y="386080"/>
              </a:cubicBezTo>
              <a:cubicBezTo>
                <a:pt x="8514080" y="372533"/>
                <a:pt x="8425757" y="387695"/>
                <a:pt x="8432800" y="345440"/>
              </a:cubicBezTo>
              <a:cubicBezTo>
                <a:pt x="8439573" y="304800"/>
                <a:pt x="8429493" y="257273"/>
                <a:pt x="8453120" y="223520"/>
              </a:cubicBezTo>
              <a:cubicBezTo>
                <a:pt x="8481130" y="183506"/>
                <a:pt x="8575040" y="142240"/>
                <a:pt x="8575040" y="142240"/>
              </a:cubicBezTo>
              <a:cubicBezTo>
                <a:pt x="8581813" y="121920"/>
                <a:pt x="8585781" y="100438"/>
                <a:pt x="8595360" y="81280"/>
              </a:cubicBezTo>
              <a:cubicBezTo>
                <a:pt x="8606282" y="59437"/>
                <a:pt x="8641923" y="44012"/>
                <a:pt x="8636000" y="20320"/>
              </a:cubicBezTo>
              <a:cubicBezTo>
                <a:pt x="8630805" y="-460"/>
                <a:pt x="8595360" y="6773"/>
                <a:pt x="8575040" y="0"/>
              </a:cubicBezTo>
              <a:cubicBezTo>
                <a:pt x="8486987" y="6773"/>
                <a:pt x="8397681" y="4045"/>
                <a:pt x="8310880" y="20320"/>
              </a:cubicBezTo>
              <a:cubicBezTo>
                <a:pt x="8246372" y="32415"/>
                <a:pt x="8189283" y="151916"/>
                <a:pt x="8168640" y="182880"/>
              </a:cubicBezTo>
              <a:cubicBezTo>
                <a:pt x="8155093" y="203200"/>
                <a:pt x="8135723" y="220672"/>
                <a:pt x="8128000" y="243840"/>
              </a:cubicBezTo>
              <a:cubicBezTo>
                <a:pt x="8098849" y="331294"/>
                <a:pt x="8112875" y="284020"/>
                <a:pt x="8087360" y="386080"/>
              </a:cubicBezTo>
              <a:cubicBezTo>
                <a:pt x="8019627" y="379307"/>
                <a:pt x="7951440" y="376111"/>
                <a:pt x="7884160" y="365760"/>
              </a:cubicBezTo>
              <a:cubicBezTo>
                <a:pt x="7862990" y="362503"/>
                <a:pt x="7844619" y="345440"/>
                <a:pt x="7823200" y="345440"/>
              </a:cubicBezTo>
              <a:cubicBezTo>
                <a:pt x="7687564" y="345440"/>
                <a:pt x="7552267" y="358987"/>
                <a:pt x="7416800" y="365760"/>
              </a:cubicBezTo>
              <a:cubicBezTo>
                <a:pt x="7396480" y="372533"/>
                <a:pt x="7370986" y="370934"/>
                <a:pt x="7355840" y="386080"/>
              </a:cubicBezTo>
              <a:cubicBezTo>
                <a:pt x="7340694" y="401226"/>
                <a:pt x="7339352" y="425966"/>
                <a:pt x="7335520" y="447040"/>
              </a:cubicBezTo>
              <a:cubicBezTo>
                <a:pt x="7325751" y="500768"/>
                <a:pt x="7337379" y="559698"/>
                <a:pt x="7315200" y="609600"/>
              </a:cubicBezTo>
              <a:cubicBezTo>
                <a:pt x="7306501" y="629173"/>
                <a:pt x="7275243" y="625719"/>
                <a:pt x="7254240" y="629920"/>
              </a:cubicBezTo>
              <a:cubicBezTo>
                <a:pt x="7207275" y="639313"/>
                <a:pt x="7159413" y="643467"/>
                <a:pt x="7112000" y="650240"/>
              </a:cubicBezTo>
              <a:cubicBezTo>
                <a:pt x="6962987" y="643467"/>
                <a:pt x="6813652" y="641815"/>
                <a:pt x="6664960" y="629920"/>
              </a:cubicBezTo>
              <a:cubicBezTo>
                <a:pt x="6618236" y="626182"/>
                <a:pt x="6562385" y="582182"/>
                <a:pt x="6522720" y="568960"/>
              </a:cubicBezTo>
              <a:cubicBezTo>
                <a:pt x="6489955" y="558038"/>
                <a:pt x="6454835" y="556132"/>
                <a:pt x="6421120" y="548640"/>
              </a:cubicBezTo>
              <a:cubicBezTo>
                <a:pt x="6393858" y="542582"/>
                <a:pt x="6366693" y="535992"/>
                <a:pt x="6339840" y="528320"/>
              </a:cubicBezTo>
              <a:cubicBezTo>
                <a:pt x="6319245" y="522436"/>
                <a:pt x="6300245" y="509526"/>
                <a:pt x="6278880" y="508000"/>
              </a:cubicBezTo>
              <a:cubicBezTo>
                <a:pt x="6109842" y="495926"/>
                <a:pt x="5940213" y="494453"/>
                <a:pt x="5770880" y="487680"/>
              </a:cubicBezTo>
              <a:cubicBezTo>
                <a:pt x="5696373" y="494453"/>
                <a:pt x="5620721" y="493328"/>
                <a:pt x="5547360" y="508000"/>
              </a:cubicBezTo>
              <a:cubicBezTo>
                <a:pt x="5339343" y="549603"/>
                <a:pt x="5589283" y="551920"/>
                <a:pt x="5384800" y="568960"/>
              </a:cubicBezTo>
              <a:cubicBezTo>
                <a:pt x="5249633" y="580224"/>
                <a:pt x="5113867" y="582507"/>
                <a:pt x="4978400" y="589280"/>
              </a:cubicBezTo>
              <a:cubicBezTo>
                <a:pt x="4951307" y="596053"/>
                <a:pt x="4924667" y="605009"/>
                <a:pt x="4897120" y="609600"/>
              </a:cubicBezTo>
              <a:cubicBezTo>
                <a:pt x="4824947" y="621629"/>
                <a:pt x="4689386" y="631054"/>
                <a:pt x="4612640" y="650240"/>
              </a:cubicBezTo>
              <a:cubicBezTo>
                <a:pt x="4571081" y="660630"/>
                <a:pt x="4532726" y="682479"/>
                <a:pt x="4490720" y="690880"/>
              </a:cubicBezTo>
              <a:cubicBezTo>
                <a:pt x="4422987" y="704427"/>
                <a:pt x="4353050" y="709677"/>
                <a:pt x="4287520" y="731520"/>
              </a:cubicBezTo>
              <a:lnTo>
                <a:pt x="4226560" y="751840"/>
              </a:lnTo>
            </a:path>
          </a:pathLst>
        </a:custGeom>
        <a:solidFill>
          <a:sysClr val="windowText" lastClr="000000"/>
        </a:solidFill>
        <a:ln w="25400" cap="flat" cmpd="sng" algn="ctr">
          <a:noFill/>
          <a:prstDash val="solid"/>
        </a:ln>
        <a:effectLst/>
        <a:scene3d>
          <a:camera prst="orthographicFront">
            <a:rot lat="0" lon="10800000" rev="0"/>
          </a:camera>
          <a:lightRig rig="threePt" dir="t"/>
        </a:scene3d>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defRPr/>
          </a:pPr>
          <a:endParaRPr kumimoji="0" lang="ja-JP" altLang="en-US" sz="2000" kern="0">
            <a:solidFill>
              <a:prstClr val="white"/>
            </a:solidFill>
            <a:latin typeface="Calibri"/>
            <a:ea typeface="ＭＳ Ｐゴシック"/>
          </a:endParaRPr>
        </a:p>
      </xdr:txBody>
    </xdr:sp>
    <xdr:clientData/>
  </xdr:twoCellAnchor>
  <xdr:twoCellAnchor editAs="oneCell">
    <xdr:from>
      <xdr:col>2</xdr:col>
      <xdr:colOff>85725</xdr:colOff>
      <xdr:row>3</xdr:row>
      <xdr:rowOff>95250</xdr:rowOff>
    </xdr:from>
    <xdr:to>
      <xdr:col>9</xdr:col>
      <xdr:colOff>428625</xdr:colOff>
      <xdr:row>16</xdr:row>
      <xdr:rowOff>140405</xdr:rowOff>
    </xdr:to>
    <xdr:pic>
      <xdr:nvPicPr>
        <xdr:cNvPr id="4" name="図 3"/>
        <xdr:cNvPicPr>
          <a:picLocks noChangeAspect="1"/>
        </xdr:cNvPicPr>
      </xdr:nvPicPr>
      <xdr:blipFill>
        <a:blip xmlns:r="http://schemas.openxmlformats.org/officeDocument/2006/relationships" r:embed="rId1"/>
        <a:stretch>
          <a:fillRect/>
        </a:stretch>
      </xdr:blipFill>
      <xdr:spPr>
        <a:xfrm>
          <a:off x="1028700" y="266700"/>
          <a:ext cx="5172075" cy="2274005"/>
        </a:xfrm>
        <a:prstGeom prst="rect">
          <a:avLst/>
        </a:prstGeom>
      </xdr:spPr>
    </xdr:pic>
    <xdr:clientData/>
  </xdr:twoCellAnchor>
  <xdr:twoCellAnchor editAs="oneCell">
    <xdr:from>
      <xdr:col>2</xdr:col>
      <xdr:colOff>95251</xdr:colOff>
      <xdr:row>12</xdr:row>
      <xdr:rowOff>133351</xdr:rowOff>
    </xdr:from>
    <xdr:to>
      <xdr:col>4</xdr:col>
      <xdr:colOff>371475</xdr:colOff>
      <xdr:row>16</xdr:row>
      <xdr:rowOff>114300</xdr:rowOff>
    </xdr:to>
    <xdr:pic>
      <xdr:nvPicPr>
        <xdr:cNvPr id="5" name="図 4"/>
        <xdr:cNvPicPr>
          <a:picLocks noChangeAspect="1"/>
        </xdr:cNvPicPr>
      </xdr:nvPicPr>
      <xdr:blipFill>
        <a:blip xmlns:r="http://schemas.openxmlformats.org/officeDocument/2006/relationships" r:embed="rId2" cstate="print"/>
        <a:stretch>
          <a:fillRect/>
        </a:stretch>
      </xdr:blipFill>
      <xdr:spPr>
        <a:xfrm>
          <a:off x="1038226" y="1847851"/>
          <a:ext cx="1647824" cy="666749"/>
        </a:xfrm>
        <a:prstGeom prst="rect">
          <a:avLst/>
        </a:prstGeom>
      </xdr:spPr>
    </xdr:pic>
    <xdr:clientData/>
  </xdr:twoCellAnchor>
  <xdr:twoCellAnchor>
    <xdr:from>
      <xdr:col>2</xdr:col>
      <xdr:colOff>104775</xdr:colOff>
      <xdr:row>12</xdr:row>
      <xdr:rowOff>142875</xdr:rowOff>
    </xdr:from>
    <xdr:to>
      <xdr:col>2</xdr:col>
      <xdr:colOff>114300</xdr:colOff>
      <xdr:row>22</xdr:row>
      <xdr:rowOff>9525</xdr:rowOff>
    </xdr:to>
    <xdr:cxnSp macro="">
      <xdr:nvCxnSpPr>
        <xdr:cNvPr id="6" name="直線コネクタ 5"/>
        <xdr:cNvCxnSpPr/>
      </xdr:nvCxnSpPr>
      <xdr:spPr bwMode="auto">
        <a:xfrm>
          <a:off x="1047750" y="1857375"/>
          <a:ext cx="9525" cy="158115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2</xdr:col>
      <xdr:colOff>85725</xdr:colOff>
      <xdr:row>12</xdr:row>
      <xdr:rowOff>133350</xdr:rowOff>
    </xdr:from>
    <xdr:to>
      <xdr:col>4</xdr:col>
      <xdr:colOff>352425</xdr:colOff>
      <xdr:row>12</xdr:row>
      <xdr:rowOff>142875</xdr:rowOff>
    </xdr:to>
    <xdr:cxnSp macro="">
      <xdr:nvCxnSpPr>
        <xdr:cNvPr id="7" name="直線コネクタ 6"/>
        <xdr:cNvCxnSpPr/>
      </xdr:nvCxnSpPr>
      <xdr:spPr bwMode="auto">
        <a:xfrm flipV="1">
          <a:off x="1028700" y="1847850"/>
          <a:ext cx="1638300" cy="9525"/>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4</xdr:col>
      <xdr:colOff>352425</xdr:colOff>
      <xdr:row>12</xdr:row>
      <xdr:rowOff>123825</xdr:rowOff>
    </xdr:from>
    <xdr:to>
      <xdr:col>4</xdr:col>
      <xdr:colOff>369794</xdr:colOff>
      <xdr:row>21</xdr:row>
      <xdr:rowOff>22412</xdr:rowOff>
    </xdr:to>
    <xdr:cxnSp macro="">
      <xdr:nvCxnSpPr>
        <xdr:cNvPr id="8" name="直線コネクタ 7"/>
        <xdr:cNvCxnSpPr/>
      </xdr:nvCxnSpPr>
      <xdr:spPr bwMode="auto">
        <a:xfrm>
          <a:off x="2667000" y="1838325"/>
          <a:ext cx="17369" cy="1441637"/>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4</xdr:col>
      <xdr:colOff>342900</xdr:colOff>
      <xdr:row>16</xdr:row>
      <xdr:rowOff>28575</xdr:rowOff>
    </xdr:from>
    <xdr:to>
      <xdr:col>7</xdr:col>
      <xdr:colOff>400050</xdr:colOff>
      <xdr:row>16</xdr:row>
      <xdr:rowOff>28577</xdr:rowOff>
    </xdr:to>
    <xdr:cxnSp macro="">
      <xdr:nvCxnSpPr>
        <xdr:cNvPr id="9" name="直線コネクタ 8"/>
        <xdr:cNvCxnSpPr/>
      </xdr:nvCxnSpPr>
      <xdr:spPr bwMode="auto">
        <a:xfrm flipV="1">
          <a:off x="2657475" y="2428875"/>
          <a:ext cx="2114550" cy="2"/>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9</xdr:col>
      <xdr:colOff>371475</xdr:colOff>
      <xdr:row>15</xdr:row>
      <xdr:rowOff>0</xdr:rowOff>
    </xdr:from>
    <xdr:to>
      <xdr:col>9</xdr:col>
      <xdr:colOff>371476</xdr:colOff>
      <xdr:row>22</xdr:row>
      <xdr:rowOff>0</xdr:rowOff>
    </xdr:to>
    <xdr:cxnSp macro="">
      <xdr:nvCxnSpPr>
        <xdr:cNvPr id="10" name="直線コネクタ 9"/>
        <xdr:cNvCxnSpPr/>
      </xdr:nvCxnSpPr>
      <xdr:spPr bwMode="auto">
        <a:xfrm flipH="1">
          <a:off x="6143625" y="2228850"/>
          <a:ext cx="1" cy="120015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2</xdr:col>
      <xdr:colOff>114300</xdr:colOff>
      <xdr:row>22</xdr:row>
      <xdr:rowOff>0</xdr:rowOff>
    </xdr:from>
    <xdr:to>
      <xdr:col>9</xdr:col>
      <xdr:colOff>361950</xdr:colOff>
      <xdr:row>22</xdr:row>
      <xdr:rowOff>9526</xdr:rowOff>
    </xdr:to>
    <xdr:cxnSp macro="">
      <xdr:nvCxnSpPr>
        <xdr:cNvPr id="11" name="直線コネクタ 10"/>
        <xdr:cNvCxnSpPr/>
      </xdr:nvCxnSpPr>
      <xdr:spPr bwMode="auto">
        <a:xfrm flipV="1">
          <a:off x="1057275" y="3429000"/>
          <a:ext cx="5076825" cy="9526"/>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editAs="oneCell">
    <xdr:from>
      <xdr:col>4</xdr:col>
      <xdr:colOff>166408</xdr:colOff>
      <xdr:row>19</xdr:row>
      <xdr:rowOff>154641</xdr:rowOff>
    </xdr:from>
    <xdr:to>
      <xdr:col>5</xdr:col>
      <xdr:colOff>219578</xdr:colOff>
      <xdr:row>22</xdr:row>
      <xdr:rowOff>15127</xdr:rowOff>
    </xdr:to>
    <xdr:pic>
      <xdr:nvPicPr>
        <xdr:cNvPr id="12" name="図 11"/>
        <xdr:cNvPicPr>
          <a:picLocks noChangeAspect="1"/>
        </xdr:cNvPicPr>
      </xdr:nvPicPr>
      <xdr:blipFill>
        <a:blip xmlns:r="http://schemas.openxmlformats.org/officeDocument/2006/relationships" r:embed="rId3" cstate="print"/>
        <a:stretch>
          <a:fillRect/>
        </a:stretch>
      </xdr:blipFill>
      <xdr:spPr>
        <a:xfrm>
          <a:off x="2480983" y="3069291"/>
          <a:ext cx="738970" cy="374836"/>
        </a:xfrm>
        <a:prstGeom prst="rect">
          <a:avLst/>
        </a:prstGeom>
      </xdr:spPr>
    </xdr:pic>
    <xdr:clientData/>
  </xdr:twoCellAnchor>
  <xdr:twoCellAnchor editAs="oneCell">
    <xdr:from>
      <xdr:col>6</xdr:col>
      <xdr:colOff>444319</xdr:colOff>
      <xdr:row>12</xdr:row>
      <xdr:rowOff>61753</xdr:rowOff>
    </xdr:from>
    <xdr:to>
      <xdr:col>7</xdr:col>
      <xdr:colOff>332178</xdr:colOff>
      <xdr:row>15</xdr:row>
      <xdr:rowOff>20322</xdr:rowOff>
    </xdr:to>
    <xdr:pic>
      <xdr:nvPicPr>
        <xdr:cNvPr id="13" name="図 12"/>
        <xdr:cNvPicPr>
          <a:picLocks noChangeAspect="1"/>
        </xdr:cNvPicPr>
      </xdr:nvPicPr>
      <xdr:blipFill rotWithShape="1">
        <a:blip xmlns:r="http://schemas.openxmlformats.org/officeDocument/2006/relationships" r:embed="rId4" cstate="print">
          <a:extLst/>
        </a:blip>
        <a:srcRect l="-1093" t="-663" r="1093" b="663"/>
        <a:stretch/>
      </xdr:blipFill>
      <xdr:spPr>
        <a:xfrm rot="19409220">
          <a:off x="4130494" y="1776253"/>
          <a:ext cx="573659" cy="472919"/>
        </a:xfrm>
        <a:prstGeom prst="rect">
          <a:avLst/>
        </a:prstGeom>
        <a:noFill/>
      </xdr:spPr>
    </xdr:pic>
    <xdr:clientData/>
  </xdr:twoCellAnchor>
  <xdr:twoCellAnchor>
    <xdr:from>
      <xdr:col>7</xdr:col>
      <xdr:colOff>257175</xdr:colOff>
      <xdr:row>16</xdr:row>
      <xdr:rowOff>38100</xdr:rowOff>
    </xdr:from>
    <xdr:to>
      <xdr:col>7</xdr:col>
      <xdr:colOff>268941</xdr:colOff>
      <xdr:row>20</xdr:row>
      <xdr:rowOff>156883</xdr:rowOff>
    </xdr:to>
    <xdr:cxnSp macro="">
      <xdr:nvCxnSpPr>
        <xdr:cNvPr id="14" name="直線コネクタ 13"/>
        <xdr:cNvCxnSpPr/>
      </xdr:nvCxnSpPr>
      <xdr:spPr bwMode="auto">
        <a:xfrm>
          <a:off x="4629150" y="2438400"/>
          <a:ext cx="11766" cy="804583"/>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6</xdr:col>
      <xdr:colOff>600075</xdr:colOff>
      <xdr:row>11</xdr:row>
      <xdr:rowOff>49867</xdr:rowOff>
    </xdr:from>
    <xdr:to>
      <xdr:col>7</xdr:col>
      <xdr:colOff>549087</xdr:colOff>
      <xdr:row>12</xdr:row>
      <xdr:rowOff>67237</xdr:rowOff>
    </xdr:to>
    <xdr:sp macro="" textlink="">
      <xdr:nvSpPr>
        <xdr:cNvPr id="15" name="テキスト ボックス 14"/>
        <xdr:cNvSpPr txBox="1"/>
      </xdr:nvSpPr>
      <xdr:spPr>
        <a:xfrm>
          <a:off x="4286250" y="1592917"/>
          <a:ext cx="634812" cy="188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STOP</a:t>
          </a:r>
          <a:endParaRPr kumimoji="1" lang="ja-JP" altLang="en-US" sz="1100"/>
        </a:p>
      </xdr:txBody>
    </xdr:sp>
    <xdr:clientData/>
  </xdr:twoCellAnchor>
  <xdr:twoCellAnchor>
    <xdr:from>
      <xdr:col>0</xdr:col>
      <xdr:colOff>598394</xdr:colOff>
      <xdr:row>33</xdr:row>
      <xdr:rowOff>2241</xdr:rowOff>
    </xdr:from>
    <xdr:to>
      <xdr:col>9</xdr:col>
      <xdr:colOff>284069</xdr:colOff>
      <xdr:row>49</xdr:row>
      <xdr:rowOff>103654</xdr:rowOff>
    </xdr:to>
    <xdr:sp macro="" textlink="">
      <xdr:nvSpPr>
        <xdr:cNvPr id="16" name="円/楕円 15"/>
        <xdr:cNvSpPr/>
      </xdr:nvSpPr>
      <xdr:spPr bwMode="auto">
        <a:xfrm>
          <a:off x="598394" y="5317191"/>
          <a:ext cx="5457825" cy="2844613"/>
        </a:xfrm>
        <a:prstGeom prst="ellipse">
          <a:avLst/>
        </a:prstGeom>
        <a:pattFill prst="pct40">
          <a:fgClr>
            <a:srgbClr val="FFFFFF"/>
          </a:fgClr>
          <a:bgClr>
            <a:srgbClr val="92D050"/>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619125</xdr:colOff>
      <xdr:row>14</xdr:row>
      <xdr:rowOff>0</xdr:rowOff>
    </xdr:from>
    <xdr:to>
      <xdr:col>3</xdr:col>
      <xdr:colOff>447675</xdr:colOff>
      <xdr:row>15</xdr:row>
      <xdr:rowOff>28575</xdr:rowOff>
    </xdr:to>
    <xdr:sp macro="" textlink="">
      <xdr:nvSpPr>
        <xdr:cNvPr id="17" name="テキスト ボックス 16"/>
        <xdr:cNvSpPr txBox="1"/>
      </xdr:nvSpPr>
      <xdr:spPr>
        <a:xfrm>
          <a:off x="1562100" y="2057400"/>
          <a:ext cx="5143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竹林</a:t>
          </a:r>
        </a:p>
      </xdr:txBody>
    </xdr:sp>
    <xdr:clientData/>
  </xdr:twoCellAnchor>
  <xdr:twoCellAnchor>
    <xdr:from>
      <xdr:col>7</xdr:col>
      <xdr:colOff>390525</xdr:colOff>
      <xdr:row>15</xdr:row>
      <xdr:rowOff>9525</xdr:rowOff>
    </xdr:from>
    <xdr:to>
      <xdr:col>9</xdr:col>
      <xdr:colOff>361950</xdr:colOff>
      <xdr:row>16</xdr:row>
      <xdr:rowOff>28575</xdr:rowOff>
    </xdr:to>
    <xdr:cxnSp macro="">
      <xdr:nvCxnSpPr>
        <xdr:cNvPr id="18" name="直線コネクタ 17"/>
        <xdr:cNvCxnSpPr/>
      </xdr:nvCxnSpPr>
      <xdr:spPr bwMode="auto">
        <a:xfrm flipV="1">
          <a:off x="4762500" y="2238375"/>
          <a:ext cx="1371600" cy="19050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4</xdr:col>
      <xdr:colOff>523874</xdr:colOff>
      <xdr:row>40</xdr:row>
      <xdr:rowOff>38100</xdr:rowOff>
    </xdr:from>
    <xdr:to>
      <xdr:col>6</xdr:col>
      <xdr:colOff>161925</xdr:colOff>
      <xdr:row>41</xdr:row>
      <xdr:rowOff>142875</xdr:rowOff>
    </xdr:to>
    <xdr:sp macro="" textlink="">
      <xdr:nvSpPr>
        <xdr:cNvPr id="19" name="テキスト ボックス 18"/>
        <xdr:cNvSpPr txBox="1"/>
      </xdr:nvSpPr>
      <xdr:spPr>
        <a:xfrm>
          <a:off x="2838449" y="6553200"/>
          <a:ext cx="1009651"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田・畑</a:t>
          </a:r>
        </a:p>
      </xdr:txBody>
    </xdr:sp>
    <xdr:clientData/>
  </xdr:twoCellAnchor>
  <xdr:twoCellAnchor>
    <xdr:from>
      <xdr:col>2</xdr:col>
      <xdr:colOff>142874</xdr:colOff>
      <xdr:row>16</xdr:row>
      <xdr:rowOff>123825</xdr:rowOff>
    </xdr:from>
    <xdr:to>
      <xdr:col>3</xdr:col>
      <xdr:colOff>85725</xdr:colOff>
      <xdr:row>18</xdr:row>
      <xdr:rowOff>9525</xdr:rowOff>
    </xdr:to>
    <xdr:sp macro="" textlink="">
      <xdr:nvSpPr>
        <xdr:cNvPr id="20" name="テキスト ボックス 19"/>
        <xdr:cNvSpPr txBox="1"/>
      </xdr:nvSpPr>
      <xdr:spPr>
        <a:xfrm>
          <a:off x="1085849" y="2524125"/>
          <a:ext cx="628651"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牧区１</a:t>
          </a:r>
        </a:p>
      </xdr:txBody>
    </xdr:sp>
    <xdr:clientData/>
  </xdr:twoCellAnchor>
  <xdr:twoCellAnchor>
    <xdr:from>
      <xdr:col>4</xdr:col>
      <xdr:colOff>419100</xdr:colOff>
      <xdr:row>16</xdr:row>
      <xdr:rowOff>123826</xdr:rowOff>
    </xdr:from>
    <xdr:to>
      <xdr:col>5</xdr:col>
      <xdr:colOff>400050</xdr:colOff>
      <xdr:row>17</xdr:row>
      <xdr:rowOff>152400</xdr:rowOff>
    </xdr:to>
    <xdr:sp macro="" textlink="">
      <xdr:nvSpPr>
        <xdr:cNvPr id="21" name="テキスト ボックス 20"/>
        <xdr:cNvSpPr txBox="1"/>
      </xdr:nvSpPr>
      <xdr:spPr>
        <a:xfrm>
          <a:off x="2733675" y="2524126"/>
          <a:ext cx="666750" cy="200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放区２</a:t>
          </a:r>
        </a:p>
      </xdr:txBody>
    </xdr:sp>
    <xdr:clientData/>
  </xdr:twoCellAnchor>
  <xdr:twoCellAnchor>
    <xdr:from>
      <xdr:col>7</xdr:col>
      <xdr:colOff>333374</xdr:colOff>
      <xdr:row>16</xdr:row>
      <xdr:rowOff>152400</xdr:rowOff>
    </xdr:from>
    <xdr:to>
      <xdr:col>8</xdr:col>
      <xdr:colOff>276224</xdr:colOff>
      <xdr:row>18</xdr:row>
      <xdr:rowOff>9525</xdr:rowOff>
    </xdr:to>
    <xdr:sp macro="" textlink="">
      <xdr:nvSpPr>
        <xdr:cNvPr id="22" name="テキスト ボックス 21"/>
        <xdr:cNvSpPr txBox="1"/>
      </xdr:nvSpPr>
      <xdr:spPr>
        <a:xfrm>
          <a:off x="4705349" y="2552700"/>
          <a:ext cx="6381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牧区３</a:t>
          </a:r>
        </a:p>
      </xdr:txBody>
    </xdr:sp>
    <xdr:clientData/>
  </xdr:twoCellAnchor>
  <xdr:twoCellAnchor>
    <xdr:from>
      <xdr:col>5</xdr:col>
      <xdr:colOff>162485</xdr:colOff>
      <xdr:row>18</xdr:row>
      <xdr:rowOff>40903</xdr:rowOff>
    </xdr:from>
    <xdr:to>
      <xdr:col>6</xdr:col>
      <xdr:colOff>145677</xdr:colOff>
      <xdr:row>20</xdr:row>
      <xdr:rowOff>123265</xdr:rowOff>
    </xdr:to>
    <xdr:sp macro="" textlink="">
      <xdr:nvSpPr>
        <xdr:cNvPr id="23" name="テキスト ボックス 22"/>
        <xdr:cNvSpPr txBox="1"/>
      </xdr:nvSpPr>
      <xdr:spPr>
        <a:xfrm>
          <a:off x="3162860" y="2784103"/>
          <a:ext cx="668992" cy="4252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ﾋﾞﾆｰﾙﾊｳｽ牛舎</a:t>
          </a:r>
        </a:p>
      </xdr:txBody>
    </xdr:sp>
    <xdr:clientData/>
  </xdr:twoCellAnchor>
  <xdr:twoCellAnchor editAs="oneCell">
    <xdr:from>
      <xdr:col>0</xdr:col>
      <xdr:colOff>104774</xdr:colOff>
      <xdr:row>22</xdr:row>
      <xdr:rowOff>43142</xdr:rowOff>
    </xdr:from>
    <xdr:to>
      <xdr:col>11</xdr:col>
      <xdr:colOff>28574</xdr:colOff>
      <xdr:row>32</xdr:row>
      <xdr:rowOff>130775</xdr:rowOff>
    </xdr:to>
    <xdr:pic>
      <xdr:nvPicPr>
        <xdr:cNvPr id="24" name="図 23"/>
        <xdr:cNvPicPr>
          <a:picLocks noChangeAspect="1"/>
        </xdr:cNvPicPr>
      </xdr:nvPicPr>
      <xdr:blipFill rotWithShape="1">
        <a:blip xmlns:r="http://schemas.openxmlformats.org/officeDocument/2006/relationships" r:embed="rId5"/>
        <a:srcRect t="4516"/>
        <a:stretch/>
      </xdr:blipFill>
      <xdr:spPr>
        <a:xfrm>
          <a:off x="104774" y="3472142"/>
          <a:ext cx="7038975" cy="1802133"/>
        </a:xfrm>
        <a:prstGeom prst="rect">
          <a:avLst/>
        </a:prstGeom>
      </xdr:spPr>
    </xdr:pic>
    <xdr:clientData/>
  </xdr:twoCellAnchor>
  <xdr:twoCellAnchor>
    <xdr:from>
      <xdr:col>5</xdr:col>
      <xdr:colOff>219578</xdr:colOff>
      <xdr:row>21</xdr:row>
      <xdr:rowOff>0</xdr:rowOff>
    </xdr:from>
    <xdr:to>
      <xdr:col>7</xdr:col>
      <xdr:colOff>268942</xdr:colOff>
      <xdr:row>21</xdr:row>
      <xdr:rowOff>841</xdr:rowOff>
    </xdr:to>
    <xdr:cxnSp macro="">
      <xdr:nvCxnSpPr>
        <xdr:cNvPr id="25" name="直線コネクタ 24"/>
        <xdr:cNvCxnSpPr>
          <a:endCxn id="12" idx="3"/>
        </xdr:cNvCxnSpPr>
      </xdr:nvCxnSpPr>
      <xdr:spPr bwMode="auto">
        <a:xfrm flipH="1">
          <a:off x="3219953" y="3257550"/>
          <a:ext cx="1420964" cy="841"/>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9</xdr:col>
      <xdr:colOff>403412</xdr:colOff>
      <xdr:row>18</xdr:row>
      <xdr:rowOff>11206</xdr:rowOff>
    </xdr:from>
    <xdr:to>
      <xdr:col>10</xdr:col>
      <xdr:colOff>22414</xdr:colOff>
      <xdr:row>19</xdr:row>
      <xdr:rowOff>89647</xdr:rowOff>
    </xdr:to>
    <xdr:sp macro="" textlink="">
      <xdr:nvSpPr>
        <xdr:cNvPr id="26" name="右矢印 25"/>
        <xdr:cNvSpPr/>
      </xdr:nvSpPr>
      <xdr:spPr bwMode="auto">
        <a:xfrm>
          <a:off x="6175562" y="2754406"/>
          <a:ext cx="304802" cy="249891"/>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347382</xdr:colOff>
      <xdr:row>24</xdr:row>
      <xdr:rowOff>100852</xdr:rowOff>
    </xdr:from>
    <xdr:to>
      <xdr:col>9</xdr:col>
      <xdr:colOff>649942</xdr:colOff>
      <xdr:row>26</xdr:row>
      <xdr:rowOff>11204</xdr:rowOff>
    </xdr:to>
    <xdr:sp macro="" textlink="">
      <xdr:nvSpPr>
        <xdr:cNvPr id="27" name="右矢印 26"/>
        <xdr:cNvSpPr/>
      </xdr:nvSpPr>
      <xdr:spPr bwMode="auto">
        <a:xfrm>
          <a:off x="6119532" y="3872752"/>
          <a:ext cx="302560" cy="253252"/>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0</xdr:colOff>
      <xdr:row>23</xdr:row>
      <xdr:rowOff>112057</xdr:rowOff>
    </xdr:from>
    <xdr:to>
      <xdr:col>11</xdr:col>
      <xdr:colOff>257736</xdr:colOff>
      <xdr:row>28</xdr:row>
      <xdr:rowOff>11205</xdr:rowOff>
    </xdr:to>
    <xdr:sp macro="" textlink="">
      <xdr:nvSpPr>
        <xdr:cNvPr id="28" name="テキスト ボックス 27"/>
        <xdr:cNvSpPr txBox="1"/>
      </xdr:nvSpPr>
      <xdr:spPr>
        <a:xfrm>
          <a:off x="6457950" y="3712507"/>
          <a:ext cx="914961" cy="756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たちすずか栽培面積約１ｈａ</a:t>
          </a:r>
          <a:endParaRPr kumimoji="1" lang="en-US" altLang="ja-JP" sz="1100"/>
        </a:p>
        <a:p>
          <a:endParaRPr kumimoji="1" lang="ja-JP" altLang="en-US" sz="1100"/>
        </a:p>
      </xdr:txBody>
    </xdr:sp>
    <xdr:clientData/>
  </xdr:twoCellAnchor>
  <xdr:twoCellAnchor>
    <xdr:from>
      <xdr:col>10</xdr:col>
      <xdr:colOff>78443</xdr:colOff>
      <xdr:row>17</xdr:row>
      <xdr:rowOff>112058</xdr:rowOff>
    </xdr:from>
    <xdr:to>
      <xdr:col>11</xdr:col>
      <xdr:colOff>168089</xdr:colOff>
      <xdr:row>20</xdr:row>
      <xdr:rowOff>145677</xdr:rowOff>
    </xdr:to>
    <xdr:sp macro="" textlink="">
      <xdr:nvSpPr>
        <xdr:cNvPr id="29" name="テキスト ボックス 28"/>
        <xdr:cNvSpPr txBox="1"/>
      </xdr:nvSpPr>
      <xdr:spPr>
        <a:xfrm>
          <a:off x="6536393" y="2683808"/>
          <a:ext cx="746871" cy="5479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牧区全体約１ｈａ</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433392</xdr:colOff>
      <xdr:row>30</xdr:row>
      <xdr:rowOff>33341</xdr:rowOff>
    </xdr:from>
    <xdr:to>
      <xdr:col>4</xdr:col>
      <xdr:colOff>228605</xdr:colOff>
      <xdr:row>34</xdr:row>
      <xdr:rowOff>14291</xdr:rowOff>
    </xdr:to>
    <xdr:sp macro="" textlink="">
      <xdr:nvSpPr>
        <xdr:cNvPr id="2" name="左矢印 1"/>
        <xdr:cNvSpPr/>
      </xdr:nvSpPr>
      <xdr:spPr bwMode="auto">
        <a:xfrm rot="16200000">
          <a:off x="2055024" y="4926809"/>
          <a:ext cx="666750" cy="1166813"/>
        </a:xfrm>
        <a:prstGeom prst="lef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123825</xdr:colOff>
      <xdr:row>7</xdr:row>
      <xdr:rowOff>0</xdr:rowOff>
    </xdr:from>
    <xdr:to>
      <xdr:col>2</xdr:col>
      <xdr:colOff>123825</xdr:colOff>
      <xdr:row>27</xdr:row>
      <xdr:rowOff>0</xdr:rowOff>
    </xdr:to>
    <xdr:cxnSp macro="">
      <xdr:nvCxnSpPr>
        <xdr:cNvPr id="3" name="直線コネクタ 2"/>
        <xdr:cNvCxnSpPr/>
      </xdr:nvCxnSpPr>
      <xdr:spPr bwMode="auto">
        <a:xfrm>
          <a:off x="1495425" y="1200150"/>
          <a:ext cx="0" cy="3429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123825</xdr:colOff>
      <xdr:row>7</xdr:row>
      <xdr:rowOff>0</xdr:rowOff>
    </xdr:from>
    <xdr:to>
      <xdr:col>4</xdr:col>
      <xdr:colOff>533400</xdr:colOff>
      <xdr:row>7</xdr:row>
      <xdr:rowOff>0</xdr:rowOff>
    </xdr:to>
    <xdr:cxnSp macro="">
      <xdr:nvCxnSpPr>
        <xdr:cNvPr id="4" name="直線コネクタ 3"/>
        <xdr:cNvCxnSpPr/>
      </xdr:nvCxnSpPr>
      <xdr:spPr bwMode="auto">
        <a:xfrm>
          <a:off x="1495425" y="1200150"/>
          <a:ext cx="17811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114300</xdr:colOff>
      <xdr:row>26</xdr:row>
      <xdr:rowOff>161925</xdr:rowOff>
    </xdr:from>
    <xdr:to>
      <xdr:col>4</xdr:col>
      <xdr:colOff>523875</xdr:colOff>
      <xdr:row>26</xdr:row>
      <xdr:rowOff>161925</xdr:rowOff>
    </xdr:to>
    <xdr:cxnSp macro="">
      <xdr:nvCxnSpPr>
        <xdr:cNvPr id="5" name="直線コネクタ 4"/>
        <xdr:cNvCxnSpPr/>
      </xdr:nvCxnSpPr>
      <xdr:spPr bwMode="auto">
        <a:xfrm>
          <a:off x="1485900" y="4619625"/>
          <a:ext cx="17811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542925</xdr:colOff>
      <xdr:row>7</xdr:row>
      <xdr:rowOff>9525</xdr:rowOff>
    </xdr:from>
    <xdr:to>
      <xdr:col>4</xdr:col>
      <xdr:colOff>542925</xdr:colOff>
      <xdr:row>27</xdr:row>
      <xdr:rowOff>9525</xdr:rowOff>
    </xdr:to>
    <xdr:cxnSp macro="">
      <xdr:nvCxnSpPr>
        <xdr:cNvPr id="6" name="直線コネクタ 5"/>
        <xdr:cNvCxnSpPr/>
      </xdr:nvCxnSpPr>
      <xdr:spPr bwMode="auto">
        <a:xfrm>
          <a:off x="3286125" y="1209675"/>
          <a:ext cx="0" cy="3429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123825</xdr:colOff>
      <xdr:row>17</xdr:row>
      <xdr:rowOff>0</xdr:rowOff>
    </xdr:from>
    <xdr:to>
      <xdr:col>4</xdr:col>
      <xdr:colOff>533400</xdr:colOff>
      <xdr:row>17</xdr:row>
      <xdr:rowOff>0</xdr:rowOff>
    </xdr:to>
    <xdr:cxnSp macro="">
      <xdr:nvCxnSpPr>
        <xdr:cNvPr id="7" name="直線コネクタ 6"/>
        <xdr:cNvCxnSpPr/>
      </xdr:nvCxnSpPr>
      <xdr:spPr bwMode="auto">
        <a:xfrm>
          <a:off x="1495425" y="2914650"/>
          <a:ext cx="17811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47625</xdr:colOff>
      <xdr:row>5</xdr:row>
      <xdr:rowOff>171450</xdr:rowOff>
    </xdr:from>
    <xdr:to>
      <xdr:col>5</xdr:col>
      <xdr:colOff>228600</xdr:colOff>
      <xdr:row>27</xdr:row>
      <xdr:rowOff>161925</xdr:rowOff>
    </xdr:to>
    <xdr:sp macro="" textlink="">
      <xdr:nvSpPr>
        <xdr:cNvPr id="8" name="右中かっこ 7"/>
        <xdr:cNvSpPr/>
      </xdr:nvSpPr>
      <xdr:spPr bwMode="auto">
        <a:xfrm>
          <a:off x="3476625" y="1028700"/>
          <a:ext cx="180975" cy="37623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4762</xdr:colOff>
      <xdr:row>28</xdr:row>
      <xdr:rowOff>38104</xdr:rowOff>
    </xdr:from>
    <xdr:to>
      <xdr:col>4</xdr:col>
      <xdr:colOff>681037</xdr:colOff>
      <xdr:row>29</xdr:row>
      <xdr:rowOff>23814</xdr:rowOff>
    </xdr:to>
    <xdr:sp macro="" textlink="">
      <xdr:nvSpPr>
        <xdr:cNvPr id="9" name="右中かっこ 8"/>
        <xdr:cNvSpPr/>
      </xdr:nvSpPr>
      <xdr:spPr bwMode="auto">
        <a:xfrm rot="5400000">
          <a:off x="2321720" y="3893346"/>
          <a:ext cx="157160" cy="20478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171450</xdr:colOff>
      <xdr:row>15</xdr:row>
      <xdr:rowOff>66675</xdr:rowOff>
    </xdr:from>
    <xdr:to>
      <xdr:col>4</xdr:col>
      <xdr:colOff>533400</xdr:colOff>
      <xdr:row>16</xdr:row>
      <xdr:rowOff>133350</xdr:rowOff>
    </xdr:to>
    <xdr:sp macro="" textlink="">
      <xdr:nvSpPr>
        <xdr:cNvPr id="10" name="右中かっこ 9"/>
        <xdr:cNvSpPr/>
      </xdr:nvSpPr>
      <xdr:spPr bwMode="auto">
        <a:xfrm rot="5400000" flipH="1">
          <a:off x="2290762" y="1890713"/>
          <a:ext cx="238125" cy="1733550"/>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171450</xdr:colOff>
      <xdr:row>17</xdr:row>
      <xdr:rowOff>47625</xdr:rowOff>
    </xdr:from>
    <xdr:to>
      <xdr:col>2</xdr:col>
      <xdr:colOff>342900</xdr:colOff>
      <xdr:row>26</xdr:row>
      <xdr:rowOff>123824</xdr:rowOff>
    </xdr:to>
    <xdr:sp macro="" textlink="">
      <xdr:nvSpPr>
        <xdr:cNvPr id="11" name="右中かっこ 10"/>
        <xdr:cNvSpPr/>
      </xdr:nvSpPr>
      <xdr:spPr bwMode="auto">
        <a:xfrm>
          <a:off x="1543050" y="2962275"/>
          <a:ext cx="171450" cy="1619249"/>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542924</xdr:colOff>
      <xdr:row>5</xdr:row>
      <xdr:rowOff>9525</xdr:rowOff>
    </xdr:from>
    <xdr:to>
      <xdr:col>5</xdr:col>
      <xdr:colOff>9525</xdr:colOff>
      <xdr:row>5</xdr:row>
      <xdr:rowOff>123825</xdr:rowOff>
    </xdr:to>
    <xdr:sp macro="" textlink="">
      <xdr:nvSpPr>
        <xdr:cNvPr id="12" name="右中かっこ 11"/>
        <xdr:cNvSpPr/>
      </xdr:nvSpPr>
      <xdr:spPr bwMode="auto">
        <a:xfrm rot="16200000">
          <a:off x="3305175" y="847724"/>
          <a:ext cx="114300" cy="152401"/>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0</xdr:colOff>
      <xdr:row>5</xdr:row>
      <xdr:rowOff>9525</xdr:rowOff>
    </xdr:from>
    <xdr:to>
      <xdr:col>2</xdr:col>
      <xdr:colOff>152401</xdr:colOff>
      <xdr:row>5</xdr:row>
      <xdr:rowOff>123825</xdr:rowOff>
    </xdr:to>
    <xdr:sp macro="" textlink="">
      <xdr:nvSpPr>
        <xdr:cNvPr id="13" name="右中かっこ 12"/>
        <xdr:cNvSpPr/>
      </xdr:nvSpPr>
      <xdr:spPr bwMode="auto">
        <a:xfrm rot="16200000">
          <a:off x="1390651" y="847724"/>
          <a:ext cx="114300" cy="152401"/>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447675</xdr:colOff>
      <xdr:row>7</xdr:row>
      <xdr:rowOff>9525</xdr:rowOff>
    </xdr:from>
    <xdr:to>
      <xdr:col>4</xdr:col>
      <xdr:colOff>533400</xdr:colOff>
      <xdr:row>11</xdr:row>
      <xdr:rowOff>76200</xdr:rowOff>
    </xdr:to>
    <xdr:cxnSp macro="">
      <xdr:nvCxnSpPr>
        <xdr:cNvPr id="14" name="直線コネクタ 13"/>
        <xdr:cNvCxnSpPr/>
      </xdr:nvCxnSpPr>
      <xdr:spPr bwMode="auto">
        <a:xfrm>
          <a:off x="2505075" y="1209675"/>
          <a:ext cx="771525" cy="7524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457199</xdr:colOff>
      <xdr:row>6</xdr:row>
      <xdr:rowOff>9524</xdr:rowOff>
    </xdr:from>
    <xdr:to>
      <xdr:col>1</xdr:col>
      <xdr:colOff>619125</xdr:colOff>
      <xdr:row>7</xdr:row>
      <xdr:rowOff>28574</xdr:rowOff>
    </xdr:to>
    <xdr:sp macro="" textlink="">
      <xdr:nvSpPr>
        <xdr:cNvPr id="15" name="右中かっこ 14"/>
        <xdr:cNvSpPr/>
      </xdr:nvSpPr>
      <xdr:spPr bwMode="auto">
        <a:xfrm rot="10800000">
          <a:off x="1142999" y="1038224"/>
          <a:ext cx="161926" cy="190500"/>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169473</xdr:colOff>
      <xdr:row>9</xdr:row>
      <xdr:rowOff>67100</xdr:rowOff>
    </xdr:from>
    <xdr:to>
      <xdr:col>4</xdr:col>
      <xdr:colOff>602256</xdr:colOff>
      <xdr:row>10</xdr:row>
      <xdr:rowOff>64165</xdr:rowOff>
    </xdr:to>
    <xdr:sp macro="" textlink="">
      <xdr:nvSpPr>
        <xdr:cNvPr id="16" name="右中かっこ 15"/>
        <xdr:cNvSpPr/>
      </xdr:nvSpPr>
      <xdr:spPr bwMode="auto">
        <a:xfrm rot="7957443">
          <a:off x="2701907" y="1135116"/>
          <a:ext cx="168515" cy="1118583"/>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466725</xdr:colOff>
      <xdr:row>17</xdr:row>
      <xdr:rowOff>0</xdr:rowOff>
    </xdr:from>
    <xdr:to>
      <xdr:col>4</xdr:col>
      <xdr:colOff>552450</xdr:colOff>
      <xdr:row>21</xdr:row>
      <xdr:rowOff>66675</xdr:rowOff>
    </xdr:to>
    <xdr:cxnSp macro="">
      <xdr:nvCxnSpPr>
        <xdr:cNvPr id="17" name="直線コネクタ 16"/>
        <xdr:cNvCxnSpPr/>
      </xdr:nvCxnSpPr>
      <xdr:spPr bwMode="auto">
        <a:xfrm>
          <a:off x="2524125" y="2914650"/>
          <a:ext cx="771525" cy="7524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295275</xdr:colOff>
      <xdr:row>7</xdr:row>
      <xdr:rowOff>95250</xdr:rowOff>
    </xdr:from>
    <xdr:to>
      <xdr:col>5</xdr:col>
      <xdr:colOff>476250</xdr:colOff>
      <xdr:row>8</xdr:row>
      <xdr:rowOff>123825</xdr:rowOff>
    </xdr:to>
    <xdr:sp macro="" textlink="">
      <xdr:nvSpPr>
        <xdr:cNvPr id="18" name="上カーブ矢印 17"/>
        <xdr:cNvSpPr/>
      </xdr:nvSpPr>
      <xdr:spPr bwMode="auto">
        <a:xfrm>
          <a:off x="3038475" y="1295400"/>
          <a:ext cx="866775" cy="200025"/>
        </a:xfrm>
        <a:prstGeom prst="curvedUp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0</xdr:colOff>
      <xdr:row>6</xdr:row>
      <xdr:rowOff>123825</xdr:rowOff>
    </xdr:from>
    <xdr:to>
      <xdr:col>7</xdr:col>
      <xdr:colOff>676275</xdr:colOff>
      <xdr:row>6</xdr:row>
      <xdr:rowOff>123825</xdr:rowOff>
    </xdr:to>
    <xdr:cxnSp macro="">
      <xdr:nvCxnSpPr>
        <xdr:cNvPr id="19" name="直線コネクタ 18"/>
        <xdr:cNvCxnSpPr/>
      </xdr:nvCxnSpPr>
      <xdr:spPr bwMode="auto">
        <a:xfrm>
          <a:off x="4800600" y="1152525"/>
          <a:ext cx="676275" cy="0"/>
        </a:xfrm>
        <a:prstGeom prst="line">
          <a:avLst/>
        </a:prstGeom>
        <a:solidFill>
          <a:srgbClr val="FFFFFF"/>
        </a:solidFill>
        <a:ln w="25400" cap="flat" cmpd="sng" algn="ctr">
          <a:solidFill>
            <a:srgbClr val="000000"/>
          </a:solidFill>
          <a:prstDash val="solid"/>
          <a:round/>
          <a:headEnd type="none" w="med" len="med"/>
          <a:tailEnd type="none" w="med" len="med"/>
        </a:ln>
        <a:effectLst/>
      </xdr:spPr>
    </xdr:cxnSp>
    <xdr:clientData/>
  </xdr:twoCellAnchor>
  <xdr:twoCellAnchor>
    <xdr:from>
      <xdr:col>7</xdr:col>
      <xdr:colOff>9525</xdr:colOff>
      <xdr:row>9</xdr:row>
      <xdr:rowOff>95250</xdr:rowOff>
    </xdr:from>
    <xdr:to>
      <xdr:col>7</xdr:col>
      <xdr:colOff>657225</xdr:colOff>
      <xdr:row>9</xdr:row>
      <xdr:rowOff>104775</xdr:rowOff>
    </xdr:to>
    <xdr:cxnSp macro="">
      <xdr:nvCxnSpPr>
        <xdr:cNvPr id="20" name="直線コネクタ 19"/>
        <xdr:cNvCxnSpPr/>
      </xdr:nvCxnSpPr>
      <xdr:spPr bwMode="auto">
        <a:xfrm flipV="1">
          <a:off x="4810125" y="1638300"/>
          <a:ext cx="647700" cy="952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419100</xdr:colOff>
      <xdr:row>17</xdr:row>
      <xdr:rowOff>161925</xdr:rowOff>
    </xdr:from>
    <xdr:to>
      <xdr:col>1</xdr:col>
      <xdr:colOff>638175</xdr:colOff>
      <xdr:row>19</xdr:row>
      <xdr:rowOff>133350</xdr:rowOff>
    </xdr:to>
    <xdr:sp macro="" textlink="">
      <xdr:nvSpPr>
        <xdr:cNvPr id="21" name="左矢印 20"/>
        <xdr:cNvSpPr/>
      </xdr:nvSpPr>
      <xdr:spPr bwMode="auto">
        <a:xfrm>
          <a:off x="1104900" y="3076575"/>
          <a:ext cx="219075" cy="314325"/>
        </a:xfrm>
        <a:prstGeom prst="lef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476250</xdr:colOff>
      <xdr:row>10</xdr:row>
      <xdr:rowOff>66675</xdr:rowOff>
    </xdr:from>
    <xdr:to>
      <xdr:col>2</xdr:col>
      <xdr:colOff>104775</xdr:colOff>
      <xdr:row>12</xdr:row>
      <xdr:rowOff>38100</xdr:rowOff>
    </xdr:to>
    <xdr:sp macro="" textlink="">
      <xdr:nvSpPr>
        <xdr:cNvPr id="22" name="左矢印 21"/>
        <xdr:cNvSpPr/>
      </xdr:nvSpPr>
      <xdr:spPr bwMode="auto">
        <a:xfrm>
          <a:off x="1162050" y="1781175"/>
          <a:ext cx="314325" cy="314325"/>
        </a:xfrm>
        <a:prstGeom prst="lef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238124</xdr:colOff>
      <xdr:row>9</xdr:row>
      <xdr:rowOff>161926</xdr:rowOff>
    </xdr:from>
    <xdr:to>
      <xdr:col>1</xdr:col>
      <xdr:colOff>438150</xdr:colOff>
      <xdr:row>12</xdr:row>
      <xdr:rowOff>104776</xdr:rowOff>
    </xdr:to>
    <xdr:sp macro="" textlink="">
      <xdr:nvSpPr>
        <xdr:cNvPr id="23" name="テキスト ボックス 22"/>
        <xdr:cNvSpPr txBox="1"/>
      </xdr:nvSpPr>
      <xdr:spPr>
        <a:xfrm>
          <a:off x="238124" y="1704976"/>
          <a:ext cx="885826"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牛柵　　　鋼管で</a:t>
          </a:r>
          <a:r>
            <a:rPr kumimoji="1" lang="en-US" altLang="ja-JP" sz="1100"/>
            <a:t>2</a:t>
          </a:r>
          <a:r>
            <a:rPr kumimoji="1" lang="ja-JP" altLang="en-US" sz="1100"/>
            <a:t>段</a:t>
          </a:r>
        </a:p>
      </xdr:txBody>
    </xdr:sp>
    <xdr:clientData/>
  </xdr:twoCellAnchor>
  <xdr:twoCellAnchor>
    <xdr:from>
      <xdr:col>0</xdr:col>
      <xdr:colOff>209550</xdr:colOff>
      <xdr:row>17</xdr:row>
      <xdr:rowOff>95250</xdr:rowOff>
    </xdr:from>
    <xdr:to>
      <xdr:col>1</xdr:col>
      <xdr:colOff>409576</xdr:colOff>
      <xdr:row>20</xdr:row>
      <xdr:rowOff>38100</xdr:rowOff>
    </xdr:to>
    <xdr:sp macro="" textlink="">
      <xdr:nvSpPr>
        <xdr:cNvPr id="24" name="テキスト ボックス 23"/>
        <xdr:cNvSpPr txBox="1"/>
      </xdr:nvSpPr>
      <xdr:spPr>
        <a:xfrm>
          <a:off x="209550" y="3009900"/>
          <a:ext cx="885826"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ビニールハウス立上り</a:t>
          </a:r>
        </a:p>
      </xdr:txBody>
    </xdr:sp>
    <xdr:clientData/>
  </xdr:twoCellAnchor>
  <xdr:twoCellAnchor>
    <xdr:from>
      <xdr:col>4</xdr:col>
      <xdr:colOff>457199</xdr:colOff>
      <xdr:row>9</xdr:row>
      <xdr:rowOff>85725</xdr:rowOff>
    </xdr:from>
    <xdr:to>
      <xdr:col>5</xdr:col>
      <xdr:colOff>457200</xdr:colOff>
      <xdr:row>10</xdr:row>
      <xdr:rowOff>161925</xdr:rowOff>
    </xdr:to>
    <xdr:sp macro="" textlink="">
      <xdr:nvSpPr>
        <xdr:cNvPr id="25" name="下カーブ矢印 24"/>
        <xdr:cNvSpPr/>
      </xdr:nvSpPr>
      <xdr:spPr bwMode="auto">
        <a:xfrm>
          <a:off x="3200399" y="1628775"/>
          <a:ext cx="685801" cy="247650"/>
        </a:xfrm>
        <a:prstGeom prst="curvedDownArrow">
          <a:avLst>
            <a:gd name="adj1" fmla="val 13246"/>
            <a:gd name="adj2" fmla="val 53009"/>
            <a:gd name="adj3" fmla="val 250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257171</xdr:colOff>
      <xdr:row>11</xdr:row>
      <xdr:rowOff>123825</xdr:rowOff>
    </xdr:from>
    <xdr:to>
      <xdr:col>3</xdr:col>
      <xdr:colOff>485774</xdr:colOff>
      <xdr:row>15</xdr:row>
      <xdr:rowOff>6164</xdr:rowOff>
    </xdr:to>
    <xdr:sp macro="" textlink="">
      <xdr:nvSpPr>
        <xdr:cNvPr id="26" name="フリーフォーム 25"/>
        <xdr:cNvSpPr/>
      </xdr:nvSpPr>
      <xdr:spPr bwMode="auto">
        <a:xfrm flipH="1">
          <a:off x="1628771" y="2009775"/>
          <a:ext cx="914403" cy="568139"/>
        </a:xfrm>
        <a:custGeom>
          <a:avLst/>
          <a:gdLst>
            <a:gd name="connsiteX0" fmla="*/ 4531360 w 9579686"/>
            <a:gd name="connsiteY0" fmla="*/ 711200 h 6177280"/>
            <a:gd name="connsiteX1" fmla="*/ 2722880 w 9579686"/>
            <a:gd name="connsiteY1" fmla="*/ 711200 h 6177280"/>
            <a:gd name="connsiteX2" fmla="*/ 2661920 w 9579686"/>
            <a:gd name="connsiteY2" fmla="*/ 690880 h 6177280"/>
            <a:gd name="connsiteX3" fmla="*/ 2540000 w 9579686"/>
            <a:gd name="connsiteY3" fmla="*/ 670560 h 6177280"/>
            <a:gd name="connsiteX4" fmla="*/ 2479040 w 9579686"/>
            <a:gd name="connsiteY4" fmla="*/ 650240 h 6177280"/>
            <a:gd name="connsiteX5" fmla="*/ 2316480 w 9579686"/>
            <a:gd name="connsiteY5" fmla="*/ 629920 h 6177280"/>
            <a:gd name="connsiteX6" fmla="*/ 2113280 w 9579686"/>
            <a:gd name="connsiteY6" fmla="*/ 589280 h 6177280"/>
            <a:gd name="connsiteX7" fmla="*/ 1341120 w 9579686"/>
            <a:gd name="connsiteY7" fmla="*/ 548640 h 6177280"/>
            <a:gd name="connsiteX8" fmla="*/ 1076960 w 9579686"/>
            <a:gd name="connsiteY8" fmla="*/ 568960 h 6177280"/>
            <a:gd name="connsiteX9" fmla="*/ 1016000 w 9579686"/>
            <a:gd name="connsiteY9" fmla="*/ 609600 h 6177280"/>
            <a:gd name="connsiteX10" fmla="*/ 955040 w 9579686"/>
            <a:gd name="connsiteY10" fmla="*/ 629920 h 6177280"/>
            <a:gd name="connsiteX11" fmla="*/ 833120 w 9579686"/>
            <a:gd name="connsiteY11" fmla="*/ 711200 h 6177280"/>
            <a:gd name="connsiteX12" fmla="*/ 711200 w 9579686"/>
            <a:gd name="connsiteY12" fmla="*/ 792480 h 6177280"/>
            <a:gd name="connsiteX13" fmla="*/ 650240 w 9579686"/>
            <a:gd name="connsiteY13" fmla="*/ 833120 h 6177280"/>
            <a:gd name="connsiteX14" fmla="*/ 548640 w 9579686"/>
            <a:gd name="connsiteY14" fmla="*/ 914400 h 6177280"/>
            <a:gd name="connsiteX15" fmla="*/ 487680 w 9579686"/>
            <a:gd name="connsiteY15" fmla="*/ 975360 h 6177280"/>
            <a:gd name="connsiteX16" fmla="*/ 426720 w 9579686"/>
            <a:gd name="connsiteY16" fmla="*/ 1016000 h 6177280"/>
            <a:gd name="connsiteX17" fmla="*/ 365760 w 9579686"/>
            <a:gd name="connsiteY17" fmla="*/ 1158240 h 6177280"/>
            <a:gd name="connsiteX18" fmla="*/ 325120 w 9579686"/>
            <a:gd name="connsiteY18" fmla="*/ 1219200 h 6177280"/>
            <a:gd name="connsiteX19" fmla="*/ 264160 w 9579686"/>
            <a:gd name="connsiteY19" fmla="*/ 1341120 h 6177280"/>
            <a:gd name="connsiteX20" fmla="*/ 203200 w 9579686"/>
            <a:gd name="connsiteY20" fmla="*/ 1483360 h 6177280"/>
            <a:gd name="connsiteX21" fmla="*/ 162560 w 9579686"/>
            <a:gd name="connsiteY21" fmla="*/ 1605280 h 6177280"/>
            <a:gd name="connsiteX22" fmla="*/ 182880 w 9579686"/>
            <a:gd name="connsiteY22" fmla="*/ 1849120 h 6177280"/>
            <a:gd name="connsiteX23" fmla="*/ 203200 w 9579686"/>
            <a:gd name="connsiteY23" fmla="*/ 1930400 h 6177280"/>
            <a:gd name="connsiteX24" fmla="*/ 223520 w 9579686"/>
            <a:gd name="connsiteY24" fmla="*/ 2052320 h 6177280"/>
            <a:gd name="connsiteX25" fmla="*/ 243840 w 9579686"/>
            <a:gd name="connsiteY25" fmla="*/ 2153920 h 6177280"/>
            <a:gd name="connsiteX26" fmla="*/ 243840 w 9579686"/>
            <a:gd name="connsiteY26" fmla="*/ 2824480 h 6177280"/>
            <a:gd name="connsiteX27" fmla="*/ 284480 w 9579686"/>
            <a:gd name="connsiteY27" fmla="*/ 2926080 h 6177280"/>
            <a:gd name="connsiteX28" fmla="*/ 264160 w 9579686"/>
            <a:gd name="connsiteY28" fmla="*/ 3251200 h 6177280"/>
            <a:gd name="connsiteX29" fmla="*/ 203200 w 9579686"/>
            <a:gd name="connsiteY29" fmla="*/ 3434080 h 6177280"/>
            <a:gd name="connsiteX30" fmla="*/ 182880 w 9579686"/>
            <a:gd name="connsiteY30" fmla="*/ 3535680 h 6177280"/>
            <a:gd name="connsiteX31" fmla="*/ 142240 w 9579686"/>
            <a:gd name="connsiteY31" fmla="*/ 3657600 h 6177280"/>
            <a:gd name="connsiteX32" fmla="*/ 121920 w 9579686"/>
            <a:gd name="connsiteY32" fmla="*/ 3759200 h 6177280"/>
            <a:gd name="connsiteX33" fmla="*/ 81280 w 9579686"/>
            <a:gd name="connsiteY33" fmla="*/ 3881120 h 6177280"/>
            <a:gd name="connsiteX34" fmla="*/ 40640 w 9579686"/>
            <a:gd name="connsiteY34" fmla="*/ 4003040 h 6177280"/>
            <a:gd name="connsiteX35" fmla="*/ 20320 w 9579686"/>
            <a:gd name="connsiteY35" fmla="*/ 4064000 h 6177280"/>
            <a:gd name="connsiteX36" fmla="*/ 0 w 9579686"/>
            <a:gd name="connsiteY36" fmla="*/ 4145280 h 6177280"/>
            <a:gd name="connsiteX37" fmla="*/ 60960 w 9579686"/>
            <a:gd name="connsiteY37" fmla="*/ 4409440 h 6177280"/>
            <a:gd name="connsiteX38" fmla="*/ 121920 w 9579686"/>
            <a:gd name="connsiteY38" fmla="*/ 4450080 h 6177280"/>
            <a:gd name="connsiteX39" fmla="*/ 162560 w 9579686"/>
            <a:gd name="connsiteY39" fmla="*/ 4389120 h 6177280"/>
            <a:gd name="connsiteX40" fmla="*/ 203200 w 9579686"/>
            <a:gd name="connsiteY40" fmla="*/ 4267200 h 6177280"/>
            <a:gd name="connsiteX41" fmla="*/ 243840 w 9579686"/>
            <a:gd name="connsiteY41" fmla="*/ 3962400 h 6177280"/>
            <a:gd name="connsiteX42" fmla="*/ 284480 w 9579686"/>
            <a:gd name="connsiteY42" fmla="*/ 3840480 h 6177280"/>
            <a:gd name="connsiteX43" fmla="*/ 304800 w 9579686"/>
            <a:gd name="connsiteY43" fmla="*/ 3738880 h 6177280"/>
            <a:gd name="connsiteX44" fmla="*/ 345440 w 9579686"/>
            <a:gd name="connsiteY44" fmla="*/ 3616960 h 6177280"/>
            <a:gd name="connsiteX45" fmla="*/ 365760 w 9579686"/>
            <a:gd name="connsiteY45" fmla="*/ 3434080 h 6177280"/>
            <a:gd name="connsiteX46" fmla="*/ 386080 w 9579686"/>
            <a:gd name="connsiteY46" fmla="*/ 3373120 h 6177280"/>
            <a:gd name="connsiteX47" fmla="*/ 406400 w 9579686"/>
            <a:gd name="connsiteY47" fmla="*/ 3271520 h 6177280"/>
            <a:gd name="connsiteX48" fmla="*/ 447040 w 9579686"/>
            <a:gd name="connsiteY48" fmla="*/ 3149600 h 6177280"/>
            <a:gd name="connsiteX49" fmla="*/ 487680 w 9579686"/>
            <a:gd name="connsiteY49" fmla="*/ 2885440 h 6177280"/>
            <a:gd name="connsiteX50" fmla="*/ 528320 w 9579686"/>
            <a:gd name="connsiteY50" fmla="*/ 2621280 h 6177280"/>
            <a:gd name="connsiteX51" fmla="*/ 650240 w 9579686"/>
            <a:gd name="connsiteY51" fmla="*/ 2844800 h 6177280"/>
            <a:gd name="connsiteX52" fmla="*/ 690880 w 9579686"/>
            <a:gd name="connsiteY52" fmla="*/ 2966720 h 6177280"/>
            <a:gd name="connsiteX53" fmla="*/ 711200 w 9579686"/>
            <a:gd name="connsiteY53" fmla="*/ 3048000 h 6177280"/>
            <a:gd name="connsiteX54" fmla="*/ 751840 w 9579686"/>
            <a:gd name="connsiteY54" fmla="*/ 3108960 h 6177280"/>
            <a:gd name="connsiteX55" fmla="*/ 792480 w 9579686"/>
            <a:gd name="connsiteY55" fmla="*/ 3230880 h 6177280"/>
            <a:gd name="connsiteX56" fmla="*/ 812800 w 9579686"/>
            <a:gd name="connsiteY56" fmla="*/ 3291840 h 6177280"/>
            <a:gd name="connsiteX57" fmla="*/ 833120 w 9579686"/>
            <a:gd name="connsiteY57" fmla="*/ 3352800 h 6177280"/>
            <a:gd name="connsiteX58" fmla="*/ 873760 w 9579686"/>
            <a:gd name="connsiteY58" fmla="*/ 3535680 h 6177280"/>
            <a:gd name="connsiteX59" fmla="*/ 812800 w 9579686"/>
            <a:gd name="connsiteY59" fmla="*/ 4064000 h 6177280"/>
            <a:gd name="connsiteX60" fmla="*/ 772160 w 9579686"/>
            <a:gd name="connsiteY60" fmla="*/ 4124960 h 6177280"/>
            <a:gd name="connsiteX61" fmla="*/ 731520 w 9579686"/>
            <a:gd name="connsiteY61" fmla="*/ 4246880 h 6177280"/>
            <a:gd name="connsiteX62" fmla="*/ 751840 w 9579686"/>
            <a:gd name="connsiteY62" fmla="*/ 4490720 h 6177280"/>
            <a:gd name="connsiteX63" fmla="*/ 792480 w 9579686"/>
            <a:gd name="connsiteY63" fmla="*/ 4612640 h 6177280"/>
            <a:gd name="connsiteX64" fmla="*/ 833120 w 9579686"/>
            <a:gd name="connsiteY64" fmla="*/ 4856480 h 6177280"/>
            <a:gd name="connsiteX65" fmla="*/ 853440 w 9579686"/>
            <a:gd name="connsiteY65" fmla="*/ 5567680 h 6177280"/>
            <a:gd name="connsiteX66" fmla="*/ 955040 w 9579686"/>
            <a:gd name="connsiteY66" fmla="*/ 5791200 h 6177280"/>
            <a:gd name="connsiteX67" fmla="*/ 975360 w 9579686"/>
            <a:gd name="connsiteY67" fmla="*/ 5852160 h 6177280"/>
            <a:gd name="connsiteX68" fmla="*/ 1320800 w 9579686"/>
            <a:gd name="connsiteY68" fmla="*/ 5872480 h 6177280"/>
            <a:gd name="connsiteX69" fmla="*/ 1402080 w 9579686"/>
            <a:gd name="connsiteY69" fmla="*/ 5892800 h 6177280"/>
            <a:gd name="connsiteX70" fmla="*/ 1463040 w 9579686"/>
            <a:gd name="connsiteY70" fmla="*/ 5913120 h 6177280"/>
            <a:gd name="connsiteX71" fmla="*/ 1584960 w 9579686"/>
            <a:gd name="connsiteY71" fmla="*/ 5892800 h 6177280"/>
            <a:gd name="connsiteX72" fmla="*/ 1645920 w 9579686"/>
            <a:gd name="connsiteY72" fmla="*/ 5852160 h 6177280"/>
            <a:gd name="connsiteX73" fmla="*/ 1605280 w 9579686"/>
            <a:gd name="connsiteY73" fmla="*/ 5730240 h 6177280"/>
            <a:gd name="connsiteX74" fmla="*/ 1544320 w 9579686"/>
            <a:gd name="connsiteY74" fmla="*/ 5466080 h 6177280"/>
            <a:gd name="connsiteX75" fmla="*/ 1524000 w 9579686"/>
            <a:gd name="connsiteY75" fmla="*/ 5405120 h 6177280"/>
            <a:gd name="connsiteX76" fmla="*/ 1402080 w 9579686"/>
            <a:gd name="connsiteY76" fmla="*/ 5323840 h 6177280"/>
            <a:gd name="connsiteX77" fmla="*/ 1280160 w 9579686"/>
            <a:gd name="connsiteY77" fmla="*/ 5222240 h 6177280"/>
            <a:gd name="connsiteX78" fmla="*/ 1239520 w 9579686"/>
            <a:gd name="connsiteY78" fmla="*/ 5100320 h 6177280"/>
            <a:gd name="connsiteX79" fmla="*/ 1137920 w 9579686"/>
            <a:gd name="connsiteY79" fmla="*/ 4917440 h 6177280"/>
            <a:gd name="connsiteX80" fmla="*/ 1158240 w 9579686"/>
            <a:gd name="connsiteY80" fmla="*/ 4734560 h 6177280"/>
            <a:gd name="connsiteX81" fmla="*/ 1219200 w 9579686"/>
            <a:gd name="connsiteY81" fmla="*/ 4592320 h 6177280"/>
            <a:gd name="connsiteX82" fmla="*/ 1280160 w 9579686"/>
            <a:gd name="connsiteY82" fmla="*/ 4531360 h 6177280"/>
            <a:gd name="connsiteX83" fmla="*/ 1300480 w 9579686"/>
            <a:gd name="connsiteY83" fmla="*/ 4348480 h 6177280"/>
            <a:gd name="connsiteX84" fmla="*/ 1361440 w 9579686"/>
            <a:gd name="connsiteY84" fmla="*/ 4429760 h 6177280"/>
            <a:gd name="connsiteX85" fmla="*/ 1442720 w 9579686"/>
            <a:gd name="connsiteY85" fmla="*/ 4612640 h 6177280"/>
            <a:gd name="connsiteX86" fmla="*/ 1503680 w 9579686"/>
            <a:gd name="connsiteY86" fmla="*/ 5303520 h 6177280"/>
            <a:gd name="connsiteX87" fmla="*/ 1524000 w 9579686"/>
            <a:gd name="connsiteY87" fmla="*/ 5364480 h 6177280"/>
            <a:gd name="connsiteX88" fmla="*/ 1584960 w 9579686"/>
            <a:gd name="connsiteY88" fmla="*/ 5425440 h 6177280"/>
            <a:gd name="connsiteX89" fmla="*/ 1605280 w 9579686"/>
            <a:gd name="connsiteY89" fmla="*/ 5527040 h 6177280"/>
            <a:gd name="connsiteX90" fmla="*/ 1645920 w 9579686"/>
            <a:gd name="connsiteY90" fmla="*/ 5648960 h 6177280"/>
            <a:gd name="connsiteX91" fmla="*/ 1666240 w 9579686"/>
            <a:gd name="connsiteY91" fmla="*/ 5750560 h 6177280"/>
            <a:gd name="connsiteX92" fmla="*/ 1727200 w 9579686"/>
            <a:gd name="connsiteY92" fmla="*/ 5791200 h 6177280"/>
            <a:gd name="connsiteX93" fmla="*/ 1991360 w 9579686"/>
            <a:gd name="connsiteY93" fmla="*/ 5770880 h 6177280"/>
            <a:gd name="connsiteX94" fmla="*/ 2113280 w 9579686"/>
            <a:gd name="connsiteY94" fmla="*/ 5750560 h 6177280"/>
            <a:gd name="connsiteX95" fmla="*/ 2092960 w 9579686"/>
            <a:gd name="connsiteY95" fmla="*/ 5648960 h 6177280"/>
            <a:gd name="connsiteX96" fmla="*/ 1971040 w 9579686"/>
            <a:gd name="connsiteY96" fmla="*/ 5405120 h 6177280"/>
            <a:gd name="connsiteX97" fmla="*/ 1971040 w 9579686"/>
            <a:gd name="connsiteY97" fmla="*/ 5405120 h 6177280"/>
            <a:gd name="connsiteX98" fmla="*/ 1889760 w 9579686"/>
            <a:gd name="connsiteY98" fmla="*/ 5222240 h 6177280"/>
            <a:gd name="connsiteX99" fmla="*/ 1869440 w 9579686"/>
            <a:gd name="connsiteY99" fmla="*/ 5140960 h 6177280"/>
            <a:gd name="connsiteX100" fmla="*/ 1849120 w 9579686"/>
            <a:gd name="connsiteY100" fmla="*/ 5080000 h 6177280"/>
            <a:gd name="connsiteX101" fmla="*/ 1788160 w 9579686"/>
            <a:gd name="connsiteY101" fmla="*/ 4734560 h 6177280"/>
            <a:gd name="connsiteX102" fmla="*/ 1828800 w 9579686"/>
            <a:gd name="connsiteY102" fmla="*/ 4084320 h 6177280"/>
            <a:gd name="connsiteX103" fmla="*/ 1849120 w 9579686"/>
            <a:gd name="connsiteY103" fmla="*/ 3982720 h 6177280"/>
            <a:gd name="connsiteX104" fmla="*/ 1930400 w 9579686"/>
            <a:gd name="connsiteY104" fmla="*/ 3860800 h 6177280"/>
            <a:gd name="connsiteX105" fmla="*/ 2052320 w 9579686"/>
            <a:gd name="connsiteY105" fmla="*/ 3779520 h 6177280"/>
            <a:gd name="connsiteX106" fmla="*/ 2113280 w 9579686"/>
            <a:gd name="connsiteY106" fmla="*/ 3738880 h 6177280"/>
            <a:gd name="connsiteX107" fmla="*/ 2235200 w 9579686"/>
            <a:gd name="connsiteY107" fmla="*/ 3637280 h 6177280"/>
            <a:gd name="connsiteX108" fmla="*/ 2296160 w 9579686"/>
            <a:gd name="connsiteY108" fmla="*/ 3616960 h 6177280"/>
            <a:gd name="connsiteX109" fmla="*/ 2621280 w 9579686"/>
            <a:gd name="connsiteY109" fmla="*/ 3657600 h 6177280"/>
            <a:gd name="connsiteX110" fmla="*/ 2743200 w 9579686"/>
            <a:gd name="connsiteY110" fmla="*/ 3698240 h 6177280"/>
            <a:gd name="connsiteX111" fmla="*/ 2804160 w 9579686"/>
            <a:gd name="connsiteY111" fmla="*/ 3718560 h 6177280"/>
            <a:gd name="connsiteX112" fmla="*/ 2865120 w 9579686"/>
            <a:gd name="connsiteY112" fmla="*/ 3759200 h 6177280"/>
            <a:gd name="connsiteX113" fmla="*/ 2987040 w 9579686"/>
            <a:gd name="connsiteY113" fmla="*/ 3799840 h 6177280"/>
            <a:gd name="connsiteX114" fmla="*/ 3108960 w 9579686"/>
            <a:gd name="connsiteY114" fmla="*/ 3840480 h 6177280"/>
            <a:gd name="connsiteX115" fmla="*/ 3169920 w 9579686"/>
            <a:gd name="connsiteY115" fmla="*/ 3860800 h 6177280"/>
            <a:gd name="connsiteX116" fmla="*/ 3271520 w 9579686"/>
            <a:gd name="connsiteY116" fmla="*/ 3881120 h 6177280"/>
            <a:gd name="connsiteX117" fmla="*/ 3454400 w 9579686"/>
            <a:gd name="connsiteY117" fmla="*/ 4023360 h 6177280"/>
            <a:gd name="connsiteX118" fmla="*/ 3515360 w 9579686"/>
            <a:gd name="connsiteY118" fmla="*/ 3982720 h 6177280"/>
            <a:gd name="connsiteX119" fmla="*/ 3515360 w 9579686"/>
            <a:gd name="connsiteY119" fmla="*/ 3860800 h 6177280"/>
            <a:gd name="connsiteX120" fmla="*/ 3759200 w 9579686"/>
            <a:gd name="connsiteY120" fmla="*/ 3840480 h 6177280"/>
            <a:gd name="connsiteX121" fmla="*/ 3820160 w 9579686"/>
            <a:gd name="connsiteY121" fmla="*/ 3820160 h 6177280"/>
            <a:gd name="connsiteX122" fmla="*/ 4450080 w 9579686"/>
            <a:gd name="connsiteY122" fmla="*/ 3860800 h 6177280"/>
            <a:gd name="connsiteX123" fmla="*/ 4693920 w 9579686"/>
            <a:gd name="connsiteY123" fmla="*/ 3840480 h 6177280"/>
            <a:gd name="connsiteX124" fmla="*/ 4897120 w 9579686"/>
            <a:gd name="connsiteY124" fmla="*/ 3799840 h 6177280"/>
            <a:gd name="connsiteX125" fmla="*/ 5120640 w 9579686"/>
            <a:gd name="connsiteY125" fmla="*/ 3779520 h 6177280"/>
            <a:gd name="connsiteX126" fmla="*/ 5181600 w 9579686"/>
            <a:gd name="connsiteY126" fmla="*/ 3921760 h 6177280"/>
            <a:gd name="connsiteX127" fmla="*/ 5140960 w 9579686"/>
            <a:gd name="connsiteY127" fmla="*/ 4348480 h 6177280"/>
            <a:gd name="connsiteX128" fmla="*/ 5140960 w 9579686"/>
            <a:gd name="connsiteY128" fmla="*/ 4734560 h 6177280"/>
            <a:gd name="connsiteX129" fmla="*/ 5222240 w 9579686"/>
            <a:gd name="connsiteY129" fmla="*/ 4856480 h 6177280"/>
            <a:gd name="connsiteX130" fmla="*/ 5181600 w 9579686"/>
            <a:gd name="connsiteY130" fmla="*/ 5222240 h 6177280"/>
            <a:gd name="connsiteX131" fmla="*/ 5161280 w 9579686"/>
            <a:gd name="connsiteY131" fmla="*/ 5364480 h 6177280"/>
            <a:gd name="connsiteX132" fmla="*/ 5201920 w 9579686"/>
            <a:gd name="connsiteY132" fmla="*/ 5791200 h 6177280"/>
            <a:gd name="connsiteX133" fmla="*/ 5161280 w 9579686"/>
            <a:gd name="connsiteY133" fmla="*/ 5933440 h 6177280"/>
            <a:gd name="connsiteX134" fmla="*/ 5181600 w 9579686"/>
            <a:gd name="connsiteY134" fmla="*/ 5994400 h 6177280"/>
            <a:gd name="connsiteX135" fmla="*/ 5323840 w 9579686"/>
            <a:gd name="connsiteY135" fmla="*/ 6136640 h 6177280"/>
            <a:gd name="connsiteX136" fmla="*/ 5588000 w 9579686"/>
            <a:gd name="connsiteY136" fmla="*/ 6156960 h 6177280"/>
            <a:gd name="connsiteX137" fmla="*/ 5730240 w 9579686"/>
            <a:gd name="connsiteY137" fmla="*/ 6177280 h 6177280"/>
            <a:gd name="connsiteX138" fmla="*/ 5831840 w 9579686"/>
            <a:gd name="connsiteY138" fmla="*/ 6156960 h 6177280"/>
            <a:gd name="connsiteX139" fmla="*/ 5852160 w 9579686"/>
            <a:gd name="connsiteY139" fmla="*/ 6096000 h 6177280"/>
            <a:gd name="connsiteX140" fmla="*/ 5872480 w 9579686"/>
            <a:gd name="connsiteY140" fmla="*/ 5953760 h 6177280"/>
            <a:gd name="connsiteX141" fmla="*/ 5933440 w 9579686"/>
            <a:gd name="connsiteY141" fmla="*/ 5933440 h 6177280"/>
            <a:gd name="connsiteX142" fmla="*/ 5974080 w 9579686"/>
            <a:gd name="connsiteY142" fmla="*/ 5872480 h 6177280"/>
            <a:gd name="connsiteX143" fmla="*/ 5913120 w 9579686"/>
            <a:gd name="connsiteY143" fmla="*/ 5709920 h 6177280"/>
            <a:gd name="connsiteX144" fmla="*/ 5852160 w 9579686"/>
            <a:gd name="connsiteY144" fmla="*/ 5648960 h 6177280"/>
            <a:gd name="connsiteX145" fmla="*/ 5811520 w 9579686"/>
            <a:gd name="connsiteY145" fmla="*/ 5567680 h 6177280"/>
            <a:gd name="connsiteX146" fmla="*/ 5770880 w 9579686"/>
            <a:gd name="connsiteY146" fmla="*/ 5303520 h 6177280"/>
            <a:gd name="connsiteX147" fmla="*/ 5730240 w 9579686"/>
            <a:gd name="connsiteY147" fmla="*/ 5181600 h 6177280"/>
            <a:gd name="connsiteX148" fmla="*/ 5770880 w 9579686"/>
            <a:gd name="connsiteY148" fmla="*/ 4978400 h 6177280"/>
            <a:gd name="connsiteX149" fmla="*/ 5791200 w 9579686"/>
            <a:gd name="connsiteY149" fmla="*/ 4876800 h 6177280"/>
            <a:gd name="connsiteX150" fmla="*/ 5831840 w 9579686"/>
            <a:gd name="connsiteY150" fmla="*/ 4754880 h 6177280"/>
            <a:gd name="connsiteX151" fmla="*/ 5872480 w 9579686"/>
            <a:gd name="connsiteY151" fmla="*/ 4693920 h 6177280"/>
            <a:gd name="connsiteX152" fmla="*/ 5913120 w 9579686"/>
            <a:gd name="connsiteY152" fmla="*/ 4572000 h 6177280"/>
            <a:gd name="connsiteX153" fmla="*/ 5953760 w 9579686"/>
            <a:gd name="connsiteY153" fmla="*/ 4409440 h 6177280"/>
            <a:gd name="connsiteX154" fmla="*/ 6014720 w 9579686"/>
            <a:gd name="connsiteY154" fmla="*/ 4165600 h 6177280"/>
            <a:gd name="connsiteX155" fmla="*/ 6055360 w 9579686"/>
            <a:gd name="connsiteY155" fmla="*/ 4104640 h 6177280"/>
            <a:gd name="connsiteX156" fmla="*/ 6278880 w 9579686"/>
            <a:gd name="connsiteY156" fmla="*/ 4043680 h 6177280"/>
            <a:gd name="connsiteX157" fmla="*/ 6360160 w 9579686"/>
            <a:gd name="connsiteY157" fmla="*/ 4023360 h 6177280"/>
            <a:gd name="connsiteX158" fmla="*/ 6543040 w 9579686"/>
            <a:gd name="connsiteY158" fmla="*/ 3982720 h 6177280"/>
            <a:gd name="connsiteX159" fmla="*/ 6624320 w 9579686"/>
            <a:gd name="connsiteY159" fmla="*/ 3860800 h 6177280"/>
            <a:gd name="connsiteX160" fmla="*/ 6705600 w 9579686"/>
            <a:gd name="connsiteY160" fmla="*/ 3738880 h 6177280"/>
            <a:gd name="connsiteX161" fmla="*/ 6746240 w 9579686"/>
            <a:gd name="connsiteY161" fmla="*/ 3677920 h 6177280"/>
            <a:gd name="connsiteX162" fmla="*/ 6786880 w 9579686"/>
            <a:gd name="connsiteY162" fmla="*/ 3556000 h 6177280"/>
            <a:gd name="connsiteX163" fmla="*/ 6827520 w 9579686"/>
            <a:gd name="connsiteY163" fmla="*/ 3495040 h 6177280"/>
            <a:gd name="connsiteX164" fmla="*/ 6847840 w 9579686"/>
            <a:gd name="connsiteY164" fmla="*/ 3434080 h 6177280"/>
            <a:gd name="connsiteX165" fmla="*/ 6888480 w 9579686"/>
            <a:gd name="connsiteY165" fmla="*/ 3373120 h 6177280"/>
            <a:gd name="connsiteX166" fmla="*/ 6908800 w 9579686"/>
            <a:gd name="connsiteY166" fmla="*/ 3312160 h 6177280"/>
            <a:gd name="connsiteX167" fmla="*/ 7030720 w 9579686"/>
            <a:gd name="connsiteY167" fmla="*/ 3271520 h 6177280"/>
            <a:gd name="connsiteX168" fmla="*/ 7112000 w 9579686"/>
            <a:gd name="connsiteY168" fmla="*/ 3068320 h 6177280"/>
            <a:gd name="connsiteX169" fmla="*/ 7213600 w 9579686"/>
            <a:gd name="connsiteY169" fmla="*/ 2885440 h 6177280"/>
            <a:gd name="connsiteX170" fmla="*/ 7254240 w 9579686"/>
            <a:gd name="connsiteY170" fmla="*/ 2824480 h 6177280"/>
            <a:gd name="connsiteX171" fmla="*/ 7437120 w 9579686"/>
            <a:gd name="connsiteY171" fmla="*/ 2702560 h 6177280"/>
            <a:gd name="connsiteX172" fmla="*/ 7498080 w 9579686"/>
            <a:gd name="connsiteY172" fmla="*/ 2661920 h 6177280"/>
            <a:gd name="connsiteX173" fmla="*/ 7620000 w 9579686"/>
            <a:gd name="connsiteY173" fmla="*/ 2621280 h 6177280"/>
            <a:gd name="connsiteX174" fmla="*/ 7701280 w 9579686"/>
            <a:gd name="connsiteY174" fmla="*/ 2560320 h 6177280"/>
            <a:gd name="connsiteX175" fmla="*/ 7823200 w 9579686"/>
            <a:gd name="connsiteY175" fmla="*/ 2479040 h 6177280"/>
            <a:gd name="connsiteX176" fmla="*/ 7884160 w 9579686"/>
            <a:gd name="connsiteY176" fmla="*/ 2418080 h 6177280"/>
            <a:gd name="connsiteX177" fmla="*/ 8453120 w 9579686"/>
            <a:gd name="connsiteY177" fmla="*/ 2438400 h 6177280"/>
            <a:gd name="connsiteX178" fmla="*/ 8514080 w 9579686"/>
            <a:gd name="connsiteY178" fmla="*/ 2458720 h 6177280"/>
            <a:gd name="connsiteX179" fmla="*/ 8575040 w 9579686"/>
            <a:gd name="connsiteY179" fmla="*/ 2499360 h 6177280"/>
            <a:gd name="connsiteX180" fmla="*/ 8818880 w 9579686"/>
            <a:gd name="connsiteY180" fmla="*/ 2479040 h 6177280"/>
            <a:gd name="connsiteX181" fmla="*/ 8940800 w 9579686"/>
            <a:gd name="connsiteY181" fmla="*/ 2519680 h 6177280"/>
            <a:gd name="connsiteX182" fmla="*/ 9184640 w 9579686"/>
            <a:gd name="connsiteY182" fmla="*/ 2479040 h 6177280"/>
            <a:gd name="connsiteX183" fmla="*/ 9326880 w 9579686"/>
            <a:gd name="connsiteY183" fmla="*/ 2438400 h 6177280"/>
            <a:gd name="connsiteX184" fmla="*/ 9408160 w 9579686"/>
            <a:gd name="connsiteY184" fmla="*/ 2418080 h 6177280"/>
            <a:gd name="connsiteX185" fmla="*/ 9428480 w 9579686"/>
            <a:gd name="connsiteY185" fmla="*/ 2255520 h 6177280"/>
            <a:gd name="connsiteX186" fmla="*/ 9570720 w 9579686"/>
            <a:gd name="connsiteY186" fmla="*/ 2235200 h 6177280"/>
            <a:gd name="connsiteX187" fmla="*/ 9550400 w 9579686"/>
            <a:gd name="connsiteY187" fmla="*/ 2113280 h 6177280"/>
            <a:gd name="connsiteX188" fmla="*/ 9530080 w 9579686"/>
            <a:gd name="connsiteY188" fmla="*/ 1950720 h 6177280"/>
            <a:gd name="connsiteX189" fmla="*/ 9428480 w 9579686"/>
            <a:gd name="connsiteY189" fmla="*/ 1767840 h 6177280"/>
            <a:gd name="connsiteX190" fmla="*/ 9387840 w 9579686"/>
            <a:gd name="connsiteY190" fmla="*/ 1706880 h 6177280"/>
            <a:gd name="connsiteX191" fmla="*/ 9347200 w 9579686"/>
            <a:gd name="connsiteY191" fmla="*/ 1645920 h 6177280"/>
            <a:gd name="connsiteX192" fmla="*/ 9326880 w 9579686"/>
            <a:gd name="connsiteY192" fmla="*/ 1584960 h 6177280"/>
            <a:gd name="connsiteX193" fmla="*/ 9184640 w 9579686"/>
            <a:gd name="connsiteY193" fmla="*/ 1402080 h 6177280"/>
            <a:gd name="connsiteX194" fmla="*/ 9144000 w 9579686"/>
            <a:gd name="connsiteY194" fmla="*/ 1178560 h 6177280"/>
            <a:gd name="connsiteX195" fmla="*/ 9123680 w 9579686"/>
            <a:gd name="connsiteY195" fmla="*/ 1117600 h 6177280"/>
            <a:gd name="connsiteX196" fmla="*/ 9103360 w 9579686"/>
            <a:gd name="connsiteY196" fmla="*/ 1036320 h 6177280"/>
            <a:gd name="connsiteX197" fmla="*/ 9001760 w 9579686"/>
            <a:gd name="connsiteY197" fmla="*/ 914400 h 6177280"/>
            <a:gd name="connsiteX198" fmla="*/ 8879840 w 9579686"/>
            <a:gd name="connsiteY198" fmla="*/ 670560 h 6177280"/>
            <a:gd name="connsiteX199" fmla="*/ 8859520 w 9579686"/>
            <a:gd name="connsiteY199" fmla="*/ 609600 h 6177280"/>
            <a:gd name="connsiteX200" fmla="*/ 8900160 w 9579686"/>
            <a:gd name="connsiteY200" fmla="*/ 406400 h 6177280"/>
            <a:gd name="connsiteX201" fmla="*/ 9062720 w 9579686"/>
            <a:gd name="connsiteY201" fmla="*/ 345440 h 6177280"/>
            <a:gd name="connsiteX202" fmla="*/ 9245600 w 9579686"/>
            <a:gd name="connsiteY202" fmla="*/ 264160 h 6177280"/>
            <a:gd name="connsiteX203" fmla="*/ 9306560 w 9579686"/>
            <a:gd name="connsiteY203" fmla="*/ 142240 h 6177280"/>
            <a:gd name="connsiteX204" fmla="*/ 9245600 w 9579686"/>
            <a:gd name="connsiteY204" fmla="*/ 101600 h 6177280"/>
            <a:gd name="connsiteX205" fmla="*/ 9164320 w 9579686"/>
            <a:gd name="connsiteY205" fmla="*/ 121920 h 6177280"/>
            <a:gd name="connsiteX206" fmla="*/ 9042400 w 9579686"/>
            <a:gd name="connsiteY206" fmla="*/ 142240 h 6177280"/>
            <a:gd name="connsiteX207" fmla="*/ 8859520 w 9579686"/>
            <a:gd name="connsiteY207" fmla="*/ 223520 h 6177280"/>
            <a:gd name="connsiteX208" fmla="*/ 8798560 w 9579686"/>
            <a:gd name="connsiteY208" fmla="*/ 243840 h 6177280"/>
            <a:gd name="connsiteX209" fmla="*/ 8737600 w 9579686"/>
            <a:gd name="connsiteY209" fmla="*/ 284480 h 6177280"/>
            <a:gd name="connsiteX210" fmla="*/ 8676640 w 9579686"/>
            <a:gd name="connsiteY210" fmla="*/ 345440 h 6177280"/>
            <a:gd name="connsiteX211" fmla="*/ 8554720 w 9579686"/>
            <a:gd name="connsiteY211" fmla="*/ 386080 h 6177280"/>
            <a:gd name="connsiteX212" fmla="*/ 8432800 w 9579686"/>
            <a:gd name="connsiteY212" fmla="*/ 345440 h 6177280"/>
            <a:gd name="connsiteX213" fmla="*/ 8453120 w 9579686"/>
            <a:gd name="connsiteY213" fmla="*/ 223520 h 6177280"/>
            <a:gd name="connsiteX214" fmla="*/ 8575040 w 9579686"/>
            <a:gd name="connsiteY214" fmla="*/ 142240 h 6177280"/>
            <a:gd name="connsiteX215" fmla="*/ 8595360 w 9579686"/>
            <a:gd name="connsiteY215" fmla="*/ 81280 h 6177280"/>
            <a:gd name="connsiteX216" fmla="*/ 8636000 w 9579686"/>
            <a:gd name="connsiteY216" fmla="*/ 20320 h 6177280"/>
            <a:gd name="connsiteX217" fmla="*/ 8575040 w 9579686"/>
            <a:gd name="connsiteY217" fmla="*/ 0 h 6177280"/>
            <a:gd name="connsiteX218" fmla="*/ 8310880 w 9579686"/>
            <a:gd name="connsiteY218" fmla="*/ 20320 h 6177280"/>
            <a:gd name="connsiteX219" fmla="*/ 8168640 w 9579686"/>
            <a:gd name="connsiteY219" fmla="*/ 182880 h 6177280"/>
            <a:gd name="connsiteX220" fmla="*/ 8128000 w 9579686"/>
            <a:gd name="connsiteY220" fmla="*/ 243840 h 6177280"/>
            <a:gd name="connsiteX221" fmla="*/ 8087360 w 9579686"/>
            <a:gd name="connsiteY221" fmla="*/ 386080 h 6177280"/>
            <a:gd name="connsiteX222" fmla="*/ 7884160 w 9579686"/>
            <a:gd name="connsiteY222" fmla="*/ 365760 h 6177280"/>
            <a:gd name="connsiteX223" fmla="*/ 7823200 w 9579686"/>
            <a:gd name="connsiteY223" fmla="*/ 345440 h 6177280"/>
            <a:gd name="connsiteX224" fmla="*/ 7416800 w 9579686"/>
            <a:gd name="connsiteY224" fmla="*/ 365760 h 6177280"/>
            <a:gd name="connsiteX225" fmla="*/ 7355840 w 9579686"/>
            <a:gd name="connsiteY225" fmla="*/ 386080 h 6177280"/>
            <a:gd name="connsiteX226" fmla="*/ 7335520 w 9579686"/>
            <a:gd name="connsiteY226" fmla="*/ 447040 h 6177280"/>
            <a:gd name="connsiteX227" fmla="*/ 7315200 w 9579686"/>
            <a:gd name="connsiteY227" fmla="*/ 609600 h 6177280"/>
            <a:gd name="connsiteX228" fmla="*/ 7254240 w 9579686"/>
            <a:gd name="connsiteY228" fmla="*/ 629920 h 6177280"/>
            <a:gd name="connsiteX229" fmla="*/ 7112000 w 9579686"/>
            <a:gd name="connsiteY229" fmla="*/ 650240 h 6177280"/>
            <a:gd name="connsiteX230" fmla="*/ 6664960 w 9579686"/>
            <a:gd name="connsiteY230" fmla="*/ 629920 h 6177280"/>
            <a:gd name="connsiteX231" fmla="*/ 6522720 w 9579686"/>
            <a:gd name="connsiteY231" fmla="*/ 568960 h 6177280"/>
            <a:gd name="connsiteX232" fmla="*/ 6421120 w 9579686"/>
            <a:gd name="connsiteY232" fmla="*/ 548640 h 6177280"/>
            <a:gd name="connsiteX233" fmla="*/ 6339840 w 9579686"/>
            <a:gd name="connsiteY233" fmla="*/ 528320 h 6177280"/>
            <a:gd name="connsiteX234" fmla="*/ 6278880 w 9579686"/>
            <a:gd name="connsiteY234" fmla="*/ 508000 h 6177280"/>
            <a:gd name="connsiteX235" fmla="*/ 5770880 w 9579686"/>
            <a:gd name="connsiteY235" fmla="*/ 487680 h 6177280"/>
            <a:gd name="connsiteX236" fmla="*/ 5547360 w 9579686"/>
            <a:gd name="connsiteY236" fmla="*/ 508000 h 6177280"/>
            <a:gd name="connsiteX237" fmla="*/ 5384800 w 9579686"/>
            <a:gd name="connsiteY237" fmla="*/ 568960 h 6177280"/>
            <a:gd name="connsiteX238" fmla="*/ 4978400 w 9579686"/>
            <a:gd name="connsiteY238" fmla="*/ 589280 h 6177280"/>
            <a:gd name="connsiteX239" fmla="*/ 4897120 w 9579686"/>
            <a:gd name="connsiteY239" fmla="*/ 609600 h 6177280"/>
            <a:gd name="connsiteX240" fmla="*/ 4612640 w 9579686"/>
            <a:gd name="connsiteY240" fmla="*/ 650240 h 6177280"/>
            <a:gd name="connsiteX241" fmla="*/ 4490720 w 9579686"/>
            <a:gd name="connsiteY241" fmla="*/ 690880 h 6177280"/>
            <a:gd name="connsiteX242" fmla="*/ 4287520 w 9579686"/>
            <a:gd name="connsiteY242" fmla="*/ 731520 h 6177280"/>
            <a:gd name="connsiteX243" fmla="*/ 4226560 w 9579686"/>
            <a:gd name="connsiteY243" fmla="*/ 751840 h 617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Lst>
          <a:rect l="l" t="t" r="r" b="b"/>
          <a:pathLst>
            <a:path w="9579686" h="6177280">
              <a:moveTo>
                <a:pt x="4531360" y="711200"/>
              </a:moveTo>
              <a:cubicBezTo>
                <a:pt x="3679735" y="733037"/>
                <a:pt x="3644815" y="745990"/>
                <a:pt x="2722880" y="711200"/>
              </a:cubicBezTo>
              <a:cubicBezTo>
                <a:pt x="2701476" y="710392"/>
                <a:pt x="2682829" y="695526"/>
                <a:pt x="2661920" y="690880"/>
              </a:cubicBezTo>
              <a:cubicBezTo>
                <a:pt x="2621701" y="681942"/>
                <a:pt x="2580219" y="679498"/>
                <a:pt x="2540000" y="670560"/>
              </a:cubicBezTo>
              <a:cubicBezTo>
                <a:pt x="2519091" y="665914"/>
                <a:pt x="2500114" y="654072"/>
                <a:pt x="2479040" y="650240"/>
              </a:cubicBezTo>
              <a:cubicBezTo>
                <a:pt x="2425312" y="640471"/>
                <a:pt x="2370345" y="638898"/>
                <a:pt x="2316480" y="629920"/>
              </a:cubicBezTo>
              <a:cubicBezTo>
                <a:pt x="2248345" y="618564"/>
                <a:pt x="2182259" y="592910"/>
                <a:pt x="2113280" y="589280"/>
              </a:cubicBezTo>
              <a:lnTo>
                <a:pt x="1341120" y="548640"/>
              </a:lnTo>
              <a:cubicBezTo>
                <a:pt x="1253067" y="555413"/>
                <a:pt x="1163761" y="552685"/>
                <a:pt x="1076960" y="568960"/>
              </a:cubicBezTo>
              <a:cubicBezTo>
                <a:pt x="1052957" y="573461"/>
                <a:pt x="1037843" y="598678"/>
                <a:pt x="1016000" y="609600"/>
              </a:cubicBezTo>
              <a:cubicBezTo>
                <a:pt x="996842" y="619179"/>
                <a:pt x="973764" y="619518"/>
                <a:pt x="955040" y="629920"/>
              </a:cubicBezTo>
              <a:cubicBezTo>
                <a:pt x="912343" y="653640"/>
                <a:pt x="873760" y="684107"/>
                <a:pt x="833120" y="711200"/>
              </a:cubicBezTo>
              <a:lnTo>
                <a:pt x="711200" y="792480"/>
              </a:lnTo>
              <a:lnTo>
                <a:pt x="650240" y="833120"/>
              </a:lnTo>
              <a:cubicBezTo>
                <a:pt x="559350" y="969454"/>
                <a:pt x="666420" y="835880"/>
                <a:pt x="548640" y="914400"/>
              </a:cubicBezTo>
              <a:cubicBezTo>
                <a:pt x="524730" y="930340"/>
                <a:pt x="509756" y="956963"/>
                <a:pt x="487680" y="975360"/>
              </a:cubicBezTo>
              <a:cubicBezTo>
                <a:pt x="468919" y="990994"/>
                <a:pt x="447040" y="1002453"/>
                <a:pt x="426720" y="1016000"/>
              </a:cubicBezTo>
              <a:cubicBezTo>
                <a:pt x="324691" y="1169044"/>
                <a:pt x="444489" y="974538"/>
                <a:pt x="365760" y="1158240"/>
              </a:cubicBezTo>
              <a:cubicBezTo>
                <a:pt x="356140" y="1180687"/>
                <a:pt x="336042" y="1197357"/>
                <a:pt x="325120" y="1219200"/>
              </a:cubicBezTo>
              <a:cubicBezTo>
                <a:pt x="240992" y="1387457"/>
                <a:pt x="380629" y="1166417"/>
                <a:pt x="264160" y="1341120"/>
              </a:cubicBezTo>
              <a:cubicBezTo>
                <a:pt x="210408" y="1556130"/>
                <a:pt x="283387" y="1302938"/>
                <a:pt x="203200" y="1483360"/>
              </a:cubicBezTo>
              <a:cubicBezTo>
                <a:pt x="185802" y="1522506"/>
                <a:pt x="162560" y="1605280"/>
                <a:pt x="162560" y="1605280"/>
              </a:cubicBezTo>
              <a:cubicBezTo>
                <a:pt x="169333" y="1686560"/>
                <a:pt x="172764" y="1768188"/>
                <a:pt x="182880" y="1849120"/>
              </a:cubicBezTo>
              <a:cubicBezTo>
                <a:pt x="186344" y="1876832"/>
                <a:pt x="197723" y="1903015"/>
                <a:pt x="203200" y="1930400"/>
              </a:cubicBezTo>
              <a:cubicBezTo>
                <a:pt x="211280" y="1970800"/>
                <a:pt x="216150" y="2011784"/>
                <a:pt x="223520" y="2052320"/>
              </a:cubicBezTo>
              <a:cubicBezTo>
                <a:pt x="229698" y="2086300"/>
                <a:pt x="237067" y="2120053"/>
                <a:pt x="243840" y="2153920"/>
              </a:cubicBezTo>
              <a:cubicBezTo>
                <a:pt x="219966" y="2440410"/>
                <a:pt x="205199" y="2489590"/>
                <a:pt x="243840" y="2824480"/>
              </a:cubicBezTo>
              <a:cubicBezTo>
                <a:pt x="248021" y="2860715"/>
                <a:pt x="270933" y="2892213"/>
                <a:pt x="284480" y="2926080"/>
              </a:cubicBezTo>
              <a:cubicBezTo>
                <a:pt x="277707" y="3034453"/>
                <a:pt x="278831" y="3143611"/>
                <a:pt x="264160" y="3251200"/>
              </a:cubicBezTo>
              <a:cubicBezTo>
                <a:pt x="246743" y="3378926"/>
                <a:pt x="222069" y="3339737"/>
                <a:pt x="203200" y="3434080"/>
              </a:cubicBezTo>
              <a:cubicBezTo>
                <a:pt x="196427" y="3467947"/>
                <a:pt x="191967" y="3502360"/>
                <a:pt x="182880" y="3535680"/>
              </a:cubicBezTo>
              <a:cubicBezTo>
                <a:pt x="171608" y="3577009"/>
                <a:pt x="150641" y="3615594"/>
                <a:pt x="142240" y="3657600"/>
              </a:cubicBezTo>
              <a:cubicBezTo>
                <a:pt x="135467" y="3691467"/>
                <a:pt x="131007" y="3725880"/>
                <a:pt x="121920" y="3759200"/>
              </a:cubicBezTo>
              <a:cubicBezTo>
                <a:pt x="110648" y="3800529"/>
                <a:pt x="94827" y="3840480"/>
                <a:pt x="81280" y="3881120"/>
              </a:cubicBezTo>
              <a:lnTo>
                <a:pt x="40640" y="4003040"/>
              </a:lnTo>
              <a:cubicBezTo>
                <a:pt x="33867" y="4023360"/>
                <a:pt x="25515" y="4043220"/>
                <a:pt x="20320" y="4064000"/>
              </a:cubicBezTo>
              <a:lnTo>
                <a:pt x="0" y="4145280"/>
              </a:lnTo>
              <a:cubicBezTo>
                <a:pt x="10610" y="4251378"/>
                <a:pt x="-13084" y="4335396"/>
                <a:pt x="60960" y="4409440"/>
              </a:cubicBezTo>
              <a:cubicBezTo>
                <a:pt x="78229" y="4426709"/>
                <a:pt x="101600" y="4436533"/>
                <a:pt x="121920" y="4450080"/>
              </a:cubicBezTo>
              <a:cubicBezTo>
                <a:pt x="135467" y="4429760"/>
                <a:pt x="152641" y="4411437"/>
                <a:pt x="162560" y="4389120"/>
              </a:cubicBezTo>
              <a:cubicBezTo>
                <a:pt x="179958" y="4349974"/>
                <a:pt x="203200" y="4267200"/>
                <a:pt x="203200" y="4267200"/>
              </a:cubicBezTo>
              <a:cubicBezTo>
                <a:pt x="212986" y="4169342"/>
                <a:pt x="217259" y="4059865"/>
                <a:pt x="243840" y="3962400"/>
              </a:cubicBezTo>
              <a:cubicBezTo>
                <a:pt x="255112" y="3921071"/>
                <a:pt x="276079" y="3882486"/>
                <a:pt x="284480" y="3840480"/>
              </a:cubicBezTo>
              <a:cubicBezTo>
                <a:pt x="291253" y="3806613"/>
                <a:pt x="295713" y="3772200"/>
                <a:pt x="304800" y="3738880"/>
              </a:cubicBezTo>
              <a:cubicBezTo>
                <a:pt x="316072" y="3697551"/>
                <a:pt x="345440" y="3616960"/>
                <a:pt x="345440" y="3616960"/>
              </a:cubicBezTo>
              <a:cubicBezTo>
                <a:pt x="352213" y="3556000"/>
                <a:pt x="355677" y="3494581"/>
                <a:pt x="365760" y="3434080"/>
              </a:cubicBezTo>
              <a:cubicBezTo>
                <a:pt x="369281" y="3412952"/>
                <a:pt x="380885" y="3393900"/>
                <a:pt x="386080" y="3373120"/>
              </a:cubicBezTo>
              <a:cubicBezTo>
                <a:pt x="394457" y="3339614"/>
                <a:pt x="397313" y="3304840"/>
                <a:pt x="406400" y="3271520"/>
              </a:cubicBezTo>
              <a:cubicBezTo>
                <a:pt x="417672" y="3230191"/>
                <a:pt x="447040" y="3149600"/>
                <a:pt x="447040" y="3149600"/>
              </a:cubicBezTo>
              <a:cubicBezTo>
                <a:pt x="505961" y="2737151"/>
                <a:pt x="431292" y="3251960"/>
                <a:pt x="487680" y="2885440"/>
              </a:cubicBezTo>
              <a:cubicBezTo>
                <a:pt x="539973" y="2545534"/>
                <a:pt x="477634" y="2925396"/>
                <a:pt x="528320" y="2621280"/>
              </a:cubicBezTo>
              <a:cubicBezTo>
                <a:pt x="577787" y="2695480"/>
                <a:pt x="619506" y="2752598"/>
                <a:pt x="650240" y="2844800"/>
              </a:cubicBezTo>
              <a:cubicBezTo>
                <a:pt x="663787" y="2885440"/>
                <a:pt x="680490" y="2925161"/>
                <a:pt x="690880" y="2966720"/>
              </a:cubicBezTo>
              <a:cubicBezTo>
                <a:pt x="697653" y="2993813"/>
                <a:pt x="700199" y="3022331"/>
                <a:pt x="711200" y="3048000"/>
              </a:cubicBezTo>
              <a:cubicBezTo>
                <a:pt x="720820" y="3070447"/>
                <a:pt x="741921" y="3086643"/>
                <a:pt x="751840" y="3108960"/>
              </a:cubicBezTo>
              <a:cubicBezTo>
                <a:pt x="769238" y="3148106"/>
                <a:pt x="778933" y="3190240"/>
                <a:pt x="792480" y="3230880"/>
              </a:cubicBezTo>
              <a:lnTo>
                <a:pt x="812800" y="3291840"/>
              </a:lnTo>
              <a:cubicBezTo>
                <a:pt x="819573" y="3312160"/>
                <a:pt x="828474" y="3331891"/>
                <a:pt x="833120" y="3352800"/>
              </a:cubicBezTo>
              <a:lnTo>
                <a:pt x="873760" y="3535680"/>
              </a:lnTo>
              <a:cubicBezTo>
                <a:pt x="872745" y="3555977"/>
                <a:pt x="889559" y="3948862"/>
                <a:pt x="812800" y="4064000"/>
              </a:cubicBezTo>
              <a:cubicBezTo>
                <a:pt x="799253" y="4084320"/>
                <a:pt x="782079" y="4102643"/>
                <a:pt x="772160" y="4124960"/>
              </a:cubicBezTo>
              <a:cubicBezTo>
                <a:pt x="754762" y="4164106"/>
                <a:pt x="731520" y="4246880"/>
                <a:pt x="731520" y="4246880"/>
              </a:cubicBezTo>
              <a:cubicBezTo>
                <a:pt x="738293" y="4328160"/>
                <a:pt x="738431" y="4410268"/>
                <a:pt x="751840" y="4490720"/>
              </a:cubicBezTo>
              <a:cubicBezTo>
                <a:pt x="758883" y="4532975"/>
                <a:pt x="784079" y="4570634"/>
                <a:pt x="792480" y="4612640"/>
              </a:cubicBezTo>
              <a:cubicBezTo>
                <a:pt x="822193" y="4761205"/>
                <a:pt x="807916" y="4680050"/>
                <a:pt x="833120" y="4856480"/>
              </a:cubicBezTo>
              <a:cubicBezTo>
                <a:pt x="839893" y="5093547"/>
                <a:pt x="841597" y="5330812"/>
                <a:pt x="853440" y="5567680"/>
              </a:cubicBezTo>
              <a:cubicBezTo>
                <a:pt x="863224" y="5763360"/>
                <a:pt x="883049" y="5575227"/>
                <a:pt x="955040" y="5791200"/>
              </a:cubicBezTo>
              <a:cubicBezTo>
                <a:pt x="961813" y="5811520"/>
                <a:pt x="954451" y="5847514"/>
                <a:pt x="975360" y="5852160"/>
              </a:cubicBezTo>
              <a:cubicBezTo>
                <a:pt x="1087959" y="5877182"/>
                <a:pt x="1205653" y="5865707"/>
                <a:pt x="1320800" y="5872480"/>
              </a:cubicBezTo>
              <a:cubicBezTo>
                <a:pt x="1347893" y="5879253"/>
                <a:pt x="1375227" y="5885128"/>
                <a:pt x="1402080" y="5892800"/>
              </a:cubicBezTo>
              <a:cubicBezTo>
                <a:pt x="1422675" y="5898684"/>
                <a:pt x="1441621" y="5913120"/>
                <a:pt x="1463040" y="5913120"/>
              </a:cubicBezTo>
              <a:cubicBezTo>
                <a:pt x="1504241" y="5913120"/>
                <a:pt x="1544320" y="5899573"/>
                <a:pt x="1584960" y="5892800"/>
              </a:cubicBezTo>
              <a:cubicBezTo>
                <a:pt x="1605280" y="5879253"/>
                <a:pt x="1642891" y="5876393"/>
                <a:pt x="1645920" y="5852160"/>
              </a:cubicBezTo>
              <a:cubicBezTo>
                <a:pt x="1651233" y="5809652"/>
                <a:pt x="1605280" y="5730240"/>
                <a:pt x="1605280" y="5730240"/>
              </a:cubicBezTo>
              <a:cubicBezTo>
                <a:pt x="1578902" y="5545592"/>
                <a:pt x="1600106" y="5633437"/>
                <a:pt x="1544320" y="5466080"/>
              </a:cubicBezTo>
              <a:cubicBezTo>
                <a:pt x="1537547" y="5445760"/>
                <a:pt x="1541822" y="5417001"/>
                <a:pt x="1524000" y="5405120"/>
              </a:cubicBezTo>
              <a:cubicBezTo>
                <a:pt x="1483360" y="5378027"/>
                <a:pt x="1436617" y="5358377"/>
                <a:pt x="1402080" y="5323840"/>
              </a:cubicBezTo>
              <a:cubicBezTo>
                <a:pt x="1323851" y="5245611"/>
                <a:pt x="1365030" y="5278820"/>
                <a:pt x="1280160" y="5222240"/>
              </a:cubicBezTo>
              <a:cubicBezTo>
                <a:pt x="1266613" y="5181600"/>
                <a:pt x="1263282" y="5135964"/>
                <a:pt x="1239520" y="5100320"/>
              </a:cubicBezTo>
              <a:cubicBezTo>
                <a:pt x="1146359" y="4960578"/>
                <a:pt x="1173686" y="5024737"/>
                <a:pt x="1137920" y="4917440"/>
              </a:cubicBezTo>
              <a:cubicBezTo>
                <a:pt x="1144693" y="4856480"/>
                <a:pt x="1148157" y="4795061"/>
                <a:pt x="1158240" y="4734560"/>
              </a:cubicBezTo>
              <a:cubicBezTo>
                <a:pt x="1164008" y="4699953"/>
                <a:pt x="1203108" y="4614849"/>
                <a:pt x="1219200" y="4592320"/>
              </a:cubicBezTo>
              <a:cubicBezTo>
                <a:pt x="1235903" y="4568936"/>
                <a:pt x="1259840" y="4551680"/>
                <a:pt x="1280160" y="4531360"/>
              </a:cubicBezTo>
              <a:cubicBezTo>
                <a:pt x="1286933" y="4470400"/>
                <a:pt x="1262164" y="4396375"/>
                <a:pt x="1300480" y="4348480"/>
              </a:cubicBezTo>
              <a:cubicBezTo>
                <a:pt x="1321636" y="4322035"/>
                <a:pt x="1346294" y="4399469"/>
                <a:pt x="1361440" y="4429760"/>
              </a:cubicBezTo>
              <a:cubicBezTo>
                <a:pt x="1506528" y="4719937"/>
                <a:pt x="1323176" y="4433323"/>
                <a:pt x="1442720" y="4612640"/>
              </a:cubicBezTo>
              <a:cubicBezTo>
                <a:pt x="1453748" y="4899355"/>
                <a:pt x="1423922" y="5064245"/>
                <a:pt x="1503680" y="5303520"/>
              </a:cubicBezTo>
              <a:cubicBezTo>
                <a:pt x="1510453" y="5323840"/>
                <a:pt x="1512119" y="5346658"/>
                <a:pt x="1524000" y="5364480"/>
              </a:cubicBezTo>
              <a:cubicBezTo>
                <a:pt x="1539940" y="5388390"/>
                <a:pt x="1564640" y="5405120"/>
                <a:pt x="1584960" y="5425440"/>
              </a:cubicBezTo>
              <a:cubicBezTo>
                <a:pt x="1591733" y="5459307"/>
                <a:pt x="1596193" y="5493720"/>
                <a:pt x="1605280" y="5527040"/>
              </a:cubicBezTo>
              <a:cubicBezTo>
                <a:pt x="1616552" y="5568369"/>
                <a:pt x="1637519" y="5606954"/>
                <a:pt x="1645920" y="5648960"/>
              </a:cubicBezTo>
              <a:cubicBezTo>
                <a:pt x="1652693" y="5682827"/>
                <a:pt x="1649105" y="5720573"/>
                <a:pt x="1666240" y="5750560"/>
              </a:cubicBezTo>
              <a:cubicBezTo>
                <a:pt x="1678357" y="5771764"/>
                <a:pt x="1706880" y="5777653"/>
                <a:pt x="1727200" y="5791200"/>
              </a:cubicBezTo>
              <a:cubicBezTo>
                <a:pt x="1815253" y="5784427"/>
                <a:pt x="1903532" y="5780125"/>
                <a:pt x="1991360" y="5770880"/>
              </a:cubicBezTo>
              <a:cubicBezTo>
                <a:pt x="2032334" y="5766567"/>
                <a:pt x="2086904" y="5782211"/>
                <a:pt x="2113280" y="5750560"/>
              </a:cubicBezTo>
              <a:cubicBezTo>
                <a:pt x="2135390" y="5724028"/>
                <a:pt x="2102047" y="5682280"/>
                <a:pt x="2092960" y="5648960"/>
              </a:cubicBezTo>
              <a:cubicBezTo>
                <a:pt x="2054132" y="5506589"/>
                <a:pt x="2056406" y="5533169"/>
                <a:pt x="1971040" y="5405120"/>
              </a:cubicBezTo>
              <a:lnTo>
                <a:pt x="1971040" y="5405120"/>
              </a:lnTo>
              <a:cubicBezTo>
                <a:pt x="1922677" y="5260032"/>
                <a:pt x="1954162" y="5318844"/>
                <a:pt x="1889760" y="5222240"/>
              </a:cubicBezTo>
              <a:cubicBezTo>
                <a:pt x="1882987" y="5195147"/>
                <a:pt x="1877112" y="5167813"/>
                <a:pt x="1869440" y="5140960"/>
              </a:cubicBezTo>
              <a:cubicBezTo>
                <a:pt x="1863556" y="5120365"/>
                <a:pt x="1853936" y="5100871"/>
                <a:pt x="1849120" y="5080000"/>
              </a:cubicBezTo>
              <a:cubicBezTo>
                <a:pt x="1811595" y="4917393"/>
                <a:pt x="1809576" y="4884470"/>
                <a:pt x="1788160" y="4734560"/>
              </a:cubicBezTo>
              <a:cubicBezTo>
                <a:pt x="1819069" y="3869099"/>
                <a:pt x="1761041" y="4389234"/>
                <a:pt x="1828800" y="4084320"/>
              </a:cubicBezTo>
              <a:cubicBezTo>
                <a:pt x="1836292" y="4050605"/>
                <a:pt x="1834828" y="4014162"/>
                <a:pt x="1849120" y="3982720"/>
              </a:cubicBezTo>
              <a:cubicBezTo>
                <a:pt x="1869331" y="3938255"/>
                <a:pt x="1889760" y="3887893"/>
                <a:pt x="1930400" y="3860800"/>
              </a:cubicBezTo>
              <a:lnTo>
                <a:pt x="2052320" y="3779520"/>
              </a:lnTo>
              <a:cubicBezTo>
                <a:pt x="2072640" y="3765973"/>
                <a:pt x="2096011" y="3756149"/>
                <a:pt x="2113280" y="3738880"/>
              </a:cubicBezTo>
              <a:cubicBezTo>
                <a:pt x="2158220" y="3693940"/>
                <a:pt x="2178620" y="3665570"/>
                <a:pt x="2235200" y="3637280"/>
              </a:cubicBezTo>
              <a:cubicBezTo>
                <a:pt x="2254358" y="3627701"/>
                <a:pt x="2275840" y="3623733"/>
                <a:pt x="2296160" y="3616960"/>
              </a:cubicBezTo>
              <a:cubicBezTo>
                <a:pt x="2402477" y="3626625"/>
                <a:pt x="2516303" y="3628970"/>
                <a:pt x="2621280" y="3657600"/>
              </a:cubicBezTo>
              <a:cubicBezTo>
                <a:pt x="2662609" y="3668872"/>
                <a:pt x="2702560" y="3684693"/>
                <a:pt x="2743200" y="3698240"/>
              </a:cubicBezTo>
              <a:cubicBezTo>
                <a:pt x="2763520" y="3705013"/>
                <a:pt x="2786338" y="3706679"/>
                <a:pt x="2804160" y="3718560"/>
              </a:cubicBezTo>
              <a:cubicBezTo>
                <a:pt x="2824480" y="3732107"/>
                <a:pt x="2842803" y="3749281"/>
                <a:pt x="2865120" y="3759200"/>
              </a:cubicBezTo>
              <a:cubicBezTo>
                <a:pt x="2904266" y="3776598"/>
                <a:pt x="2946400" y="3786293"/>
                <a:pt x="2987040" y="3799840"/>
              </a:cubicBezTo>
              <a:lnTo>
                <a:pt x="3108960" y="3840480"/>
              </a:lnTo>
              <a:cubicBezTo>
                <a:pt x="3129280" y="3847253"/>
                <a:pt x="3148917" y="3856599"/>
                <a:pt x="3169920" y="3860800"/>
              </a:cubicBezTo>
              <a:lnTo>
                <a:pt x="3271520" y="3881120"/>
              </a:lnTo>
              <a:cubicBezTo>
                <a:pt x="3417350" y="3978340"/>
                <a:pt x="3358903" y="3927863"/>
                <a:pt x="3454400" y="4023360"/>
              </a:cubicBezTo>
              <a:cubicBezTo>
                <a:pt x="3474720" y="4009813"/>
                <a:pt x="3506290" y="4005395"/>
                <a:pt x="3515360" y="3982720"/>
              </a:cubicBezTo>
              <a:cubicBezTo>
                <a:pt x="3522965" y="3963707"/>
                <a:pt x="3453568" y="3879813"/>
                <a:pt x="3515360" y="3860800"/>
              </a:cubicBezTo>
              <a:cubicBezTo>
                <a:pt x="3593315" y="3836814"/>
                <a:pt x="3677920" y="3847253"/>
                <a:pt x="3759200" y="3840480"/>
              </a:cubicBezTo>
              <a:cubicBezTo>
                <a:pt x="3779520" y="3833707"/>
                <a:pt x="3798750" y="3819530"/>
                <a:pt x="3820160" y="3820160"/>
              </a:cubicBezTo>
              <a:cubicBezTo>
                <a:pt x="4030479" y="3826346"/>
                <a:pt x="4450080" y="3860800"/>
                <a:pt x="4450080" y="3860800"/>
              </a:cubicBezTo>
              <a:cubicBezTo>
                <a:pt x="4531360" y="3854027"/>
                <a:pt x="4613106" y="3851500"/>
                <a:pt x="4693920" y="3840480"/>
              </a:cubicBezTo>
              <a:cubicBezTo>
                <a:pt x="4762361" y="3831147"/>
                <a:pt x="4828329" y="3806094"/>
                <a:pt x="4897120" y="3799840"/>
              </a:cubicBezTo>
              <a:lnTo>
                <a:pt x="5120640" y="3779520"/>
              </a:lnTo>
              <a:cubicBezTo>
                <a:pt x="5128575" y="3795391"/>
                <a:pt x="5181600" y="3891861"/>
                <a:pt x="5181600" y="3921760"/>
              </a:cubicBezTo>
              <a:cubicBezTo>
                <a:pt x="5181600" y="4207239"/>
                <a:pt x="5183939" y="4176566"/>
                <a:pt x="5140960" y="4348480"/>
              </a:cubicBezTo>
              <a:cubicBezTo>
                <a:pt x="5126393" y="4479583"/>
                <a:pt x="5099809" y="4602878"/>
                <a:pt x="5140960" y="4734560"/>
              </a:cubicBezTo>
              <a:cubicBezTo>
                <a:pt x="5155529" y="4781180"/>
                <a:pt x="5222240" y="4856480"/>
                <a:pt x="5222240" y="4856480"/>
              </a:cubicBezTo>
              <a:cubicBezTo>
                <a:pt x="5208693" y="4978400"/>
                <a:pt x="5196216" y="5100444"/>
                <a:pt x="5181600" y="5222240"/>
              </a:cubicBezTo>
              <a:cubicBezTo>
                <a:pt x="5175894" y="5269794"/>
                <a:pt x="5161280" y="5316585"/>
                <a:pt x="5161280" y="5364480"/>
              </a:cubicBezTo>
              <a:cubicBezTo>
                <a:pt x="5161280" y="5687102"/>
                <a:pt x="5146759" y="5625716"/>
                <a:pt x="5201920" y="5791200"/>
              </a:cubicBezTo>
              <a:cubicBezTo>
                <a:pt x="5192338" y="5819947"/>
                <a:pt x="5161280" y="5907925"/>
                <a:pt x="5161280" y="5933440"/>
              </a:cubicBezTo>
              <a:cubicBezTo>
                <a:pt x="5161280" y="5954859"/>
                <a:pt x="5171198" y="5975676"/>
                <a:pt x="5181600" y="5994400"/>
              </a:cubicBezTo>
              <a:cubicBezTo>
                <a:pt x="5227644" y="6077278"/>
                <a:pt x="5237206" y="6125811"/>
                <a:pt x="5323840" y="6136640"/>
              </a:cubicBezTo>
              <a:cubicBezTo>
                <a:pt x="5411471" y="6147594"/>
                <a:pt x="5500125" y="6148172"/>
                <a:pt x="5588000" y="6156960"/>
              </a:cubicBezTo>
              <a:cubicBezTo>
                <a:pt x="5635657" y="6161726"/>
                <a:pt x="5682827" y="6170507"/>
                <a:pt x="5730240" y="6177280"/>
              </a:cubicBezTo>
              <a:cubicBezTo>
                <a:pt x="5764107" y="6170507"/>
                <a:pt x="5803103" y="6176118"/>
                <a:pt x="5831840" y="6156960"/>
              </a:cubicBezTo>
              <a:cubicBezTo>
                <a:pt x="5849662" y="6145079"/>
                <a:pt x="5847959" y="6117003"/>
                <a:pt x="5852160" y="6096000"/>
              </a:cubicBezTo>
              <a:cubicBezTo>
                <a:pt x="5861553" y="6049035"/>
                <a:pt x="5851061" y="5996598"/>
                <a:pt x="5872480" y="5953760"/>
              </a:cubicBezTo>
              <a:cubicBezTo>
                <a:pt x="5882059" y="5934602"/>
                <a:pt x="5913120" y="5940213"/>
                <a:pt x="5933440" y="5933440"/>
              </a:cubicBezTo>
              <a:cubicBezTo>
                <a:pt x="5946987" y="5913120"/>
                <a:pt x="5971051" y="5896713"/>
                <a:pt x="5974080" y="5872480"/>
              </a:cubicBezTo>
              <a:cubicBezTo>
                <a:pt x="5981694" y="5811571"/>
                <a:pt x="5949779" y="5753911"/>
                <a:pt x="5913120" y="5709920"/>
              </a:cubicBezTo>
              <a:cubicBezTo>
                <a:pt x="5894723" y="5687844"/>
                <a:pt x="5868863" y="5672344"/>
                <a:pt x="5852160" y="5648960"/>
              </a:cubicBezTo>
              <a:cubicBezTo>
                <a:pt x="5834554" y="5624311"/>
                <a:pt x="5825067" y="5594773"/>
                <a:pt x="5811520" y="5567680"/>
              </a:cubicBezTo>
              <a:cubicBezTo>
                <a:pt x="5797210" y="5438890"/>
                <a:pt x="5801935" y="5407038"/>
                <a:pt x="5770880" y="5303520"/>
              </a:cubicBezTo>
              <a:cubicBezTo>
                <a:pt x="5758570" y="5262488"/>
                <a:pt x="5730240" y="5181600"/>
                <a:pt x="5730240" y="5181600"/>
              </a:cubicBezTo>
              <a:cubicBezTo>
                <a:pt x="5770058" y="4942693"/>
                <a:pt x="5730463" y="5160276"/>
                <a:pt x="5770880" y="4978400"/>
              </a:cubicBezTo>
              <a:cubicBezTo>
                <a:pt x="5778372" y="4944685"/>
                <a:pt x="5782113" y="4910120"/>
                <a:pt x="5791200" y="4876800"/>
              </a:cubicBezTo>
              <a:cubicBezTo>
                <a:pt x="5802472" y="4835471"/>
                <a:pt x="5808078" y="4790524"/>
                <a:pt x="5831840" y="4754880"/>
              </a:cubicBezTo>
              <a:cubicBezTo>
                <a:pt x="5845387" y="4734560"/>
                <a:pt x="5862561" y="4716237"/>
                <a:pt x="5872480" y="4693920"/>
              </a:cubicBezTo>
              <a:cubicBezTo>
                <a:pt x="5889878" y="4654774"/>
                <a:pt x="5899573" y="4612640"/>
                <a:pt x="5913120" y="4572000"/>
              </a:cubicBezTo>
              <a:cubicBezTo>
                <a:pt x="5941320" y="4487399"/>
                <a:pt x="5934143" y="4517331"/>
                <a:pt x="5953760" y="4409440"/>
              </a:cubicBezTo>
              <a:cubicBezTo>
                <a:pt x="5965187" y="4346594"/>
                <a:pt x="5977621" y="4221249"/>
                <a:pt x="6014720" y="4165600"/>
              </a:cubicBezTo>
              <a:cubicBezTo>
                <a:pt x="6028267" y="4145280"/>
                <a:pt x="6034651" y="4117583"/>
                <a:pt x="6055360" y="4104640"/>
              </a:cubicBezTo>
              <a:cubicBezTo>
                <a:pt x="6107859" y="4071828"/>
                <a:pt x="6217658" y="4057285"/>
                <a:pt x="6278880" y="4043680"/>
              </a:cubicBezTo>
              <a:cubicBezTo>
                <a:pt x="6306142" y="4037622"/>
                <a:pt x="6332775" y="4028837"/>
                <a:pt x="6360160" y="4023360"/>
              </a:cubicBezTo>
              <a:cubicBezTo>
                <a:pt x="6538970" y="3987598"/>
                <a:pt x="6424402" y="4022266"/>
                <a:pt x="6543040" y="3982720"/>
              </a:cubicBezTo>
              <a:cubicBezTo>
                <a:pt x="6678327" y="3847433"/>
                <a:pt x="6550802" y="3993133"/>
                <a:pt x="6624320" y="3860800"/>
              </a:cubicBezTo>
              <a:cubicBezTo>
                <a:pt x="6648040" y="3818103"/>
                <a:pt x="6678507" y="3779520"/>
                <a:pt x="6705600" y="3738880"/>
              </a:cubicBezTo>
              <a:cubicBezTo>
                <a:pt x="6719147" y="3718560"/>
                <a:pt x="6738517" y="3701088"/>
                <a:pt x="6746240" y="3677920"/>
              </a:cubicBezTo>
              <a:cubicBezTo>
                <a:pt x="6759787" y="3637280"/>
                <a:pt x="6763118" y="3591644"/>
                <a:pt x="6786880" y="3556000"/>
              </a:cubicBezTo>
              <a:cubicBezTo>
                <a:pt x="6800427" y="3535680"/>
                <a:pt x="6816598" y="3516883"/>
                <a:pt x="6827520" y="3495040"/>
              </a:cubicBezTo>
              <a:cubicBezTo>
                <a:pt x="6837099" y="3475882"/>
                <a:pt x="6838261" y="3453238"/>
                <a:pt x="6847840" y="3434080"/>
              </a:cubicBezTo>
              <a:cubicBezTo>
                <a:pt x="6858762" y="3412237"/>
                <a:pt x="6877558" y="3394963"/>
                <a:pt x="6888480" y="3373120"/>
              </a:cubicBezTo>
              <a:cubicBezTo>
                <a:pt x="6898059" y="3353962"/>
                <a:pt x="6891371" y="3324610"/>
                <a:pt x="6908800" y="3312160"/>
              </a:cubicBezTo>
              <a:cubicBezTo>
                <a:pt x="6943659" y="3287261"/>
                <a:pt x="7030720" y="3271520"/>
                <a:pt x="7030720" y="3271520"/>
              </a:cubicBezTo>
              <a:cubicBezTo>
                <a:pt x="7137251" y="3164989"/>
                <a:pt x="7068109" y="3258515"/>
                <a:pt x="7112000" y="3068320"/>
              </a:cubicBezTo>
              <a:cubicBezTo>
                <a:pt x="7149250" y="2906905"/>
                <a:pt x="7130719" y="2984897"/>
                <a:pt x="7213600" y="2885440"/>
              </a:cubicBezTo>
              <a:cubicBezTo>
                <a:pt x="7229234" y="2866679"/>
                <a:pt x="7235861" y="2840562"/>
                <a:pt x="7254240" y="2824480"/>
              </a:cubicBezTo>
              <a:lnTo>
                <a:pt x="7437120" y="2702560"/>
              </a:lnTo>
              <a:cubicBezTo>
                <a:pt x="7457440" y="2689013"/>
                <a:pt x="7474912" y="2669643"/>
                <a:pt x="7498080" y="2661920"/>
              </a:cubicBezTo>
              <a:lnTo>
                <a:pt x="7620000" y="2621280"/>
              </a:lnTo>
              <a:cubicBezTo>
                <a:pt x="7647093" y="2600960"/>
                <a:pt x="7673535" y="2579741"/>
                <a:pt x="7701280" y="2560320"/>
              </a:cubicBezTo>
              <a:cubicBezTo>
                <a:pt x="7741294" y="2532310"/>
                <a:pt x="7788663" y="2513577"/>
                <a:pt x="7823200" y="2479040"/>
              </a:cubicBezTo>
              <a:lnTo>
                <a:pt x="7884160" y="2418080"/>
              </a:lnTo>
              <a:cubicBezTo>
                <a:pt x="8073813" y="2424853"/>
                <a:pt x="8263739" y="2426182"/>
                <a:pt x="8453120" y="2438400"/>
              </a:cubicBezTo>
              <a:cubicBezTo>
                <a:pt x="8474495" y="2439779"/>
                <a:pt x="8494922" y="2449141"/>
                <a:pt x="8514080" y="2458720"/>
              </a:cubicBezTo>
              <a:cubicBezTo>
                <a:pt x="8535923" y="2469642"/>
                <a:pt x="8554720" y="2485813"/>
                <a:pt x="8575040" y="2499360"/>
              </a:cubicBezTo>
              <a:cubicBezTo>
                <a:pt x="8678574" y="2430337"/>
                <a:pt x="8632974" y="2441859"/>
                <a:pt x="8818880" y="2479040"/>
              </a:cubicBezTo>
              <a:cubicBezTo>
                <a:pt x="8860886" y="2487441"/>
                <a:pt x="8940800" y="2519680"/>
                <a:pt x="8940800" y="2519680"/>
              </a:cubicBezTo>
              <a:cubicBezTo>
                <a:pt x="9059544" y="2502717"/>
                <a:pt x="9077673" y="2502810"/>
                <a:pt x="9184640" y="2479040"/>
              </a:cubicBezTo>
              <a:cubicBezTo>
                <a:pt x="9327568" y="2447278"/>
                <a:pt x="9208081" y="2472342"/>
                <a:pt x="9326880" y="2438400"/>
              </a:cubicBezTo>
              <a:cubicBezTo>
                <a:pt x="9353733" y="2430728"/>
                <a:pt x="9381067" y="2424853"/>
                <a:pt x="9408160" y="2418080"/>
              </a:cubicBezTo>
              <a:cubicBezTo>
                <a:pt x="9414933" y="2363893"/>
                <a:pt x="9392200" y="2296335"/>
                <a:pt x="9428480" y="2255520"/>
              </a:cubicBezTo>
              <a:cubicBezTo>
                <a:pt x="9460300" y="2219723"/>
                <a:pt x="9539551" y="2271564"/>
                <a:pt x="9570720" y="2235200"/>
              </a:cubicBezTo>
              <a:cubicBezTo>
                <a:pt x="9597533" y="2203918"/>
                <a:pt x="9556227" y="2154066"/>
                <a:pt x="9550400" y="2113280"/>
              </a:cubicBezTo>
              <a:cubicBezTo>
                <a:pt x="9542677" y="2059220"/>
                <a:pt x="9539849" y="2004448"/>
                <a:pt x="9530080" y="1950720"/>
              </a:cubicBezTo>
              <a:cubicBezTo>
                <a:pt x="9516668" y="1876953"/>
                <a:pt x="9470667" y="1831121"/>
                <a:pt x="9428480" y="1767840"/>
              </a:cubicBezTo>
              <a:lnTo>
                <a:pt x="9387840" y="1706880"/>
              </a:lnTo>
              <a:cubicBezTo>
                <a:pt x="9374293" y="1686560"/>
                <a:pt x="9354923" y="1669088"/>
                <a:pt x="9347200" y="1645920"/>
              </a:cubicBezTo>
              <a:cubicBezTo>
                <a:pt x="9340427" y="1625600"/>
                <a:pt x="9337282" y="1603684"/>
                <a:pt x="9326880" y="1584960"/>
              </a:cubicBezTo>
              <a:cubicBezTo>
                <a:pt x="9266117" y="1475587"/>
                <a:pt x="9258688" y="1476128"/>
                <a:pt x="9184640" y="1402080"/>
              </a:cubicBezTo>
              <a:cubicBezTo>
                <a:pt x="9124401" y="1161124"/>
                <a:pt x="9216808" y="1542602"/>
                <a:pt x="9144000" y="1178560"/>
              </a:cubicBezTo>
              <a:cubicBezTo>
                <a:pt x="9139799" y="1157557"/>
                <a:pt x="9129564" y="1138195"/>
                <a:pt x="9123680" y="1117600"/>
              </a:cubicBezTo>
              <a:cubicBezTo>
                <a:pt x="9116008" y="1090747"/>
                <a:pt x="9114361" y="1061989"/>
                <a:pt x="9103360" y="1036320"/>
              </a:cubicBezTo>
              <a:cubicBezTo>
                <a:pt x="9073655" y="967009"/>
                <a:pt x="9048364" y="974320"/>
                <a:pt x="9001760" y="914400"/>
              </a:cubicBezTo>
              <a:cubicBezTo>
                <a:pt x="8909848" y="796227"/>
                <a:pt x="8924410" y="804269"/>
                <a:pt x="8879840" y="670560"/>
              </a:cubicBezTo>
              <a:lnTo>
                <a:pt x="8859520" y="609600"/>
              </a:lnTo>
              <a:cubicBezTo>
                <a:pt x="8873067" y="541867"/>
                <a:pt x="8834630" y="428243"/>
                <a:pt x="8900160" y="406400"/>
              </a:cubicBezTo>
              <a:cubicBezTo>
                <a:pt x="9081331" y="346010"/>
                <a:pt x="8795448" y="442630"/>
                <a:pt x="9062720" y="345440"/>
              </a:cubicBezTo>
              <a:cubicBezTo>
                <a:pt x="9222317" y="287405"/>
                <a:pt x="9140725" y="334077"/>
                <a:pt x="9245600" y="264160"/>
              </a:cubicBezTo>
              <a:cubicBezTo>
                <a:pt x="9254157" y="251324"/>
                <a:pt x="9317076" y="168530"/>
                <a:pt x="9306560" y="142240"/>
              </a:cubicBezTo>
              <a:cubicBezTo>
                <a:pt x="9297490" y="119565"/>
                <a:pt x="9265920" y="115147"/>
                <a:pt x="9245600" y="101600"/>
              </a:cubicBezTo>
              <a:cubicBezTo>
                <a:pt x="9218507" y="108373"/>
                <a:pt x="9191705" y="116443"/>
                <a:pt x="9164320" y="121920"/>
              </a:cubicBezTo>
              <a:cubicBezTo>
                <a:pt x="9123920" y="130000"/>
                <a:pt x="9082370" y="132247"/>
                <a:pt x="9042400" y="142240"/>
              </a:cubicBezTo>
              <a:cubicBezTo>
                <a:pt x="8832705" y="194664"/>
                <a:pt x="8992955" y="156802"/>
                <a:pt x="8859520" y="223520"/>
              </a:cubicBezTo>
              <a:cubicBezTo>
                <a:pt x="8840362" y="233099"/>
                <a:pt x="8817718" y="234261"/>
                <a:pt x="8798560" y="243840"/>
              </a:cubicBezTo>
              <a:cubicBezTo>
                <a:pt x="8776717" y="254762"/>
                <a:pt x="8756361" y="268846"/>
                <a:pt x="8737600" y="284480"/>
              </a:cubicBezTo>
              <a:cubicBezTo>
                <a:pt x="8715524" y="302877"/>
                <a:pt x="8701760" y="331484"/>
                <a:pt x="8676640" y="345440"/>
              </a:cubicBezTo>
              <a:cubicBezTo>
                <a:pt x="8639193" y="366244"/>
                <a:pt x="8554720" y="386080"/>
                <a:pt x="8554720" y="386080"/>
              </a:cubicBezTo>
              <a:cubicBezTo>
                <a:pt x="8514080" y="372533"/>
                <a:pt x="8425757" y="387695"/>
                <a:pt x="8432800" y="345440"/>
              </a:cubicBezTo>
              <a:cubicBezTo>
                <a:pt x="8439573" y="304800"/>
                <a:pt x="8429493" y="257273"/>
                <a:pt x="8453120" y="223520"/>
              </a:cubicBezTo>
              <a:cubicBezTo>
                <a:pt x="8481130" y="183506"/>
                <a:pt x="8575040" y="142240"/>
                <a:pt x="8575040" y="142240"/>
              </a:cubicBezTo>
              <a:cubicBezTo>
                <a:pt x="8581813" y="121920"/>
                <a:pt x="8585781" y="100438"/>
                <a:pt x="8595360" y="81280"/>
              </a:cubicBezTo>
              <a:cubicBezTo>
                <a:pt x="8606282" y="59437"/>
                <a:pt x="8641923" y="44012"/>
                <a:pt x="8636000" y="20320"/>
              </a:cubicBezTo>
              <a:cubicBezTo>
                <a:pt x="8630805" y="-460"/>
                <a:pt x="8595360" y="6773"/>
                <a:pt x="8575040" y="0"/>
              </a:cubicBezTo>
              <a:cubicBezTo>
                <a:pt x="8486987" y="6773"/>
                <a:pt x="8397681" y="4045"/>
                <a:pt x="8310880" y="20320"/>
              </a:cubicBezTo>
              <a:cubicBezTo>
                <a:pt x="8246372" y="32415"/>
                <a:pt x="8189283" y="151916"/>
                <a:pt x="8168640" y="182880"/>
              </a:cubicBezTo>
              <a:cubicBezTo>
                <a:pt x="8155093" y="203200"/>
                <a:pt x="8135723" y="220672"/>
                <a:pt x="8128000" y="243840"/>
              </a:cubicBezTo>
              <a:cubicBezTo>
                <a:pt x="8098849" y="331294"/>
                <a:pt x="8112875" y="284020"/>
                <a:pt x="8087360" y="386080"/>
              </a:cubicBezTo>
              <a:cubicBezTo>
                <a:pt x="8019627" y="379307"/>
                <a:pt x="7951440" y="376111"/>
                <a:pt x="7884160" y="365760"/>
              </a:cubicBezTo>
              <a:cubicBezTo>
                <a:pt x="7862990" y="362503"/>
                <a:pt x="7844619" y="345440"/>
                <a:pt x="7823200" y="345440"/>
              </a:cubicBezTo>
              <a:cubicBezTo>
                <a:pt x="7687564" y="345440"/>
                <a:pt x="7552267" y="358987"/>
                <a:pt x="7416800" y="365760"/>
              </a:cubicBezTo>
              <a:cubicBezTo>
                <a:pt x="7396480" y="372533"/>
                <a:pt x="7370986" y="370934"/>
                <a:pt x="7355840" y="386080"/>
              </a:cubicBezTo>
              <a:cubicBezTo>
                <a:pt x="7340694" y="401226"/>
                <a:pt x="7339352" y="425966"/>
                <a:pt x="7335520" y="447040"/>
              </a:cubicBezTo>
              <a:cubicBezTo>
                <a:pt x="7325751" y="500768"/>
                <a:pt x="7337379" y="559698"/>
                <a:pt x="7315200" y="609600"/>
              </a:cubicBezTo>
              <a:cubicBezTo>
                <a:pt x="7306501" y="629173"/>
                <a:pt x="7275243" y="625719"/>
                <a:pt x="7254240" y="629920"/>
              </a:cubicBezTo>
              <a:cubicBezTo>
                <a:pt x="7207275" y="639313"/>
                <a:pt x="7159413" y="643467"/>
                <a:pt x="7112000" y="650240"/>
              </a:cubicBezTo>
              <a:cubicBezTo>
                <a:pt x="6962987" y="643467"/>
                <a:pt x="6813652" y="641815"/>
                <a:pt x="6664960" y="629920"/>
              </a:cubicBezTo>
              <a:cubicBezTo>
                <a:pt x="6618236" y="626182"/>
                <a:pt x="6562385" y="582182"/>
                <a:pt x="6522720" y="568960"/>
              </a:cubicBezTo>
              <a:cubicBezTo>
                <a:pt x="6489955" y="558038"/>
                <a:pt x="6454835" y="556132"/>
                <a:pt x="6421120" y="548640"/>
              </a:cubicBezTo>
              <a:cubicBezTo>
                <a:pt x="6393858" y="542582"/>
                <a:pt x="6366693" y="535992"/>
                <a:pt x="6339840" y="528320"/>
              </a:cubicBezTo>
              <a:cubicBezTo>
                <a:pt x="6319245" y="522436"/>
                <a:pt x="6300245" y="509526"/>
                <a:pt x="6278880" y="508000"/>
              </a:cubicBezTo>
              <a:cubicBezTo>
                <a:pt x="6109842" y="495926"/>
                <a:pt x="5940213" y="494453"/>
                <a:pt x="5770880" y="487680"/>
              </a:cubicBezTo>
              <a:cubicBezTo>
                <a:pt x="5696373" y="494453"/>
                <a:pt x="5620721" y="493328"/>
                <a:pt x="5547360" y="508000"/>
              </a:cubicBezTo>
              <a:cubicBezTo>
                <a:pt x="5339343" y="549603"/>
                <a:pt x="5589283" y="551920"/>
                <a:pt x="5384800" y="568960"/>
              </a:cubicBezTo>
              <a:cubicBezTo>
                <a:pt x="5249633" y="580224"/>
                <a:pt x="5113867" y="582507"/>
                <a:pt x="4978400" y="589280"/>
              </a:cubicBezTo>
              <a:cubicBezTo>
                <a:pt x="4951307" y="596053"/>
                <a:pt x="4924667" y="605009"/>
                <a:pt x="4897120" y="609600"/>
              </a:cubicBezTo>
              <a:cubicBezTo>
                <a:pt x="4824947" y="621629"/>
                <a:pt x="4689386" y="631054"/>
                <a:pt x="4612640" y="650240"/>
              </a:cubicBezTo>
              <a:cubicBezTo>
                <a:pt x="4571081" y="660630"/>
                <a:pt x="4532726" y="682479"/>
                <a:pt x="4490720" y="690880"/>
              </a:cubicBezTo>
              <a:cubicBezTo>
                <a:pt x="4422987" y="704427"/>
                <a:pt x="4353050" y="709677"/>
                <a:pt x="4287520" y="731520"/>
              </a:cubicBezTo>
              <a:lnTo>
                <a:pt x="4226560" y="751840"/>
              </a:lnTo>
            </a:path>
          </a:pathLst>
        </a:custGeom>
        <a:solidFill>
          <a:sysClr val="windowText" lastClr="000000"/>
        </a:solidFill>
        <a:ln w="25400" cap="flat" cmpd="sng" algn="ctr">
          <a:noFill/>
          <a:prstDash val="solid"/>
        </a:ln>
        <a:effectLst/>
        <a:scene3d>
          <a:camera prst="orthographicFront">
            <a:rot lat="0" lon="10800000" rev="0"/>
          </a:camera>
          <a:lightRig rig="threePt" dir="t"/>
        </a:scene3d>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defRPr/>
          </a:pPr>
          <a:endParaRPr kumimoji="0" lang="ja-JP" altLang="en-US" sz="2000" kern="0">
            <a:solidFill>
              <a:prstClr val="white"/>
            </a:solidFill>
            <a:latin typeface="Calibri"/>
            <a:ea typeface="ＭＳ Ｐゴシック"/>
          </a:endParaRPr>
        </a:p>
      </xdr:txBody>
    </xdr:sp>
    <xdr:clientData/>
  </xdr:twoCellAnchor>
  <xdr:twoCellAnchor>
    <xdr:from>
      <xdr:col>3</xdr:col>
      <xdr:colOff>638175</xdr:colOff>
      <xdr:row>11</xdr:row>
      <xdr:rowOff>57150</xdr:rowOff>
    </xdr:from>
    <xdr:to>
      <xdr:col>4</xdr:col>
      <xdr:colOff>314325</xdr:colOff>
      <xdr:row>12</xdr:row>
      <xdr:rowOff>139513</xdr:rowOff>
    </xdr:to>
    <xdr:sp macro="" textlink="">
      <xdr:nvSpPr>
        <xdr:cNvPr id="27" name="フリーフォーム 26"/>
        <xdr:cNvSpPr/>
      </xdr:nvSpPr>
      <xdr:spPr bwMode="auto">
        <a:xfrm flipH="1">
          <a:off x="2695575" y="1943100"/>
          <a:ext cx="361950" cy="253813"/>
        </a:xfrm>
        <a:custGeom>
          <a:avLst/>
          <a:gdLst>
            <a:gd name="connsiteX0" fmla="*/ 4531360 w 9579686"/>
            <a:gd name="connsiteY0" fmla="*/ 711200 h 6177280"/>
            <a:gd name="connsiteX1" fmla="*/ 2722880 w 9579686"/>
            <a:gd name="connsiteY1" fmla="*/ 711200 h 6177280"/>
            <a:gd name="connsiteX2" fmla="*/ 2661920 w 9579686"/>
            <a:gd name="connsiteY2" fmla="*/ 690880 h 6177280"/>
            <a:gd name="connsiteX3" fmla="*/ 2540000 w 9579686"/>
            <a:gd name="connsiteY3" fmla="*/ 670560 h 6177280"/>
            <a:gd name="connsiteX4" fmla="*/ 2479040 w 9579686"/>
            <a:gd name="connsiteY4" fmla="*/ 650240 h 6177280"/>
            <a:gd name="connsiteX5" fmla="*/ 2316480 w 9579686"/>
            <a:gd name="connsiteY5" fmla="*/ 629920 h 6177280"/>
            <a:gd name="connsiteX6" fmla="*/ 2113280 w 9579686"/>
            <a:gd name="connsiteY6" fmla="*/ 589280 h 6177280"/>
            <a:gd name="connsiteX7" fmla="*/ 1341120 w 9579686"/>
            <a:gd name="connsiteY7" fmla="*/ 548640 h 6177280"/>
            <a:gd name="connsiteX8" fmla="*/ 1076960 w 9579686"/>
            <a:gd name="connsiteY8" fmla="*/ 568960 h 6177280"/>
            <a:gd name="connsiteX9" fmla="*/ 1016000 w 9579686"/>
            <a:gd name="connsiteY9" fmla="*/ 609600 h 6177280"/>
            <a:gd name="connsiteX10" fmla="*/ 955040 w 9579686"/>
            <a:gd name="connsiteY10" fmla="*/ 629920 h 6177280"/>
            <a:gd name="connsiteX11" fmla="*/ 833120 w 9579686"/>
            <a:gd name="connsiteY11" fmla="*/ 711200 h 6177280"/>
            <a:gd name="connsiteX12" fmla="*/ 711200 w 9579686"/>
            <a:gd name="connsiteY12" fmla="*/ 792480 h 6177280"/>
            <a:gd name="connsiteX13" fmla="*/ 650240 w 9579686"/>
            <a:gd name="connsiteY13" fmla="*/ 833120 h 6177280"/>
            <a:gd name="connsiteX14" fmla="*/ 548640 w 9579686"/>
            <a:gd name="connsiteY14" fmla="*/ 914400 h 6177280"/>
            <a:gd name="connsiteX15" fmla="*/ 487680 w 9579686"/>
            <a:gd name="connsiteY15" fmla="*/ 975360 h 6177280"/>
            <a:gd name="connsiteX16" fmla="*/ 426720 w 9579686"/>
            <a:gd name="connsiteY16" fmla="*/ 1016000 h 6177280"/>
            <a:gd name="connsiteX17" fmla="*/ 365760 w 9579686"/>
            <a:gd name="connsiteY17" fmla="*/ 1158240 h 6177280"/>
            <a:gd name="connsiteX18" fmla="*/ 325120 w 9579686"/>
            <a:gd name="connsiteY18" fmla="*/ 1219200 h 6177280"/>
            <a:gd name="connsiteX19" fmla="*/ 264160 w 9579686"/>
            <a:gd name="connsiteY19" fmla="*/ 1341120 h 6177280"/>
            <a:gd name="connsiteX20" fmla="*/ 203200 w 9579686"/>
            <a:gd name="connsiteY20" fmla="*/ 1483360 h 6177280"/>
            <a:gd name="connsiteX21" fmla="*/ 162560 w 9579686"/>
            <a:gd name="connsiteY21" fmla="*/ 1605280 h 6177280"/>
            <a:gd name="connsiteX22" fmla="*/ 182880 w 9579686"/>
            <a:gd name="connsiteY22" fmla="*/ 1849120 h 6177280"/>
            <a:gd name="connsiteX23" fmla="*/ 203200 w 9579686"/>
            <a:gd name="connsiteY23" fmla="*/ 1930400 h 6177280"/>
            <a:gd name="connsiteX24" fmla="*/ 223520 w 9579686"/>
            <a:gd name="connsiteY24" fmla="*/ 2052320 h 6177280"/>
            <a:gd name="connsiteX25" fmla="*/ 243840 w 9579686"/>
            <a:gd name="connsiteY25" fmla="*/ 2153920 h 6177280"/>
            <a:gd name="connsiteX26" fmla="*/ 243840 w 9579686"/>
            <a:gd name="connsiteY26" fmla="*/ 2824480 h 6177280"/>
            <a:gd name="connsiteX27" fmla="*/ 284480 w 9579686"/>
            <a:gd name="connsiteY27" fmla="*/ 2926080 h 6177280"/>
            <a:gd name="connsiteX28" fmla="*/ 264160 w 9579686"/>
            <a:gd name="connsiteY28" fmla="*/ 3251200 h 6177280"/>
            <a:gd name="connsiteX29" fmla="*/ 203200 w 9579686"/>
            <a:gd name="connsiteY29" fmla="*/ 3434080 h 6177280"/>
            <a:gd name="connsiteX30" fmla="*/ 182880 w 9579686"/>
            <a:gd name="connsiteY30" fmla="*/ 3535680 h 6177280"/>
            <a:gd name="connsiteX31" fmla="*/ 142240 w 9579686"/>
            <a:gd name="connsiteY31" fmla="*/ 3657600 h 6177280"/>
            <a:gd name="connsiteX32" fmla="*/ 121920 w 9579686"/>
            <a:gd name="connsiteY32" fmla="*/ 3759200 h 6177280"/>
            <a:gd name="connsiteX33" fmla="*/ 81280 w 9579686"/>
            <a:gd name="connsiteY33" fmla="*/ 3881120 h 6177280"/>
            <a:gd name="connsiteX34" fmla="*/ 40640 w 9579686"/>
            <a:gd name="connsiteY34" fmla="*/ 4003040 h 6177280"/>
            <a:gd name="connsiteX35" fmla="*/ 20320 w 9579686"/>
            <a:gd name="connsiteY35" fmla="*/ 4064000 h 6177280"/>
            <a:gd name="connsiteX36" fmla="*/ 0 w 9579686"/>
            <a:gd name="connsiteY36" fmla="*/ 4145280 h 6177280"/>
            <a:gd name="connsiteX37" fmla="*/ 60960 w 9579686"/>
            <a:gd name="connsiteY37" fmla="*/ 4409440 h 6177280"/>
            <a:gd name="connsiteX38" fmla="*/ 121920 w 9579686"/>
            <a:gd name="connsiteY38" fmla="*/ 4450080 h 6177280"/>
            <a:gd name="connsiteX39" fmla="*/ 162560 w 9579686"/>
            <a:gd name="connsiteY39" fmla="*/ 4389120 h 6177280"/>
            <a:gd name="connsiteX40" fmla="*/ 203200 w 9579686"/>
            <a:gd name="connsiteY40" fmla="*/ 4267200 h 6177280"/>
            <a:gd name="connsiteX41" fmla="*/ 243840 w 9579686"/>
            <a:gd name="connsiteY41" fmla="*/ 3962400 h 6177280"/>
            <a:gd name="connsiteX42" fmla="*/ 284480 w 9579686"/>
            <a:gd name="connsiteY42" fmla="*/ 3840480 h 6177280"/>
            <a:gd name="connsiteX43" fmla="*/ 304800 w 9579686"/>
            <a:gd name="connsiteY43" fmla="*/ 3738880 h 6177280"/>
            <a:gd name="connsiteX44" fmla="*/ 345440 w 9579686"/>
            <a:gd name="connsiteY44" fmla="*/ 3616960 h 6177280"/>
            <a:gd name="connsiteX45" fmla="*/ 365760 w 9579686"/>
            <a:gd name="connsiteY45" fmla="*/ 3434080 h 6177280"/>
            <a:gd name="connsiteX46" fmla="*/ 386080 w 9579686"/>
            <a:gd name="connsiteY46" fmla="*/ 3373120 h 6177280"/>
            <a:gd name="connsiteX47" fmla="*/ 406400 w 9579686"/>
            <a:gd name="connsiteY47" fmla="*/ 3271520 h 6177280"/>
            <a:gd name="connsiteX48" fmla="*/ 447040 w 9579686"/>
            <a:gd name="connsiteY48" fmla="*/ 3149600 h 6177280"/>
            <a:gd name="connsiteX49" fmla="*/ 487680 w 9579686"/>
            <a:gd name="connsiteY49" fmla="*/ 2885440 h 6177280"/>
            <a:gd name="connsiteX50" fmla="*/ 528320 w 9579686"/>
            <a:gd name="connsiteY50" fmla="*/ 2621280 h 6177280"/>
            <a:gd name="connsiteX51" fmla="*/ 650240 w 9579686"/>
            <a:gd name="connsiteY51" fmla="*/ 2844800 h 6177280"/>
            <a:gd name="connsiteX52" fmla="*/ 690880 w 9579686"/>
            <a:gd name="connsiteY52" fmla="*/ 2966720 h 6177280"/>
            <a:gd name="connsiteX53" fmla="*/ 711200 w 9579686"/>
            <a:gd name="connsiteY53" fmla="*/ 3048000 h 6177280"/>
            <a:gd name="connsiteX54" fmla="*/ 751840 w 9579686"/>
            <a:gd name="connsiteY54" fmla="*/ 3108960 h 6177280"/>
            <a:gd name="connsiteX55" fmla="*/ 792480 w 9579686"/>
            <a:gd name="connsiteY55" fmla="*/ 3230880 h 6177280"/>
            <a:gd name="connsiteX56" fmla="*/ 812800 w 9579686"/>
            <a:gd name="connsiteY56" fmla="*/ 3291840 h 6177280"/>
            <a:gd name="connsiteX57" fmla="*/ 833120 w 9579686"/>
            <a:gd name="connsiteY57" fmla="*/ 3352800 h 6177280"/>
            <a:gd name="connsiteX58" fmla="*/ 873760 w 9579686"/>
            <a:gd name="connsiteY58" fmla="*/ 3535680 h 6177280"/>
            <a:gd name="connsiteX59" fmla="*/ 812800 w 9579686"/>
            <a:gd name="connsiteY59" fmla="*/ 4064000 h 6177280"/>
            <a:gd name="connsiteX60" fmla="*/ 772160 w 9579686"/>
            <a:gd name="connsiteY60" fmla="*/ 4124960 h 6177280"/>
            <a:gd name="connsiteX61" fmla="*/ 731520 w 9579686"/>
            <a:gd name="connsiteY61" fmla="*/ 4246880 h 6177280"/>
            <a:gd name="connsiteX62" fmla="*/ 751840 w 9579686"/>
            <a:gd name="connsiteY62" fmla="*/ 4490720 h 6177280"/>
            <a:gd name="connsiteX63" fmla="*/ 792480 w 9579686"/>
            <a:gd name="connsiteY63" fmla="*/ 4612640 h 6177280"/>
            <a:gd name="connsiteX64" fmla="*/ 833120 w 9579686"/>
            <a:gd name="connsiteY64" fmla="*/ 4856480 h 6177280"/>
            <a:gd name="connsiteX65" fmla="*/ 853440 w 9579686"/>
            <a:gd name="connsiteY65" fmla="*/ 5567680 h 6177280"/>
            <a:gd name="connsiteX66" fmla="*/ 955040 w 9579686"/>
            <a:gd name="connsiteY66" fmla="*/ 5791200 h 6177280"/>
            <a:gd name="connsiteX67" fmla="*/ 975360 w 9579686"/>
            <a:gd name="connsiteY67" fmla="*/ 5852160 h 6177280"/>
            <a:gd name="connsiteX68" fmla="*/ 1320800 w 9579686"/>
            <a:gd name="connsiteY68" fmla="*/ 5872480 h 6177280"/>
            <a:gd name="connsiteX69" fmla="*/ 1402080 w 9579686"/>
            <a:gd name="connsiteY69" fmla="*/ 5892800 h 6177280"/>
            <a:gd name="connsiteX70" fmla="*/ 1463040 w 9579686"/>
            <a:gd name="connsiteY70" fmla="*/ 5913120 h 6177280"/>
            <a:gd name="connsiteX71" fmla="*/ 1584960 w 9579686"/>
            <a:gd name="connsiteY71" fmla="*/ 5892800 h 6177280"/>
            <a:gd name="connsiteX72" fmla="*/ 1645920 w 9579686"/>
            <a:gd name="connsiteY72" fmla="*/ 5852160 h 6177280"/>
            <a:gd name="connsiteX73" fmla="*/ 1605280 w 9579686"/>
            <a:gd name="connsiteY73" fmla="*/ 5730240 h 6177280"/>
            <a:gd name="connsiteX74" fmla="*/ 1544320 w 9579686"/>
            <a:gd name="connsiteY74" fmla="*/ 5466080 h 6177280"/>
            <a:gd name="connsiteX75" fmla="*/ 1524000 w 9579686"/>
            <a:gd name="connsiteY75" fmla="*/ 5405120 h 6177280"/>
            <a:gd name="connsiteX76" fmla="*/ 1402080 w 9579686"/>
            <a:gd name="connsiteY76" fmla="*/ 5323840 h 6177280"/>
            <a:gd name="connsiteX77" fmla="*/ 1280160 w 9579686"/>
            <a:gd name="connsiteY77" fmla="*/ 5222240 h 6177280"/>
            <a:gd name="connsiteX78" fmla="*/ 1239520 w 9579686"/>
            <a:gd name="connsiteY78" fmla="*/ 5100320 h 6177280"/>
            <a:gd name="connsiteX79" fmla="*/ 1137920 w 9579686"/>
            <a:gd name="connsiteY79" fmla="*/ 4917440 h 6177280"/>
            <a:gd name="connsiteX80" fmla="*/ 1158240 w 9579686"/>
            <a:gd name="connsiteY80" fmla="*/ 4734560 h 6177280"/>
            <a:gd name="connsiteX81" fmla="*/ 1219200 w 9579686"/>
            <a:gd name="connsiteY81" fmla="*/ 4592320 h 6177280"/>
            <a:gd name="connsiteX82" fmla="*/ 1280160 w 9579686"/>
            <a:gd name="connsiteY82" fmla="*/ 4531360 h 6177280"/>
            <a:gd name="connsiteX83" fmla="*/ 1300480 w 9579686"/>
            <a:gd name="connsiteY83" fmla="*/ 4348480 h 6177280"/>
            <a:gd name="connsiteX84" fmla="*/ 1361440 w 9579686"/>
            <a:gd name="connsiteY84" fmla="*/ 4429760 h 6177280"/>
            <a:gd name="connsiteX85" fmla="*/ 1442720 w 9579686"/>
            <a:gd name="connsiteY85" fmla="*/ 4612640 h 6177280"/>
            <a:gd name="connsiteX86" fmla="*/ 1503680 w 9579686"/>
            <a:gd name="connsiteY86" fmla="*/ 5303520 h 6177280"/>
            <a:gd name="connsiteX87" fmla="*/ 1524000 w 9579686"/>
            <a:gd name="connsiteY87" fmla="*/ 5364480 h 6177280"/>
            <a:gd name="connsiteX88" fmla="*/ 1584960 w 9579686"/>
            <a:gd name="connsiteY88" fmla="*/ 5425440 h 6177280"/>
            <a:gd name="connsiteX89" fmla="*/ 1605280 w 9579686"/>
            <a:gd name="connsiteY89" fmla="*/ 5527040 h 6177280"/>
            <a:gd name="connsiteX90" fmla="*/ 1645920 w 9579686"/>
            <a:gd name="connsiteY90" fmla="*/ 5648960 h 6177280"/>
            <a:gd name="connsiteX91" fmla="*/ 1666240 w 9579686"/>
            <a:gd name="connsiteY91" fmla="*/ 5750560 h 6177280"/>
            <a:gd name="connsiteX92" fmla="*/ 1727200 w 9579686"/>
            <a:gd name="connsiteY92" fmla="*/ 5791200 h 6177280"/>
            <a:gd name="connsiteX93" fmla="*/ 1991360 w 9579686"/>
            <a:gd name="connsiteY93" fmla="*/ 5770880 h 6177280"/>
            <a:gd name="connsiteX94" fmla="*/ 2113280 w 9579686"/>
            <a:gd name="connsiteY94" fmla="*/ 5750560 h 6177280"/>
            <a:gd name="connsiteX95" fmla="*/ 2092960 w 9579686"/>
            <a:gd name="connsiteY95" fmla="*/ 5648960 h 6177280"/>
            <a:gd name="connsiteX96" fmla="*/ 1971040 w 9579686"/>
            <a:gd name="connsiteY96" fmla="*/ 5405120 h 6177280"/>
            <a:gd name="connsiteX97" fmla="*/ 1971040 w 9579686"/>
            <a:gd name="connsiteY97" fmla="*/ 5405120 h 6177280"/>
            <a:gd name="connsiteX98" fmla="*/ 1889760 w 9579686"/>
            <a:gd name="connsiteY98" fmla="*/ 5222240 h 6177280"/>
            <a:gd name="connsiteX99" fmla="*/ 1869440 w 9579686"/>
            <a:gd name="connsiteY99" fmla="*/ 5140960 h 6177280"/>
            <a:gd name="connsiteX100" fmla="*/ 1849120 w 9579686"/>
            <a:gd name="connsiteY100" fmla="*/ 5080000 h 6177280"/>
            <a:gd name="connsiteX101" fmla="*/ 1788160 w 9579686"/>
            <a:gd name="connsiteY101" fmla="*/ 4734560 h 6177280"/>
            <a:gd name="connsiteX102" fmla="*/ 1828800 w 9579686"/>
            <a:gd name="connsiteY102" fmla="*/ 4084320 h 6177280"/>
            <a:gd name="connsiteX103" fmla="*/ 1849120 w 9579686"/>
            <a:gd name="connsiteY103" fmla="*/ 3982720 h 6177280"/>
            <a:gd name="connsiteX104" fmla="*/ 1930400 w 9579686"/>
            <a:gd name="connsiteY104" fmla="*/ 3860800 h 6177280"/>
            <a:gd name="connsiteX105" fmla="*/ 2052320 w 9579686"/>
            <a:gd name="connsiteY105" fmla="*/ 3779520 h 6177280"/>
            <a:gd name="connsiteX106" fmla="*/ 2113280 w 9579686"/>
            <a:gd name="connsiteY106" fmla="*/ 3738880 h 6177280"/>
            <a:gd name="connsiteX107" fmla="*/ 2235200 w 9579686"/>
            <a:gd name="connsiteY107" fmla="*/ 3637280 h 6177280"/>
            <a:gd name="connsiteX108" fmla="*/ 2296160 w 9579686"/>
            <a:gd name="connsiteY108" fmla="*/ 3616960 h 6177280"/>
            <a:gd name="connsiteX109" fmla="*/ 2621280 w 9579686"/>
            <a:gd name="connsiteY109" fmla="*/ 3657600 h 6177280"/>
            <a:gd name="connsiteX110" fmla="*/ 2743200 w 9579686"/>
            <a:gd name="connsiteY110" fmla="*/ 3698240 h 6177280"/>
            <a:gd name="connsiteX111" fmla="*/ 2804160 w 9579686"/>
            <a:gd name="connsiteY111" fmla="*/ 3718560 h 6177280"/>
            <a:gd name="connsiteX112" fmla="*/ 2865120 w 9579686"/>
            <a:gd name="connsiteY112" fmla="*/ 3759200 h 6177280"/>
            <a:gd name="connsiteX113" fmla="*/ 2987040 w 9579686"/>
            <a:gd name="connsiteY113" fmla="*/ 3799840 h 6177280"/>
            <a:gd name="connsiteX114" fmla="*/ 3108960 w 9579686"/>
            <a:gd name="connsiteY114" fmla="*/ 3840480 h 6177280"/>
            <a:gd name="connsiteX115" fmla="*/ 3169920 w 9579686"/>
            <a:gd name="connsiteY115" fmla="*/ 3860800 h 6177280"/>
            <a:gd name="connsiteX116" fmla="*/ 3271520 w 9579686"/>
            <a:gd name="connsiteY116" fmla="*/ 3881120 h 6177280"/>
            <a:gd name="connsiteX117" fmla="*/ 3454400 w 9579686"/>
            <a:gd name="connsiteY117" fmla="*/ 4023360 h 6177280"/>
            <a:gd name="connsiteX118" fmla="*/ 3515360 w 9579686"/>
            <a:gd name="connsiteY118" fmla="*/ 3982720 h 6177280"/>
            <a:gd name="connsiteX119" fmla="*/ 3515360 w 9579686"/>
            <a:gd name="connsiteY119" fmla="*/ 3860800 h 6177280"/>
            <a:gd name="connsiteX120" fmla="*/ 3759200 w 9579686"/>
            <a:gd name="connsiteY120" fmla="*/ 3840480 h 6177280"/>
            <a:gd name="connsiteX121" fmla="*/ 3820160 w 9579686"/>
            <a:gd name="connsiteY121" fmla="*/ 3820160 h 6177280"/>
            <a:gd name="connsiteX122" fmla="*/ 4450080 w 9579686"/>
            <a:gd name="connsiteY122" fmla="*/ 3860800 h 6177280"/>
            <a:gd name="connsiteX123" fmla="*/ 4693920 w 9579686"/>
            <a:gd name="connsiteY123" fmla="*/ 3840480 h 6177280"/>
            <a:gd name="connsiteX124" fmla="*/ 4897120 w 9579686"/>
            <a:gd name="connsiteY124" fmla="*/ 3799840 h 6177280"/>
            <a:gd name="connsiteX125" fmla="*/ 5120640 w 9579686"/>
            <a:gd name="connsiteY125" fmla="*/ 3779520 h 6177280"/>
            <a:gd name="connsiteX126" fmla="*/ 5181600 w 9579686"/>
            <a:gd name="connsiteY126" fmla="*/ 3921760 h 6177280"/>
            <a:gd name="connsiteX127" fmla="*/ 5140960 w 9579686"/>
            <a:gd name="connsiteY127" fmla="*/ 4348480 h 6177280"/>
            <a:gd name="connsiteX128" fmla="*/ 5140960 w 9579686"/>
            <a:gd name="connsiteY128" fmla="*/ 4734560 h 6177280"/>
            <a:gd name="connsiteX129" fmla="*/ 5222240 w 9579686"/>
            <a:gd name="connsiteY129" fmla="*/ 4856480 h 6177280"/>
            <a:gd name="connsiteX130" fmla="*/ 5181600 w 9579686"/>
            <a:gd name="connsiteY130" fmla="*/ 5222240 h 6177280"/>
            <a:gd name="connsiteX131" fmla="*/ 5161280 w 9579686"/>
            <a:gd name="connsiteY131" fmla="*/ 5364480 h 6177280"/>
            <a:gd name="connsiteX132" fmla="*/ 5201920 w 9579686"/>
            <a:gd name="connsiteY132" fmla="*/ 5791200 h 6177280"/>
            <a:gd name="connsiteX133" fmla="*/ 5161280 w 9579686"/>
            <a:gd name="connsiteY133" fmla="*/ 5933440 h 6177280"/>
            <a:gd name="connsiteX134" fmla="*/ 5181600 w 9579686"/>
            <a:gd name="connsiteY134" fmla="*/ 5994400 h 6177280"/>
            <a:gd name="connsiteX135" fmla="*/ 5323840 w 9579686"/>
            <a:gd name="connsiteY135" fmla="*/ 6136640 h 6177280"/>
            <a:gd name="connsiteX136" fmla="*/ 5588000 w 9579686"/>
            <a:gd name="connsiteY136" fmla="*/ 6156960 h 6177280"/>
            <a:gd name="connsiteX137" fmla="*/ 5730240 w 9579686"/>
            <a:gd name="connsiteY137" fmla="*/ 6177280 h 6177280"/>
            <a:gd name="connsiteX138" fmla="*/ 5831840 w 9579686"/>
            <a:gd name="connsiteY138" fmla="*/ 6156960 h 6177280"/>
            <a:gd name="connsiteX139" fmla="*/ 5852160 w 9579686"/>
            <a:gd name="connsiteY139" fmla="*/ 6096000 h 6177280"/>
            <a:gd name="connsiteX140" fmla="*/ 5872480 w 9579686"/>
            <a:gd name="connsiteY140" fmla="*/ 5953760 h 6177280"/>
            <a:gd name="connsiteX141" fmla="*/ 5933440 w 9579686"/>
            <a:gd name="connsiteY141" fmla="*/ 5933440 h 6177280"/>
            <a:gd name="connsiteX142" fmla="*/ 5974080 w 9579686"/>
            <a:gd name="connsiteY142" fmla="*/ 5872480 h 6177280"/>
            <a:gd name="connsiteX143" fmla="*/ 5913120 w 9579686"/>
            <a:gd name="connsiteY143" fmla="*/ 5709920 h 6177280"/>
            <a:gd name="connsiteX144" fmla="*/ 5852160 w 9579686"/>
            <a:gd name="connsiteY144" fmla="*/ 5648960 h 6177280"/>
            <a:gd name="connsiteX145" fmla="*/ 5811520 w 9579686"/>
            <a:gd name="connsiteY145" fmla="*/ 5567680 h 6177280"/>
            <a:gd name="connsiteX146" fmla="*/ 5770880 w 9579686"/>
            <a:gd name="connsiteY146" fmla="*/ 5303520 h 6177280"/>
            <a:gd name="connsiteX147" fmla="*/ 5730240 w 9579686"/>
            <a:gd name="connsiteY147" fmla="*/ 5181600 h 6177280"/>
            <a:gd name="connsiteX148" fmla="*/ 5770880 w 9579686"/>
            <a:gd name="connsiteY148" fmla="*/ 4978400 h 6177280"/>
            <a:gd name="connsiteX149" fmla="*/ 5791200 w 9579686"/>
            <a:gd name="connsiteY149" fmla="*/ 4876800 h 6177280"/>
            <a:gd name="connsiteX150" fmla="*/ 5831840 w 9579686"/>
            <a:gd name="connsiteY150" fmla="*/ 4754880 h 6177280"/>
            <a:gd name="connsiteX151" fmla="*/ 5872480 w 9579686"/>
            <a:gd name="connsiteY151" fmla="*/ 4693920 h 6177280"/>
            <a:gd name="connsiteX152" fmla="*/ 5913120 w 9579686"/>
            <a:gd name="connsiteY152" fmla="*/ 4572000 h 6177280"/>
            <a:gd name="connsiteX153" fmla="*/ 5953760 w 9579686"/>
            <a:gd name="connsiteY153" fmla="*/ 4409440 h 6177280"/>
            <a:gd name="connsiteX154" fmla="*/ 6014720 w 9579686"/>
            <a:gd name="connsiteY154" fmla="*/ 4165600 h 6177280"/>
            <a:gd name="connsiteX155" fmla="*/ 6055360 w 9579686"/>
            <a:gd name="connsiteY155" fmla="*/ 4104640 h 6177280"/>
            <a:gd name="connsiteX156" fmla="*/ 6278880 w 9579686"/>
            <a:gd name="connsiteY156" fmla="*/ 4043680 h 6177280"/>
            <a:gd name="connsiteX157" fmla="*/ 6360160 w 9579686"/>
            <a:gd name="connsiteY157" fmla="*/ 4023360 h 6177280"/>
            <a:gd name="connsiteX158" fmla="*/ 6543040 w 9579686"/>
            <a:gd name="connsiteY158" fmla="*/ 3982720 h 6177280"/>
            <a:gd name="connsiteX159" fmla="*/ 6624320 w 9579686"/>
            <a:gd name="connsiteY159" fmla="*/ 3860800 h 6177280"/>
            <a:gd name="connsiteX160" fmla="*/ 6705600 w 9579686"/>
            <a:gd name="connsiteY160" fmla="*/ 3738880 h 6177280"/>
            <a:gd name="connsiteX161" fmla="*/ 6746240 w 9579686"/>
            <a:gd name="connsiteY161" fmla="*/ 3677920 h 6177280"/>
            <a:gd name="connsiteX162" fmla="*/ 6786880 w 9579686"/>
            <a:gd name="connsiteY162" fmla="*/ 3556000 h 6177280"/>
            <a:gd name="connsiteX163" fmla="*/ 6827520 w 9579686"/>
            <a:gd name="connsiteY163" fmla="*/ 3495040 h 6177280"/>
            <a:gd name="connsiteX164" fmla="*/ 6847840 w 9579686"/>
            <a:gd name="connsiteY164" fmla="*/ 3434080 h 6177280"/>
            <a:gd name="connsiteX165" fmla="*/ 6888480 w 9579686"/>
            <a:gd name="connsiteY165" fmla="*/ 3373120 h 6177280"/>
            <a:gd name="connsiteX166" fmla="*/ 6908800 w 9579686"/>
            <a:gd name="connsiteY166" fmla="*/ 3312160 h 6177280"/>
            <a:gd name="connsiteX167" fmla="*/ 7030720 w 9579686"/>
            <a:gd name="connsiteY167" fmla="*/ 3271520 h 6177280"/>
            <a:gd name="connsiteX168" fmla="*/ 7112000 w 9579686"/>
            <a:gd name="connsiteY168" fmla="*/ 3068320 h 6177280"/>
            <a:gd name="connsiteX169" fmla="*/ 7213600 w 9579686"/>
            <a:gd name="connsiteY169" fmla="*/ 2885440 h 6177280"/>
            <a:gd name="connsiteX170" fmla="*/ 7254240 w 9579686"/>
            <a:gd name="connsiteY170" fmla="*/ 2824480 h 6177280"/>
            <a:gd name="connsiteX171" fmla="*/ 7437120 w 9579686"/>
            <a:gd name="connsiteY171" fmla="*/ 2702560 h 6177280"/>
            <a:gd name="connsiteX172" fmla="*/ 7498080 w 9579686"/>
            <a:gd name="connsiteY172" fmla="*/ 2661920 h 6177280"/>
            <a:gd name="connsiteX173" fmla="*/ 7620000 w 9579686"/>
            <a:gd name="connsiteY173" fmla="*/ 2621280 h 6177280"/>
            <a:gd name="connsiteX174" fmla="*/ 7701280 w 9579686"/>
            <a:gd name="connsiteY174" fmla="*/ 2560320 h 6177280"/>
            <a:gd name="connsiteX175" fmla="*/ 7823200 w 9579686"/>
            <a:gd name="connsiteY175" fmla="*/ 2479040 h 6177280"/>
            <a:gd name="connsiteX176" fmla="*/ 7884160 w 9579686"/>
            <a:gd name="connsiteY176" fmla="*/ 2418080 h 6177280"/>
            <a:gd name="connsiteX177" fmla="*/ 8453120 w 9579686"/>
            <a:gd name="connsiteY177" fmla="*/ 2438400 h 6177280"/>
            <a:gd name="connsiteX178" fmla="*/ 8514080 w 9579686"/>
            <a:gd name="connsiteY178" fmla="*/ 2458720 h 6177280"/>
            <a:gd name="connsiteX179" fmla="*/ 8575040 w 9579686"/>
            <a:gd name="connsiteY179" fmla="*/ 2499360 h 6177280"/>
            <a:gd name="connsiteX180" fmla="*/ 8818880 w 9579686"/>
            <a:gd name="connsiteY180" fmla="*/ 2479040 h 6177280"/>
            <a:gd name="connsiteX181" fmla="*/ 8940800 w 9579686"/>
            <a:gd name="connsiteY181" fmla="*/ 2519680 h 6177280"/>
            <a:gd name="connsiteX182" fmla="*/ 9184640 w 9579686"/>
            <a:gd name="connsiteY182" fmla="*/ 2479040 h 6177280"/>
            <a:gd name="connsiteX183" fmla="*/ 9326880 w 9579686"/>
            <a:gd name="connsiteY183" fmla="*/ 2438400 h 6177280"/>
            <a:gd name="connsiteX184" fmla="*/ 9408160 w 9579686"/>
            <a:gd name="connsiteY184" fmla="*/ 2418080 h 6177280"/>
            <a:gd name="connsiteX185" fmla="*/ 9428480 w 9579686"/>
            <a:gd name="connsiteY185" fmla="*/ 2255520 h 6177280"/>
            <a:gd name="connsiteX186" fmla="*/ 9570720 w 9579686"/>
            <a:gd name="connsiteY186" fmla="*/ 2235200 h 6177280"/>
            <a:gd name="connsiteX187" fmla="*/ 9550400 w 9579686"/>
            <a:gd name="connsiteY187" fmla="*/ 2113280 h 6177280"/>
            <a:gd name="connsiteX188" fmla="*/ 9530080 w 9579686"/>
            <a:gd name="connsiteY188" fmla="*/ 1950720 h 6177280"/>
            <a:gd name="connsiteX189" fmla="*/ 9428480 w 9579686"/>
            <a:gd name="connsiteY189" fmla="*/ 1767840 h 6177280"/>
            <a:gd name="connsiteX190" fmla="*/ 9387840 w 9579686"/>
            <a:gd name="connsiteY190" fmla="*/ 1706880 h 6177280"/>
            <a:gd name="connsiteX191" fmla="*/ 9347200 w 9579686"/>
            <a:gd name="connsiteY191" fmla="*/ 1645920 h 6177280"/>
            <a:gd name="connsiteX192" fmla="*/ 9326880 w 9579686"/>
            <a:gd name="connsiteY192" fmla="*/ 1584960 h 6177280"/>
            <a:gd name="connsiteX193" fmla="*/ 9184640 w 9579686"/>
            <a:gd name="connsiteY193" fmla="*/ 1402080 h 6177280"/>
            <a:gd name="connsiteX194" fmla="*/ 9144000 w 9579686"/>
            <a:gd name="connsiteY194" fmla="*/ 1178560 h 6177280"/>
            <a:gd name="connsiteX195" fmla="*/ 9123680 w 9579686"/>
            <a:gd name="connsiteY195" fmla="*/ 1117600 h 6177280"/>
            <a:gd name="connsiteX196" fmla="*/ 9103360 w 9579686"/>
            <a:gd name="connsiteY196" fmla="*/ 1036320 h 6177280"/>
            <a:gd name="connsiteX197" fmla="*/ 9001760 w 9579686"/>
            <a:gd name="connsiteY197" fmla="*/ 914400 h 6177280"/>
            <a:gd name="connsiteX198" fmla="*/ 8879840 w 9579686"/>
            <a:gd name="connsiteY198" fmla="*/ 670560 h 6177280"/>
            <a:gd name="connsiteX199" fmla="*/ 8859520 w 9579686"/>
            <a:gd name="connsiteY199" fmla="*/ 609600 h 6177280"/>
            <a:gd name="connsiteX200" fmla="*/ 8900160 w 9579686"/>
            <a:gd name="connsiteY200" fmla="*/ 406400 h 6177280"/>
            <a:gd name="connsiteX201" fmla="*/ 9062720 w 9579686"/>
            <a:gd name="connsiteY201" fmla="*/ 345440 h 6177280"/>
            <a:gd name="connsiteX202" fmla="*/ 9245600 w 9579686"/>
            <a:gd name="connsiteY202" fmla="*/ 264160 h 6177280"/>
            <a:gd name="connsiteX203" fmla="*/ 9306560 w 9579686"/>
            <a:gd name="connsiteY203" fmla="*/ 142240 h 6177280"/>
            <a:gd name="connsiteX204" fmla="*/ 9245600 w 9579686"/>
            <a:gd name="connsiteY204" fmla="*/ 101600 h 6177280"/>
            <a:gd name="connsiteX205" fmla="*/ 9164320 w 9579686"/>
            <a:gd name="connsiteY205" fmla="*/ 121920 h 6177280"/>
            <a:gd name="connsiteX206" fmla="*/ 9042400 w 9579686"/>
            <a:gd name="connsiteY206" fmla="*/ 142240 h 6177280"/>
            <a:gd name="connsiteX207" fmla="*/ 8859520 w 9579686"/>
            <a:gd name="connsiteY207" fmla="*/ 223520 h 6177280"/>
            <a:gd name="connsiteX208" fmla="*/ 8798560 w 9579686"/>
            <a:gd name="connsiteY208" fmla="*/ 243840 h 6177280"/>
            <a:gd name="connsiteX209" fmla="*/ 8737600 w 9579686"/>
            <a:gd name="connsiteY209" fmla="*/ 284480 h 6177280"/>
            <a:gd name="connsiteX210" fmla="*/ 8676640 w 9579686"/>
            <a:gd name="connsiteY210" fmla="*/ 345440 h 6177280"/>
            <a:gd name="connsiteX211" fmla="*/ 8554720 w 9579686"/>
            <a:gd name="connsiteY211" fmla="*/ 386080 h 6177280"/>
            <a:gd name="connsiteX212" fmla="*/ 8432800 w 9579686"/>
            <a:gd name="connsiteY212" fmla="*/ 345440 h 6177280"/>
            <a:gd name="connsiteX213" fmla="*/ 8453120 w 9579686"/>
            <a:gd name="connsiteY213" fmla="*/ 223520 h 6177280"/>
            <a:gd name="connsiteX214" fmla="*/ 8575040 w 9579686"/>
            <a:gd name="connsiteY214" fmla="*/ 142240 h 6177280"/>
            <a:gd name="connsiteX215" fmla="*/ 8595360 w 9579686"/>
            <a:gd name="connsiteY215" fmla="*/ 81280 h 6177280"/>
            <a:gd name="connsiteX216" fmla="*/ 8636000 w 9579686"/>
            <a:gd name="connsiteY216" fmla="*/ 20320 h 6177280"/>
            <a:gd name="connsiteX217" fmla="*/ 8575040 w 9579686"/>
            <a:gd name="connsiteY217" fmla="*/ 0 h 6177280"/>
            <a:gd name="connsiteX218" fmla="*/ 8310880 w 9579686"/>
            <a:gd name="connsiteY218" fmla="*/ 20320 h 6177280"/>
            <a:gd name="connsiteX219" fmla="*/ 8168640 w 9579686"/>
            <a:gd name="connsiteY219" fmla="*/ 182880 h 6177280"/>
            <a:gd name="connsiteX220" fmla="*/ 8128000 w 9579686"/>
            <a:gd name="connsiteY220" fmla="*/ 243840 h 6177280"/>
            <a:gd name="connsiteX221" fmla="*/ 8087360 w 9579686"/>
            <a:gd name="connsiteY221" fmla="*/ 386080 h 6177280"/>
            <a:gd name="connsiteX222" fmla="*/ 7884160 w 9579686"/>
            <a:gd name="connsiteY222" fmla="*/ 365760 h 6177280"/>
            <a:gd name="connsiteX223" fmla="*/ 7823200 w 9579686"/>
            <a:gd name="connsiteY223" fmla="*/ 345440 h 6177280"/>
            <a:gd name="connsiteX224" fmla="*/ 7416800 w 9579686"/>
            <a:gd name="connsiteY224" fmla="*/ 365760 h 6177280"/>
            <a:gd name="connsiteX225" fmla="*/ 7355840 w 9579686"/>
            <a:gd name="connsiteY225" fmla="*/ 386080 h 6177280"/>
            <a:gd name="connsiteX226" fmla="*/ 7335520 w 9579686"/>
            <a:gd name="connsiteY226" fmla="*/ 447040 h 6177280"/>
            <a:gd name="connsiteX227" fmla="*/ 7315200 w 9579686"/>
            <a:gd name="connsiteY227" fmla="*/ 609600 h 6177280"/>
            <a:gd name="connsiteX228" fmla="*/ 7254240 w 9579686"/>
            <a:gd name="connsiteY228" fmla="*/ 629920 h 6177280"/>
            <a:gd name="connsiteX229" fmla="*/ 7112000 w 9579686"/>
            <a:gd name="connsiteY229" fmla="*/ 650240 h 6177280"/>
            <a:gd name="connsiteX230" fmla="*/ 6664960 w 9579686"/>
            <a:gd name="connsiteY230" fmla="*/ 629920 h 6177280"/>
            <a:gd name="connsiteX231" fmla="*/ 6522720 w 9579686"/>
            <a:gd name="connsiteY231" fmla="*/ 568960 h 6177280"/>
            <a:gd name="connsiteX232" fmla="*/ 6421120 w 9579686"/>
            <a:gd name="connsiteY232" fmla="*/ 548640 h 6177280"/>
            <a:gd name="connsiteX233" fmla="*/ 6339840 w 9579686"/>
            <a:gd name="connsiteY233" fmla="*/ 528320 h 6177280"/>
            <a:gd name="connsiteX234" fmla="*/ 6278880 w 9579686"/>
            <a:gd name="connsiteY234" fmla="*/ 508000 h 6177280"/>
            <a:gd name="connsiteX235" fmla="*/ 5770880 w 9579686"/>
            <a:gd name="connsiteY235" fmla="*/ 487680 h 6177280"/>
            <a:gd name="connsiteX236" fmla="*/ 5547360 w 9579686"/>
            <a:gd name="connsiteY236" fmla="*/ 508000 h 6177280"/>
            <a:gd name="connsiteX237" fmla="*/ 5384800 w 9579686"/>
            <a:gd name="connsiteY237" fmla="*/ 568960 h 6177280"/>
            <a:gd name="connsiteX238" fmla="*/ 4978400 w 9579686"/>
            <a:gd name="connsiteY238" fmla="*/ 589280 h 6177280"/>
            <a:gd name="connsiteX239" fmla="*/ 4897120 w 9579686"/>
            <a:gd name="connsiteY239" fmla="*/ 609600 h 6177280"/>
            <a:gd name="connsiteX240" fmla="*/ 4612640 w 9579686"/>
            <a:gd name="connsiteY240" fmla="*/ 650240 h 6177280"/>
            <a:gd name="connsiteX241" fmla="*/ 4490720 w 9579686"/>
            <a:gd name="connsiteY241" fmla="*/ 690880 h 6177280"/>
            <a:gd name="connsiteX242" fmla="*/ 4287520 w 9579686"/>
            <a:gd name="connsiteY242" fmla="*/ 731520 h 6177280"/>
            <a:gd name="connsiteX243" fmla="*/ 4226560 w 9579686"/>
            <a:gd name="connsiteY243" fmla="*/ 751840 h 617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Lst>
          <a:rect l="l" t="t" r="r" b="b"/>
          <a:pathLst>
            <a:path w="9579686" h="6177280">
              <a:moveTo>
                <a:pt x="4531360" y="711200"/>
              </a:moveTo>
              <a:cubicBezTo>
                <a:pt x="3679735" y="733037"/>
                <a:pt x="3644815" y="745990"/>
                <a:pt x="2722880" y="711200"/>
              </a:cubicBezTo>
              <a:cubicBezTo>
                <a:pt x="2701476" y="710392"/>
                <a:pt x="2682829" y="695526"/>
                <a:pt x="2661920" y="690880"/>
              </a:cubicBezTo>
              <a:cubicBezTo>
                <a:pt x="2621701" y="681942"/>
                <a:pt x="2580219" y="679498"/>
                <a:pt x="2540000" y="670560"/>
              </a:cubicBezTo>
              <a:cubicBezTo>
                <a:pt x="2519091" y="665914"/>
                <a:pt x="2500114" y="654072"/>
                <a:pt x="2479040" y="650240"/>
              </a:cubicBezTo>
              <a:cubicBezTo>
                <a:pt x="2425312" y="640471"/>
                <a:pt x="2370345" y="638898"/>
                <a:pt x="2316480" y="629920"/>
              </a:cubicBezTo>
              <a:cubicBezTo>
                <a:pt x="2248345" y="618564"/>
                <a:pt x="2182259" y="592910"/>
                <a:pt x="2113280" y="589280"/>
              </a:cubicBezTo>
              <a:lnTo>
                <a:pt x="1341120" y="548640"/>
              </a:lnTo>
              <a:cubicBezTo>
                <a:pt x="1253067" y="555413"/>
                <a:pt x="1163761" y="552685"/>
                <a:pt x="1076960" y="568960"/>
              </a:cubicBezTo>
              <a:cubicBezTo>
                <a:pt x="1052957" y="573461"/>
                <a:pt x="1037843" y="598678"/>
                <a:pt x="1016000" y="609600"/>
              </a:cubicBezTo>
              <a:cubicBezTo>
                <a:pt x="996842" y="619179"/>
                <a:pt x="973764" y="619518"/>
                <a:pt x="955040" y="629920"/>
              </a:cubicBezTo>
              <a:cubicBezTo>
                <a:pt x="912343" y="653640"/>
                <a:pt x="873760" y="684107"/>
                <a:pt x="833120" y="711200"/>
              </a:cubicBezTo>
              <a:lnTo>
                <a:pt x="711200" y="792480"/>
              </a:lnTo>
              <a:lnTo>
                <a:pt x="650240" y="833120"/>
              </a:lnTo>
              <a:cubicBezTo>
                <a:pt x="559350" y="969454"/>
                <a:pt x="666420" y="835880"/>
                <a:pt x="548640" y="914400"/>
              </a:cubicBezTo>
              <a:cubicBezTo>
                <a:pt x="524730" y="930340"/>
                <a:pt x="509756" y="956963"/>
                <a:pt x="487680" y="975360"/>
              </a:cubicBezTo>
              <a:cubicBezTo>
                <a:pt x="468919" y="990994"/>
                <a:pt x="447040" y="1002453"/>
                <a:pt x="426720" y="1016000"/>
              </a:cubicBezTo>
              <a:cubicBezTo>
                <a:pt x="324691" y="1169044"/>
                <a:pt x="444489" y="974538"/>
                <a:pt x="365760" y="1158240"/>
              </a:cubicBezTo>
              <a:cubicBezTo>
                <a:pt x="356140" y="1180687"/>
                <a:pt x="336042" y="1197357"/>
                <a:pt x="325120" y="1219200"/>
              </a:cubicBezTo>
              <a:cubicBezTo>
                <a:pt x="240992" y="1387457"/>
                <a:pt x="380629" y="1166417"/>
                <a:pt x="264160" y="1341120"/>
              </a:cubicBezTo>
              <a:cubicBezTo>
                <a:pt x="210408" y="1556130"/>
                <a:pt x="283387" y="1302938"/>
                <a:pt x="203200" y="1483360"/>
              </a:cubicBezTo>
              <a:cubicBezTo>
                <a:pt x="185802" y="1522506"/>
                <a:pt x="162560" y="1605280"/>
                <a:pt x="162560" y="1605280"/>
              </a:cubicBezTo>
              <a:cubicBezTo>
                <a:pt x="169333" y="1686560"/>
                <a:pt x="172764" y="1768188"/>
                <a:pt x="182880" y="1849120"/>
              </a:cubicBezTo>
              <a:cubicBezTo>
                <a:pt x="186344" y="1876832"/>
                <a:pt x="197723" y="1903015"/>
                <a:pt x="203200" y="1930400"/>
              </a:cubicBezTo>
              <a:cubicBezTo>
                <a:pt x="211280" y="1970800"/>
                <a:pt x="216150" y="2011784"/>
                <a:pt x="223520" y="2052320"/>
              </a:cubicBezTo>
              <a:cubicBezTo>
                <a:pt x="229698" y="2086300"/>
                <a:pt x="237067" y="2120053"/>
                <a:pt x="243840" y="2153920"/>
              </a:cubicBezTo>
              <a:cubicBezTo>
                <a:pt x="219966" y="2440410"/>
                <a:pt x="205199" y="2489590"/>
                <a:pt x="243840" y="2824480"/>
              </a:cubicBezTo>
              <a:cubicBezTo>
                <a:pt x="248021" y="2860715"/>
                <a:pt x="270933" y="2892213"/>
                <a:pt x="284480" y="2926080"/>
              </a:cubicBezTo>
              <a:cubicBezTo>
                <a:pt x="277707" y="3034453"/>
                <a:pt x="278831" y="3143611"/>
                <a:pt x="264160" y="3251200"/>
              </a:cubicBezTo>
              <a:cubicBezTo>
                <a:pt x="246743" y="3378926"/>
                <a:pt x="222069" y="3339737"/>
                <a:pt x="203200" y="3434080"/>
              </a:cubicBezTo>
              <a:cubicBezTo>
                <a:pt x="196427" y="3467947"/>
                <a:pt x="191967" y="3502360"/>
                <a:pt x="182880" y="3535680"/>
              </a:cubicBezTo>
              <a:cubicBezTo>
                <a:pt x="171608" y="3577009"/>
                <a:pt x="150641" y="3615594"/>
                <a:pt x="142240" y="3657600"/>
              </a:cubicBezTo>
              <a:cubicBezTo>
                <a:pt x="135467" y="3691467"/>
                <a:pt x="131007" y="3725880"/>
                <a:pt x="121920" y="3759200"/>
              </a:cubicBezTo>
              <a:cubicBezTo>
                <a:pt x="110648" y="3800529"/>
                <a:pt x="94827" y="3840480"/>
                <a:pt x="81280" y="3881120"/>
              </a:cubicBezTo>
              <a:lnTo>
                <a:pt x="40640" y="4003040"/>
              </a:lnTo>
              <a:cubicBezTo>
                <a:pt x="33867" y="4023360"/>
                <a:pt x="25515" y="4043220"/>
                <a:pt x="20320" y="4064000"/>
              </a:cubicBezTo>
              <a:lnTo>
                <a:pt x="0" y="4145280"/>
              </a:lnTo>
              <a:cubicBezTo>
                <a:pt x="10610" y="4251378"/>
                <a:pt x="-13084" y="4335396"/>
                <a:pt x="60960" y="4409440"/>
              </a:cubicBezTo>
              <a:cubicBezTo>
                <a:pt x="78229" y="4426709"/>
                <a:pt x="101600" y="4436533"/>
                <a:pt x="121920" y="4450080"/>
              </a:cubicBezTo>
              <a:cubicBezTo>
                <a:pt x="135467" y="4429760"/>
                <a:pt x="152641" y="4411437"/>
                <a:pt x="162560" y="4389120"/>
              </a:cubicBezTo>
              <a:cubicBezTo>
                <a:pt x="179958" y="4349974"/>
                <a:pt x="203200" y="4267200"/>
                <a:pt x="203200" y="4267200"/>
              </a:cubicBezTo>
              <a:cubicBezTo>
                <a:pt x="212986" y="4169342"/>
                <a:pt x="217259" y="4059865"/>
                <a:pt x="243840" y="3962400"/>
              </a:cubicBezTo>
              <a:cubicBezTo>
                <a:pt x="255112" y="3921071"/>
                <a:pt x="276079" y="3882486"/>
                <a:pt x="284480" y="3840480"/>
              </a:cubicBezTo>
              <a:cubicBezTo>
                <a:pt x="291253" y="3806613"/>
                <a:pt x="295713" y="3772200"/>
                <a:pt x="304800" y="3738880"/>
              </a:cubicBezTo>
              <a:cubicBezTo>
                <a:pt x="316072" y="3697551"/>
                <a:pt x="345440" y="3616960"/>
                <a:pt x="345440" y="3616960"/>
              </a:cubicBezTo>
              <a:cubicBezTo>
                <a:pt x="352213" y="3556000"/>
                <a:pt x="355677" y="3494581"/>
                <a:pt x="365760" y="3434080"/>
              </a:cubicBezTo>
              <a:cubicBezTo>
                <a:pt x="369281" y="3412952"/>
                <a:pt x="380885" y="3393900"/>
                <a:pt x="386080" y="3373120"/>
              </a:cubicBezTo>
              <a:cubicBezTo>
                <a:pt x="394457" y="3339614"/>
                <a:pt x="397313" y="3304840"/>
                <a:pt x="406400" y="3271520"/>
              </a:cubicBezTo>
              <a:cubicBezTo>
                <a:pt x="417672" y="3230191"/>
                <a:pt x="447040" y="3149600"/>
                <a:pt x="447040" y="3149600"/>
              </a:cubicBezTo>
              <a:cubicBezTo>
                <a:pt x="505961" y="2737151"/>
                <a:pt x="431292" y="3251960"/>
                <a:pt x="487680" y="2885440"/>
              </a:cubicBezTo>
              <a:cubicBezTo>
                <a:pt x="539973" y="2545534"/>
                <a:pt x="477634" y="2925396"/>
                <a:pt x="528320" y="2621280"/>
              </a:cubicBezTo>
              <a:cubicBezTo>
                <a:pt x="577787" y="2695480"/>
                <a:pt x="619506" y="2752598"/>
                <a:pt x="650240" y="2844800"/>
              </a:cubicBezTo>
              <a:cubicBezTo>
                <a:pt x="663787" y="2885440"/>
                <a:pt x="680490" y="2925161"/>
                <a:pt x="690880" y="2966720"/>
              </a:cubicBezTo>
              <a:cubicBezTo>
                <a:pt x="697653" y="2993813"/>
                <a:pt x="700199" y="3022331"/>
                <a:pt x="711200" y="3048000"/>
              </a:cubicBezTo>
              <a:cubicBezTo>
                <a:pt x="720820" y="3070447"/>
                <a:pt x="741921" y="3086643"/>
                <a:pt x="751840" y="3108960"/>
              </a:cubicBezTo>
              <a:cubicBezTo>
                <a:pt x="769238" y="3148106"/>
                <a:pt x="778933" y="3190240"/>
                <a:pt x="792480" y="3230880"/>
              </a:cubicBezTo>
              <a:lnTo>
                <a:pt x="812800" y="3291840"/>
              </a:lnTo>
              <a:cubicBezTo>
                <a:pt x="819573" y="3312160"/>
                <a:pt x="828474" y="3331891"/>
                <a:pt x="833120" y="3352800"/>
              </a:cubicBezTo>
              <a:lnTo>
                <a:pt x="873760" y="3535680"/>
              </a:lnTo>
              <a:cubicBezTo>
                <a:pt x="872745" y="3555977"/>
                <a:pt x="889559" y="3948862"/>
                <a:pt x="812800" y="4064000"/>
              </a:cubicBezTo>
              <a:cubicBezTo>
                <a:pt x="799253" y="4084320"/>
                <a:pt x="782079" y="4102643"/>
                <a:pt x="772160" y="4124960"/>
              </a:cubicBezTo>
              <a:cubicBezTo>
                <a:pt x="754762" y="4164106"/>
                <a:pt x="731520" y="4246880"/>
                <a:pt x="731520" y="4246880"/>
              </a:cubicBezTo>
              <a:cubicBezTo>
                <a:pt x="738293" y="4328160"/>
                <a:pt x="738431" y="4410268"/>
                <a:pt x="751840" y="4490720"/>
              </a:cubicBezTo>
              <a:cubicBezTo>
                <a:pt x="758883" y="4532975"/>
                <a:pt x="784079" y="4570634"/>
                <a:pt x="792480" y="4612640"/>
              </a:cubicBezTo>
              <a:cubicBezTo>
                <a:pt x="822193" y="4761205"/>
                <a:pt x="807916" y="4680050"/>
                <a:pt x="833120" y="4856480"/>
              </a:cubicBezTo>
              <a:cubicBezTo>
                <a:pt x="839893" y="5093547"/>
                <a:pt x="841597" y="5330812"/>
                <a:pt x="853440" y="5567680"/>
              </a:cubicBezTo>
              <a:cubicBezTo>
                <a:pt x="863224" y="5763360"/>
                <a:pt x="883049" y="5575227"/>
                <a:pt x="955040" y="5791200"/>
              </a:cubicBezTo>
              <a:cubicBezTo>
                <a:pt x="961813" y="5811520"/>
                <a:pt x="954451" y="5847514"/>
                <a:pt x="975360" y="5852160"/>
              </a:cubicBezTo>
              <a:cubicBezTo>
                <a:pt x="1087959" y="5877182"/>
                <a:pt x="1205653" y="5865707"/>
                <a:pt x="1320800" y="5872480"/>
              </a:cubicBezTo>
              <a:cubicBezTo>
                <a:pt x="1347893" y="5879253"/>
                <a:pt x="1375227" y="5885128"/>
                <a:pt x="1402080" y="5892800"/>
              </a:cubicBezTo>
              <a:cubicBezTo>
                <a:pt x="1422675" y="5898684"/>
                <a:pt x="1441621" y="5913120"/>
                <a:pt x="1463040" y="5913120"/>
              </a:cubicBezTo>
              <a:cubicBezTo>
                <a:pt x="1504241" y="5913120"/>
                <a:pt x="1544320" y="5899573"/>
                <a:pt x="1584960" y="5892800"/>
              </a:cubicBezTo>
              <a:cubicBezTo>
                <a:pt x="1605280" y="5879253"/>
                <a:pt x="1642891" y="5876393"/>
                <a:pt x="1645920" y="5852160"/>
              </a:cubicBezTo>
              <a:cubicBezTo>
                <a:pt x="1651233" y="5809652"/>
                <a:pt x="1605280" y="5730240"/>
                <a:pt x="1605280" y="5730240"/>
              </a:cubicBezTo>
              <a:cubicBezTo>
                <a:pt x="1578902" y="5545592"/>
                <a:pt x="1600106" y="5633437"/>
                <a:pt x="1544320" y="5466080"/>
              </a:cubicBezTo>
              <a:cubicBezTo>
                <a:pt x="1537547" y="5445760"/>
                <a:pt x="1541822" y="5417001"/>
                <a:pt x="1524000" y="5405120"/>
              </a:cubicBezTo>
              <a:cubicBezTo>
                <a:pt x="1483360" y="5378027"/>
                <a:pt x="1436617" y="5358377"/>
                <a:pt x="1402080" y="5323840"/>
              </a:cubicBezTo>
              <a:cubicBezTo>
                <a:pt x="1323851" y="5245611"/>
                <a:pt x="1365030" y="5278820"/>
                <a:pt x="1280160" y="5222240"/>
              </a:cubicBezTo>
              <a:cubicBezTo>
                <a:pt x="1266613" y="5181600"/>
                <a:pt x="1263282" y="5135964"/>
                <a:pt x="1239520" y="5100320"/>
              </a:cubicBezTo>
              <a:cubicBezTo>
                <a:pt x="1146359" y="4960578"/>
                <a:pt x="1173686" y="5024737"/>
                <a:pt x="1137920" y="4917440"/>
              </a:cubicBezTo>
              <a:cubicBezTo>
                <a:pt x="1144693" y="4856480"/>
                <a:pt x="1148157" y="4795061"/>
                <a:pt x="1158240" y="4734560"/>
              </a:cubicBezTo>
              <a:cubicBezTo>
                <a:pt x="1164008" y="4699953"/>
                <a:pt x="1203108" y="4614849"/>
                <a:pt x="1219200" y="4592320"/>
              </a:cubicBezTo>
              <a:cubicBezTo>
                <a:pt x="1235903" y="4568936"/>
                <a:pt x="1259840" y="4551680"/>
                <a:pt x="1280160" y="4531360"/>
              </a:cubicBezTo>
              <a:cubicBezTo>
                <a:pt x="1286933" y="4470400"/>
                <a:pt x="1262164" y="4396375"/>
                <a:pt x="1300480" y="4348480"/>
              </a:cubicBezTo>
              <a:cubicBezTo>
                <a:pt x="1321636" y="4322035"/>
                <a:pt x="1346294" y="4399469"/>
                <a:pt x="1361440" y="4429760"/>
              </a:cubicBezTo>
              <a:cubicBezTo>
                <a:pt x="1506528" y="4719937"/>
                <a:pt x="1323176" y="4433323"/>
                <a:pt x="1442720" y="4612640"/>
              </a:cubicBezTo>
              <a:cubicBezTo>
                <a:pt x="1453748" y="4899355"/>
                <a:pt x="1423922" y="5064245"/>
                <a:pt x="1503680" y="5303520"/>
              </a:cubicBezTo>
              <a:cubicBezTo>
                <a:pt x="1510453" y="5323840"/>
                <a:pt x="1512119" y="5346658"/>
                <a:pt x="1524000" y="5364480"/>
              </a:cubicBezTo>
              <a:cubicBezTo>
                <a:pt x="1539940" y="5388390"/>
                <a:pt x="1564640" y="5405120"/>
                <a:pt x="1584960" y="5425440"/>
              </a:cubicBezTo>
              <a:cubicBezTo>
                <a:pt x="1591733" y="5459307"/>
                <a:pt x="1596193" y="5493720"/>
                <a:pt x="1605280" y="5527040"/>
              </a:cubicBezTo>
              <a:cubicBezTo>
                <a:pt x="1616552" y="5568369"/>
                <a:pt x="1637519" y="5606954"/>
                <a:pt x="1645920" y="5648960"/>
              </a:cubicBezTo>
              <a:cubicBezTo>
                <a:pt x="1652693" y="5682827"/>
                <a:pt x="1649105" y="5720573"/>
                <a:pt x="1666240" y="5750560"/>
              </a:cubicBezTo>
              <a:cubicBezTo>
                <a:pt x="1678357" y="5771764"/>
                <a:pt x="1706880" y="5777653"/>
                <a:pt x="1727200" y="5791200"/>
              </a:cubicBezTo>
              <a:cubicBezTo>
                <a:pt x="1815253" y="5784427"/>
                <a:pt x="1903532" y="5780125"/>
                <a:pt x="1991360" y="5770880"/>
              </a:cubicBezTo>
              <a:cubicBezTo>
                <a:pt x="2032334" y="5766567"/>
                <a:pt x="2086904" y="5782211"/>
                <a:pt x="2113280" y="5750560"/>
              </a:cubicBezTo>
              <a:cubicBezTo>
                <a:pt x="2135390" y="5724028"/>
                <a:pt x="2102047" y="5682280"/>
                <a:pt x="2092960" y="5648960"/>
              </a:cubicBezTo>
              <a:cubicBezTo>
                <a:pt x="2054132" y="5506589"/>
                <a:pt x="2056406" y="5533169"/>
                <a:pt x="1971040" y="5405120"/>
              </a:cubicBezTo>
              <a:lnTo>
                <a:pt x="1971040" y="5405120"/>
              </a:lnTo>
              <a:cubicBezTo>
                <a:pt x="1922677" y="5260032"/>
                <a:pt x="1954162" y="5318844"/>
                <a:pt x="1889760" y="5222240"/>
              </a:cubicBezTo>
              <a:cubicBezTo>
                <a:pt x="1882987" y="5195147"/>
                <a:pt x="1877112" y="5167813"/>
                <a:pt x="1869440" y="5140960"/>
              </a:cubicBezTo>
              <a:cubicBezTo>
                <a:pt x="1863556" y="5120365"/>
                <a:pt x="1853936" y="5100871"/>
                <a:pt x="1849120" y="5080000"/>
              </a:cubicBezTo>
              <a:cubicBezTo>
                <a:pt x="1811595" y="4917393"/>
                <a:pt x="1809576" y="4884470"/>
                <a:pt x="1788160" y="4734560"/>
              </a:cubicBezTo>
              <a:cubicBezTo>
                <a:pt x="1819069" y="3869099"/>
                <a:pt x="1761041" y="4389234"/>
                <a:pt x="1828800" y="4084320"/>
              </a:cubicBezTo>
              <a:cubicBezTo>
                <a:pt x="1836292" y="4050605"/>
                <a:pt x="1834828" y="4014162"/>
                <a:pt x="1849120" y="3982720"/>
              </a:cubicBezTo>
              <a:cubicBezTo>
                <a:pt x="1869331" y="3938255"/>
                <a:pt x="1889760" y="3887893"/>
                <a:pt x="1930400" y="3860800"/>
              </a:cubicBezTo>
              <a:lnTo>
                <a:pt x="2052320" y="3779520"/>
              </a:lnTo>
              <a:cubicBezTo>
                <a:pt x="2072640" y="3765973"/>
                <a:pt x="2096011" y="3756149"/>
                <a:pt x="2113280" y="3738880"/>
              </a:cubicBezTo>
              <a:cubicBezTo>
                <a:pt x="2158220" y="3693940"/>
                <a:pt x="2178620" y="3665570"/>
                <a:pt x="2235200" y="3637280"/>
              </a:cubicBezTo>
              <a:cubicBezTo>
                <a:pt x="2254358" y="3627701"/>
                <a:pt x="2275840" y="3623733"/>
                <a:pt x="2296160" y="3616960"/>
              </a:cubicBezTo>
              <a:cubicBezTo>
                <a:pt x="2402477" y="3626625"/>
                <a:pt x="2516303" y="3628970"/>
                <a:pt x="2621280" y="3657600"/>
              </a:cubicBezTo>
              <a:cubicBezTo>
                <a:pt x="2662609" y="3668872"/>
                <a:pt x="2702560" y="3684693"/>
                <a:pt x="2743200" y="3698240"/>
              </a:cubicBezTo>
              <a:cubicBezTo>
                <a:pt x="2763520" y="3705013"/>
                <a:pt x="2786338" y="3706679"/>
                <a:pt x="2804160" y="3718560"/>
              </a:cubicBezTo>
              <a:cubicBezTo>
                <a:pt x="2824480" y="3732107"/>
                <a:pt x="2842803" y="3749281"/>
                <a:pt x="2865120" y="3759200"/>
              </a:cubicBezTo>
              <a:cubicBezTo>
                <a:pt x="2904266" y="3776598"/>
                <a:pt x="2946400" y="3786293"/>
                <a:pt x="2987040" y="3799840"/>
              </a:cubicBezTo>
              <a:lnTo>
                <a:pt x="3108960" y="3840480"/>
              </a:lnTo>
              <a:cubicBezTo>
                <a:pt x="3129280" y="3847253"/>
                <a:pt x="3148917" y="3856599"/>
                <a:pt x="3169920" y="3860800"/>
              </a:cubicBezTo>
              <a:lnTo>
                <a:pt x="3271520" y="3881120"/>
              </a:lnTo>
              <a:cubicBezTo>
                <a:pt x="3417350" y="3978340"/>
                <a:pt x="3358903" y="3927863"/>
                <a:pt x="3454400" y="4023360"/>
              </a:cubicBezTo>
              <a:cubicBezTo>
                <a:pt x="3474720" y="4009813"/>
                <a:pt x="3506290" y="4005395"/>
                <a:pt x="3515360" y="3982720"/>
              </a:cubicBezTo>
              <a:cubicBezTo>
                <a:pt x="3522965" y="3963707"/>
                <a:pt x="3453568" y="3879813"/>
                <a:pt x="3515360" y="3860800"/>
              </a:cubicBezTo>
              <a:cubicBezTo>
                <a:pt x="3593315" y="3836814"/>
                <a:pt x="3677920" y="3847253"/>
                <a:pt x="3759200" y="3840480"/>
              </a:cubicBezTo>
              <a:cubicBezTo>
                <a:pt x="3779520" y="3833707"/>
                <a:pt x="3798750" y="3819530"/>
                <a:pt x="3820160" y="3820160"/>
              </a:cubicBezTo>
              <a:cubicBezTo>
                <a:pt x="4030479" y="3826346"/>
                <a:pt x="4450080" y="3860800"/>
                <a:pt x="4450080" y="3860800"/>
              </a:cubicBezTo>
              <a:cubicBezTo>
                <a:pt x="4531360" y="3854027"/>
                <a:pt x="4613106" y="3851500"/>
                <a:pt x="4693920" y="3840480"/>
              </a:cubicBezTo>
              <a:cubicBezTo>
                <a:pt x="4762361" y="3831147"/>
                <a:pt x="4828329" y="3806094"/>
                <a:pt x="4897120" y="3799840"/>
              </a:cubicBezTo>
              <a:lnTo>
                <a:pt x="5120640" y="3779520"/>
              </a:lnTo>
              <a:cubicBezTo>
                <a:pt x="5128575" y="3795391"/>
                <a:pt x="5181600" y="3891861"/>
                <a:pt x="5181600" y="3921760"/>
              </a:cubicBezTo>
              <a:cubicBezTo>
                <a:pt x="5181600" y="4207239"/>
                <a:pt x="5183939" y="4176566"/>
                <a:pt x="5140960" y="4348480"/>
              </a:cubicBezTo>
              <a:cubicBezTo>
                <a:pt x="5126393" y="4479583"/>
                <a:pt x="5099809" y="4602878"/>
                <a:pt x="5140960" y="4734560"/>
              </a:cubicBezTo>
              <a:cubicBezTo>
                <a:pt x="5155529" y="4781180"/>
                <a:pt x="5222240" y="4856480"/>
                <a:pt x="5222240" y="4856480"/>
              </a:cubicBezTo>
              <a:cubicBezTo>
                <a:pt x="5208693" y="4978400"/>
                <a:pt x="5196216" y="5100444"/>
                <a:pt x="5181600" y="5222240"/>
              </a:cubicBezTo>
              <a:cubicBezTo>
                <a:pt x="5175894" y="5269794"/>
                <a:pt x="5161280" y="5316585"/>
                <a:pt x="5161280" y="5364480"/>
              </a:cubicBezTo>
              <a:cubicBezTo>
                <a:pt x="5161280" y="5687102"/>
                <a:pt x="5146759" y="5625716"/>
                <a:pt x="5201920" y="5791200"/>
              </a:cubicBezTo>
              <a:cubicBezTo>
                <a:pt x="5192338" y="5819947"/>
                <a:pt x="5161280" y="5907925"/>
                <a:pt x="5161280" y="5933440"/>
              </a:cubicBezTo>
              <a:cubicBezTo>
                <a:pt x="5161280" y="5954859"/>
                <a:pt x="5171198" y="5975676"/>
                <a:pt x="5181600" y="5994400"/>
              </a:cubicBezTo>
              <a:cubicBezTo>
                <a:pt x="5227644" y="6077278"/>
                <a:pt x="5237206" y="6125811"/>
                <a:pt x="5323840" y="6136640"/>
              </a:cubicBezTo>
              <a:cubicBezTo>
                <a:pt x="5411471" y="6147594"/>
                <a:pt x="5500125" y="6148172"/>
                <a:pt x="5588000" y="6156960"/>
              </a:cubicBezTo>
              <a:cubicBezTo>
                <a:pt x="5635657" y="6161726"/>
                <a:pt x="5682827" y="6170507"/>
                <a:pt x="5730240" y="6177280"/>
              </a:cubicBezTo>
              <a:cubicBezTo>
                <a:pt x="5764107" y="6170507"/>
                <a:pt x="5803103" y="6176118"/>
                <a:pt x="5831840" y="6156960"/>
              </a:cubicBezTo>
              <a:cubicBezTo>
                <a:pt x="5849662" y="6145079"/>
                <a:pt x="5847959" y="6117003"/>
                <a:pt x="5852160" y="6096000"/>
              </a:cubicBezTo>
              <a:cubicBezTo>
                <a:pt x="5861553" y="6049035"/>
                <a:pt x="5851061" y="5996598"/>
                <a:pt x="5872480" y="5953760"/>
              </a:cubicBezTo>
              <a:cubicBezTo>
                <a:pt x="5882059" y="5934602"/>
                <a:pt x="5913120" y="5940213"/>
                <a:pt x="5933440" y="5933440"/>
              </a:cubicBezTo>
              <a:cubicBezTo>
                <a:pt x="5946987" y="5913120"/>
                <a:pt x="5971051" y="5896713"/>
                <a:pt x="5974080" y="5872480"/>
              </a:cubicBezTo>
              <a:cubicBezTo>
                <a:pt x="5981694" y="5811571"/>
                <a:pt x="5949779" y="5753911"/>
                <a:pt x="5913120" y="5709920"/>
              </a:cubicBezTo>
              <a:cubicBezTo>
                <a:pt x="5894723" y="5687844"/>
                <a:pt x="5868863" y="5672344"/>
                <a:pt x="5852160" y="5648960"/>
              </a:cubicBezTo>
              <a:cubicBezTo>
                <a:pt x="5834554" y="5624311"/>
                <a:pt x="5825067" y="5594773"/>
                <a:pt x="5811520" y="5567680"/>
              </a:cubicBezTo>
              <a:cubicBezTo>
                <a:pt x="5797210" y="5438890"/>
                <a:pt x="5801935" y="5407038"/>
                <a:pt x="5770880" y="5303520"/>
              </a:cubicBezTo>
              <a:cubicBezTo>
                <a:pt x="5758570" y="5262488"/>
                <a:pt x="5730240" y="5181600"/>
                <a:pt x="5730240" y="5181600"/>
              </a:cubicBezTo>
              <a:cubicBezTo>
                <a:pt x="5770058" y="4942693"/>
                <a:pt x="5730463" y="5160276"/>
                <a:pt x="5770880" y="4978400"/>
              </a:cubicBezTo>
              <a:cubicBezTo>
                <a:pt x="5778372" y="4944685"/>
                <a:pt x="5782113" y="4910120"/>
                <a:pt x="5791200" y="4876800"/>
              </a:cubicBezTo>
              <a:cubicBezTo>
                <a:pt x="5802472" y="4835471"/>
                <a:pt x="5808078" y="4790524"/>
                <a:pt x="5831840" y="4754880"/>
              </a:cubicBezTo>
              <a:cubicBezTo>
                <a:pt x="5845387" y="4734560"/>
                <a:pt x="5862561" y="4716237"/>
                <a:pt x="5872480" y="4693920"/>
              </a:cubicBezTo>
              <a:cubicBezTo>
                <a:pt x="5889878" y="4654774"/>
                <a:pt x="5899573" y="4612640"/>
                <a:pt x="5913120" y="4572000"/>
              </a:cubicBezTo>
              <a:cubicBezTo>
                <a:pt x="5941320" y="4487399"/>
                <a:pt x="5934143" y="4517331"/>
                <a:pt x="5953760" y="4409440"/>
              </a:cubicBezTo>
              <a:cubicBezTo>
                <a:pt x="5965187" y="4346594"/>
                <a:pt x="5977621" y="4221249"/>
                <a:pt x="6014720" y="4165600"/>
              </a:cubicBezTo>
              <a:cubicBezTo>
                <a:pt x="6028267" y="4145280"/>
                <a:pt x="6034651" y="4117583"/>
                <a:pt x="6055360" y="4104640"/>
              </a:cubicBezTo>
              <a:cubicBezTo>
                <a:pt x="6107859" y="4071828"/>
                <a:pt x="6217658" y="4057285"/>
                <a:pt x="6278880" y="4043680"/>
              </a:cubicBezTo>
              <a:cubicBezTo>
                <a:pt x="6306142" y="4037622"/>
                <a:pt x="6332775" y="4028837"/>
                <a:pt x="6360160" y="4023360"/>
              </a:cubicBezTo>
              <a:cubicBezTo>
                <a:pt x="6538970" y="3987598"/>
                <a:pt x="6424402" y="4022266"/>
                <a:pt x="6543040" y="3982720"/>
              </a:cubicBezTo>
              <a:cubicBezTo>
                <a:pt x="6678327" y="3847433"/>
                <a:pt x="6550802" y="3993133"/>
                <a:pt x="6624320" y="3860800"/>
              </a:cubicBezTo>
              <a:cubicBezTo>
                <a:pt x="6648040" y="3818103"/>
                <a:pt x="6678507" y="3779520"/>
                <a:pt x="6705600" y="3738880"/>
              </a:cubicBezTo>
              <a:cubicBezTo>
                <a:pt x="6719147" y="3718560"/>
                <a:pt x="6738517" y="3701088"/>
                <a:pt x="6746240" y="3677920"/>
              </a:cubicBezTo>
              <a:cubicBezTo>
                <a:pt x="6759787" y="3637280"/>
                <a:pt x="6763118" y="3591644"/>
                <a:pt x="6786880" y="3556000"/>
              </a:cubicBezTo>
              <a:cubicBezTo>
                <a:pt x="6800427" y="3535680"/>
                <a:pt x="6816598" y="3516883"/>
                <a:pt x="6827520" y="3495040"/>
              </a:cubicBezTo>
              <a:cubicBezTo>
                <a:pt x="6837099" y="3475882"/>
                <a:pt x="6838261" y="3453238"/>
                <a:pt x="6847840" y="3434080"/>
              </a:cubicBezTo>
              <a:cubicBezTo>
                <a:pt x="6858762" y="3412237"/>
                <a:pt x="6877558" y="3394963"/>
                <a:pt x="6888480" y="3373120"/>
              </a:cubicBezTo>
              <a:cubicBezTo>
                <a:pt x="6898059" y="3353962"/>
                <a:pt x="6891371" y="3324610"/>
                <a:pt x="6908800" y="3312160"/>
              </a:cubicBezTo>
              <a:cubicBezTo>
                <a:pt x="6943659" y="3287261"/>
                <a:pt x="7030720" y="3271520"/>
                <a:pt x="7030720" y="3271520"/>
              </a:cubicBezTo>
              <a:cubicBezTo>
                <a:pt x="7137251" y="3164989"/>
                <a:pt x="7068109" y="3258515"/>
                <a:pt x="7112000" y="3068320"/>
              </a:cubicBezTo>
              <a:cubicBezTo>
                <a:pt x="7149250" y="2906905"/>
                <a:pt x="7130719" y="2984897"/>
                <a:pt x="7213600" y="2885440"/>
              </a:cubicBezTo>
              <a:cubicBezTo>
                <a:pt x="7229234" y="2866679"/>
                <a:pt x="7235861" y="2840562"/>
                <a:pt x="7254240" y="2824480"/>
              </a:cubicBezTo>
              <a:lnTo>
                <a:pt x="7437120" y="2702560"/>
              </a:lnTo>
              <a:cubicBezTo>
                <a:pt x="7457440" y="2689013"/>
                <a:pt x="7474912" y="2669643"/>
                <a:pt x="7498080" y="2661920"/>
              </a:cubicBezTo>
              <a:lnTo>
                <a:pt x="7620000" y="2621280"/>
              </a:lnTo>
              <a:cubicBezTo>
                <a:pt x="7647093" y="2600960"/>
                <a:pt x="7673535" y="2579741"/>
                <a:pt x="7701280" y="2560320"/>
              </a:cubicBezTo>
              <a:cubicBezTo>
                <a:pt x="7741294" y="2532310"/>
                <a:pt x="7788663" y="2513577"/>
                <a:pt x="7823200" y="2479040"/>
              </a:cubicBezTo>
              <a:lnTo>
                <a:pt x="7884160" y="2418080"/>
              </a:lnTo>
              <a:cubicBezTo>
                <a:pt x="8073813" y="2424853"/>
                <a:pt x="8263739" y="2426182"/>
                <a:pt x="8453120" y="2438400"/>
              </a:cubicBezTo>
              <a:cubicBezTo>
                <a:pt x="8474495" y="2439779"/>
                <a:pt x="8494922" y="2449141"/>
                <a:pt x="8514080" y="2458720"/>
              </a:cubicBezTo>
              <a:cubicBezTo>
                <a:pt x="8535923" y="2469642"/>
                <a:pt x="8554720" y="2485813"/>
                <a:pt x="8575040" y="2499360"/>
              </a:cubicBezTo>
              <a:cubicBezTo>
                <a:pt x="8678574" y="2430337"/>
                <a:pt x="8632974" y="2441859"/>
                <a:pt x="8818880" y="2479040"/>
              </a:cubicBezTo>
              <a:cubicBezTo>
                <a:pt x="8860886" y="2487441"/>
                <a:pt x="8940800" y="2519680"/>
                <a:pt x="8940800" y="2519680"/>
              </a:cubicBezTo>
              <a:cubicBezTo>
                <a:pt x="9059544" y="2502717"/>
                <a:pt x="9077673" y="2502810"/>
                <a:pt x="9184640" y="2479040"/>
              </a:cubicBezTo>
              <a:cubicBezTo>
                <a:pt x="9327568" y="2447278"/>
                <a:pt x="9208081" y="2472342"/>
                <a:pt x="9326880" y="2438400"/>
              </a:cubicBezTo>
              <a:cubicBezTo>
                <a:pt x="9353733" y="2430728"/>
                <a:pt x="9381067" y="2424853"/>
                <a:pt x="9408160" y="2418080"/>
              </a:cubicBezTo>
              <a:cubicBezTo>
                <a:pt x="9414933" y="2363893"/>
                <a:pt x="9392200" y="2296335"/>
                <a:pt x="9428480" y="2255520"/>
              </a:cubicBezTo>
              <a:cubicBezTo>
                <a:pt x="9460300" y="2219723"/>
                <a:pt x="9539551" y="2271564"/>
                <a:pt x="9570720" y="2235200"/>
              </a:cubicBezTo>
              <a:cubicBezTo>
                <a:pt x="9597533" y="2203918"/>
                <a:pt x="9556227" y="2154066"/>
                <a:pt x="9550400" y="2113280"/>
              </a:cubicBezTo>
              <a:cubicBezTo>
                <a:pt x="9542677" y="2059220"/>
                <a:pt x="9539849" y="2004448"/>
                <a:pt x="9530080" y="1950720"/>
              </a:cubicBezTo>
              <a:cubicBezTo>
                <a:pt x="9516668" y="1876953"/>
                <a:pt x="9470667" y="1831121"/>
                <a:pt x="9428480" y="1767840"/>
              </a:cubicBezTo>
              <a:lnTo>
                <a:pt x="9387840" y="1706880"/>
              </a:lnTo>
              <a:cubicBezTo>
                <a:pt x="9374293" y="1686560"/>
                <a:pt x="9354923" y="1669088"/>
                <a:pt x="9347200" y="1645920"/>
              </a:cubicBezTo>
              <a:cubicBezTo>
                <a:pt x="9340427" y="1625600"/>
                <a:pt x="9337282" y="1603684"/>
                <a:pt x="9326880" y="1584960"/>
              </a:cubicBezTo>
              <a:cubicBezTo>
                <a:pt x="9266117" y="1475587"/>
                <a:pt x="9258688" y="1476128"/>
                <a:pt x="9184640" y="1402080"/>
              </a:cubicBezTo>
              <a:cubicBezTo>
                <a:pt x="9124401" y="1161124"/>
                <a:pt x="9216808" y="1542602"/>
                <a:pt x="9144000" y="1178560"/>
              </a:cubicBezTo>
              <a:cubicBezTo>
                <a:pt x="9139799" y="1157557"/>
                <a:pt x="9129564" y="1138195"/>
                <a:pt x="9123680" y="1117600"/>
              </a:cubicBezTo>
              <a:cubicBezTo>
                <a:pt x="9116008" y="1090747"/>
                <a:pt x="9114361" y="1061989"/>
                <a:pt x="9103360" y="1036320"/>
              </a:cubicBezTo>
              <a:cubicBezTo>
                <a:pt x="9073655" y="967009"/>
                <a:pt x="9048364" y="974320"/>
                <a:pt x="9001760" y="914400"/>
              </a:cubicBezTo>
              <a:cubicBezTo>
                <a:pt x="8909848" y="796227"/>
                <a:pt x="8924410" y="804269"/>
                <a:pt x="8879840" y="670560"/>
              </a:cubicBezTo>
              <a:lnTo>
                <a:pt x="8859520" y="609600"/>
              </a:lnTo>
              <a:cubicBezTo>
                <a:pt x="8873067" y="541867"/>
                <a:pt x="8834630" y="428243"/>
                <a:pt x="8900160" y="406400"/>
              </a:cubicBezTo>
              <a:cubicBezTo>
                <a:pt x="9081331" y="346010"/>
                <a:pt x="8795448" y="442630"/>
                <a:pt x="9062720" y="345440"/>
              </a:cubicBezTo>
              <a:cubicBezTo>
                <a:pt x="9222317" y="287405"/>
                <a:pt x="9140725" y="334077"/>
                <a:pt x="9245600" y="264160"/>
              </a:cubicBezTo>
              <a:cubicBezTo>
                <a:pt x="9254157" y="251324"/>
                <a:pt x="9317076" y="168530"/>
                <a:pt x="9306560" y="142240"/>
              </a:cubicBezTo>
              <a:cubicBezTo>
                <a:pt x="9297490" y="119565"/>
                <a:pt x="9265920" y="115147"/>
                <a:pt x="9245600" y="101600"/>
              </a:cubicBezTo>
              <a:cubicBezTo>
                <a:pt x="9218507" y="108373"/>
                <a:pt x="9191705" y="116443"/>
                <a:pt x="9164320" y="121920"/>
              </a:cubicBezTo>
              <a:cubicBezTo>
                <a:pt x="9123920" y="130000"/>
                <a:pt x="9082370" y="132247"/>
                <a:pt x="9042400" y="142240"/>
              </a:cubicBezTo>
              <a:cubicBezTo>
                <a:pt x="8832705" y="194664"/>
                <a:pt x="8992955" y="156802"/>
                <a:pt x="8859520" y="223520"/>
              </a:cubicBezTo>
              <a:cubicBezTo>
                <a:pt x="8840362" y="233099"/>
                <a:pt x="8817718" y="234261"/>
                <a:pt x="8798560" y="243840"/>
              </a:cubicBezTo>
              <a:cubicBezTo>
                <a:pt x="8776717" y="254762"/>
                <a:pt x="8756361" y="268846"/>
                <a:pt x="8737600" y="284480"/>
              </a:cubicBezTo>
              <a:cubicBezTo>
                <a:pt x="8715524" y="302877"/>
                <a:pt x="8701760" y="331484"/>
                <a:pt x="8676640" y="345440"/>
              </a:cubicBezTo>
              <a:cubicBezTo>
                <a:pt x="8639193" y="366244"/>
                <a:pt x="8554720" y="386080"/>
                <a:pt x="8554720" y="386080"/>
              </a:cubicBezTo>
              <a:cubicBezTo>
                <a:pt x="8514080" y="372533"/>
                <a:pt x="8425757" y="387695"/>
                <a:pt x="8432800" y="345440"/>
              </a:cubicBezTo>
              <a:cubicBezTo>
                <a:pt x="8439573" y="304800"/>
                <a:pt x="8429493" y="257273"/>
                <a:pt x="8453120" y="223520"/>
              </a:cubicBezTo>
              <a:cubicBezTo>
                <a:pt x="8481130" y="183506"/>
                <a:pt x="8575040" y="142240"/>
                <a:pt x="8575040" y="142240"/>
              </a:cubicBezTo>
              <a:cubicBezTo>
                <a:pt x="8581813" y="121920"/>
                <a:pt x="8585781" y="100438"/>
                <a:pt x="8595360" y="81280"/>
              </a:cubicBezTo>
              <a:cubicBezTo>
                <a:pt x="8606282" y="59437"/>
                <a:pt x="8641923" y="44012"/>
                <a:pt x="8636000" y="20320"/>
              </a:cubicBezTo>
              <a:cubicBezTo>
                <a:pt x="8630805" y="-460"/>
                <a:pt x="8595360" y="6773"/>
                <a:pt x="8575040" y="0"/>
              </a:cubicBezTo>
              <a:cubicBezTo>
                <a:pt x="8486987" y="6773"/>
                <a:pt x="8397681" y="4045"/>
                <a:pt x="8310880" y="20320"/>
              </a:cubicBezTo>
              <a:cubicBezTo>
                <a:pt x="8246372" y="32415"/>
                <a:pt x="8189283" y="151916"/>
                <a:pt x="8168640" y="182880"/>
              </a:cubicBezTo>
              <a:cubicBezTo>
                <a:pt x="8155093" y="203200"/>
                <a:pt x="8135723" y="220672"/>
                <a:pt x="8128000" y="243840"/>
              </a:cubicBezTo>
              <a:cubicBezTo>
                <a:pt x="8098849" y="331294"/>
                <a:pt x="8112875" y="284020"/>
                <a:pt x="8087360" y="386080"/>
              </a:cubicBezTo>
              <a:cubicBezTo>
                <a:pt x="8019627" y="379307"/>
                <a:pt x="7951440" y="376111"/>
                <a:pt x="7884160" y="365760"/>
              </a:cubicBezTo>
              <a:cubicBezTo>
                <a:pt x="7862990" y="362503"/>
                <a:pt x="7844619" y="345440"/>
                <a:pt x="7823200" y="345440"/>
              </a:cubicBezTo>
              <a:cubicBezTo>
                <a:pt x="7687564" y="345440"/>
                <a:pt x="7552267" y="358987"/>
                <a:pt x="7416800" y="365760"/>
              </a:cubicBezTo>
              <a:cubicBezTo>
                <a:pt x="7396480" y="372533"/>
                <a:pt x="7370986" y="370934"/>
                <a:pt x="7355840" y="386080"/>
              </a:cubicBezTo>
              <a:cubicBezTo>
                <a:pt x="7340694" y="401226"/>
                <a:pt x="7339352" y="425966"/>
                <a:pt x="7335520" y="447040"/>
              </a:cubicBezTo>
              <a:cubicBezTo>
                <a:pt x="7325751" y="500768"/>
                <a:pt x="7337379" y="559698"/>
                <a:pt x="7315200" y="609600"/>
              </a:cubicBezTo>
              <a:cubicBezTo>
                <a:pt x="7306501" y="629173"/>
                <a:pt x="7275243" y="625719"/>
                <a:pt x="7254240" y="629920"/>
              </a:cubicBezTo>
              <a:cubicBezTo>
                <a:pt x="7207275" y="639313"/>
                <a:pt x="7159413" y="643467"/>
                <a:pt x="7112000" y="650240"/>
              </a:cubicBezTo>
              <a:cubicBezTo>
                <a:pt x="6962987" y="643467"/>
                <a:pt x="6813652" y="641815"/>
                <a:pt x="6664960" y="629920"/>
              </a:cubicBezTo>
              <a:cubicBezTo>
                <a:pt x="6618236" y="626182"/>
                <a:pt x="6562385" y="582182"/>
                <a:pt x="6522720" y="568960"/>
              </a:cubicBezTo>
              <a:cubicBezTo>
                <a:pt x="6489955" y="558038"/>
                <a:pt x="6454835" y="556132"/>
                <a:pt x="6421120" y="548640"/>
              </a:cubicBezTo>
              <a:cubicBezTo>
                <a:pt x="6393858" y="542582"/>
                <a:pt x="6366693" y="535992"/>
                <a:pt x="6339840" y="528320"/>
              </a:cubicBezTo>
              <a:cubicBezTo>
                <a:pt x="6319245" y="522436"/>
                <a:pt x="6300245" y="509526"/>
                <a:pt x="6278880" y="508000"/>
              </a:cubicBezTo>
              <a:cubicBezTo>
                <a:pt x="6109842" y="495926"/>
                <a:pt x="5940213" y="494453"/>
                <a:pt x="5770880" y="487680"/>
              </a:cubicBezTo>
              <a:cubicBezTo>
                <a:pt x="5696373" y="494453"/>
                <a:pt x="5620721" y="493328"/>
                <a:pt x="5547360" y="508000"/>
              </a:cubicBezTo>
              <a:cubicBezTo>
                <a:pt x="5339343" y="549603"/>
                <a:pt x="5589283" y="551920"/>
                <a:pt x="5384800" y="568960"/>
              </a:cubicBezTo>
              <a:cubicBezTo>
                <a:pt x="5249633" y="580224"/>
                <a:pt x="5113867" y="582507"/>
                <a:pt x="4978400" y="589280"/>
              </a:cubicBezTo>
              <a:cubicBezTo>
                <a:pt x="4951307" y="596053"/>
                <a:pt x="4924667" y="605009"/>
                <a:pt x="4897120" y="609600"/>
              </a:cubicBezTo>
              <a:cubicBezTo>
                <a:pt x="4824947" y="621629"/>
                <a:pt x="4689386" y="631054"/>
                <a:pt x="4612640" y="650240"/>
              </a:cubicBezTo>
              <a:cubicBezTo>
                <a:pt x="4571081" y="660630"/>
                <a:pt x="4532726" y="682479"/>
                <a:pt x="4490720" y="690880"/>
              </a:cubicBezTo>
              <a:cubicBezTo>
                <a:pt x="4422987" y="704427"/>
                <a:pt x="4353050" y="709677"/>
                <a:pt x="4287520" y="731520"/>
              </a:cubicBezTo>
              <a:lnTo>
                <a:pt x="4226560" y="751840"/>
              </a:lnTo>
            </a:path>
          </a:pathLst>
        </a:custGeom>
        <a:solidFill>
          <a:sysClr val="windowText" lastClr="000000"/>
        </a:solidFill>
        <a:ln w="25400" cap="flat" cmpd="sng" algn="ctr">
          <a:noFill/>
          <a:prstDash val="solid"/>
        </a:ln>
        <a:effectLst/>
        <a:scene3d>
          <a:camera prst="orthographicFront">
            <a:rot lat="0" lon="10800000" rev="0"/>
          </a:camera>
          <a:lightRig rig="threePt" dir="t"/>
        </a:scene3d>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defRPr/>
          </a:pPr>
          <a:endParaRPr kumimoji="0" lang="ja-JP" altLang="en-US" sz="2000" kern="0">
            <a:solidFill>
              <a:prstClr val="white"/>
            </a:solidFill>
            <a:latin typeface="Calibri"/>
            <a:ea typeface="ＭＳ Ｐゴシック"/>
          </a:endParaRPr>
        </a:p>
      </xdr:txBody>
    </xdr:sp>
    <xdr:clientData/>
  </xdr:twoCellAnchor>
  <xdr:twoCellAnchor>
    <xdr:from>
      <xdr:col>2</xdr:col>
      <xdr:colOff>628648</xdr:colOff>
      <xdr:row>22</xdr:row>
      <xdr:rowOff>95251</xdr:rowOff>
    </xdr:from>
    <xdr:to>
      <xdr:col>4</xdr:col>
      <xdr:colOff>161924</xdr:colOff>
      <xdr:row>26</xdr:row>
      <xdr:rowOff>34739</xdr:rowOff>
    </xdr:to>
    <xdr:sp macro="" textlink="">
      <xdr:nvSpPr>
        <xdr:cNvPr id="28" name="フリーフォーム 27"/>
        <xdr:cNvSpPr/>
      </xdr:nvSpPr>
      <xdr:spPr bwMode="auto">
        <a:xfrm flipH="1">
          <a:off x="2000248" y="3867151"/>
          <a:ext cx="904876" cy="625288"/>
        </a:xfrm>
        <a:custGeom>
          <a:avLst/>
          <a:gdLst>
            <a:gd name="connsiteX0" fmla="*/ 4531360 w 9579686"/>
            <a:gd name="connsiteY0" fmla="*/ 711200 h 6177280"/>
            <a:gd name="connsiteX1" fmla="*/ 2722880 w 9579686"/>
            <a:gd name="connsiteY1" fmla="*/ 711200 h 6177280"/>
            <a:gd name="connsiteX2" fmla="*/ 2661920 w 9579686"/>
            <a:gd name="connsiteY2" fmla="*/ 690880 h 6177280"/>
            <a:gd name="connsiteX3" fmla="*/ 2540000 w 9579686"/>
            <a:gd name="connsiteY3" fmla="*/ 670560 h 6177280"/>
            <a:gd name="connsiteX4" fmla="*/ 2479040 w 9579686"/>
            <a:gd name="connsiteY4" fmla="*/ 650240 h 6177280"/>
            <a:gd name="connsiteX5" fmla="*/ 2316480 w 9579686"/>
            <a:gd name="connsiteY5" fmla="*/ 629920 h 6177280"/>
            <a:gd name="connsiteX6" fmla="*/ 2113280 w 9579686"/>
            <a:gd name="connsiteY6" fmla="*/ 589280 h 6177280"/>
            <a:gd name="connsiteX7" fmla="*/ 1341120 w 9579686"/>
            <a:gd name="connsiteY7" fmla="*/ 548640 h 6177280"/>
            <a:gd name="connsiteX8" fmla="*/ 1076960 w 9579686"/>
            <a:gd name="connsiteY8" fmla="*/ 568960 h 6177280"/>
            <a:gd name="connsiteX9" fmla="*/ 1016000 w 9579686"/>
            <a:gd name="connsiteY9" fmla="*/ 609600 h 6177280"/>
            <a:gd name="connsiteX10" fmla="*/ 955040 w 9579686"/>
            <a:gd name="connsiteY10" fmla="*/ 629920 h 6177280"/>
            <a:gd name="connsiteX11" fmla="*/ 833120 w 9579686"/>
            <a:gd name="connsiteY11" fmla="*/ 711200 h 6177280"/>
            <a:gd name="connsiteX12" fmla="*/ 711200 w 9579686"/>
            <a:gd name="connsiteY12" fmla="*/ 792480 h 6177280"/>
            <a:gd name="connsiteX13" fmla="*/ 650240 w 9579686"/>
            <a:gd name="connsiteY13" fmla="*/ 833120 h 6177280"/>
            <a:gd name="connsiteX14" fmla="*/ 548640 w 9579686"/>
            <a:gd name="connsiteY14" fmla="*/ 914400 h 6177280"/>
            <a:gd name="connsiteX15" fmla="*/ 487680 w 9579686"/>
            <a:gd name="connsiteY15" fmla="*/ 975360 h 6177280"/>
            <a:gd name="connsiteX16" fmla="*/ 426720 w 9579686"/>
            <a:gd name="connsiteY16" fmla="*/ 1016000 h 6177280"/>
            <a:gd name="connsiteX17" fmla="*/ 365760 w 9579686"/>
            <a:gd name="connsiteY17" fmla="*/ 1158240 h 6177280"/>
            <a:gd name="connsiteX18" fmla="*/ 325120 w 9579686"/>
            <a:gd name="connsiteY18" fmla="*/ 1219200 h 6177280"/>
            <a:gd name="connsiteX19" fmla="*/ 264160 w 9579686"/>
            <a:gd name="connsiteY19" fmla="*/ 1341120 h 6177280"/>
            <a:gd name="connsiteX20" fmla="*/ 203200 w 9579686"/>
            <a:gd name="connsiteY20" fmla="*/ 1483360 h 6177280"/>
            <a:gd name="connsiteX21" fmla="*/ 162560 w 9579686"/>
            <a:gd name="connsiteY21" fmla="*/ 1605280 h 6177280"/>
            <a:gd name="connsiteX22" fmla="*/ 182880 w 9579686"/>
            <a:gd name="connsiteY22" fmla="*/ 1849120 h 6177280"/>
            <a:gd name="connsiteX23" fmla="*/ 203200 w 9579686"/>
            <a:gd name="connsiteY23" fmla="*/ 1930400 h 6177280"/>
            <a:gd name="connsiteX24" fmla="*/ 223520 w 9579686"/>
            <a:gd name="connsiteY24" fmla="*/ 2052320 h 6177280"/>
            <a:gd name="connsiteX25" fmla="*/ 243840 w 9579686"/>
            <a:gd name="connsiteY25" fmla="*/ 2153920 h 6177280"/>
            <a:gd name="connsiteX26" fmla="*/ 243840 w 9579686"/>
            <a:gd name="connsiteY26" fmla="*/ 2824480 h 6177280"/>
            <a:gd name="connsiteX27" fmla="*/ 284480 w 9579686"/>
            <a:gd name="connsiteY27" fmla="*/ 2926080 h 6177280"/>
            <a:gd name="connsiteX28" fmla="*/ 264160 w 9579686"/>
            <a:gd name="connsiteY28" fmla="*/ 3251200 h 6177280"/>
            <a:gd name="connsiteX29" fmla="*/ 203200 w 9579686"/>
            <a:gd name="connsiteY29" fmla="*/ 3434080 h 6177280"/>
            <a:gd name="connsiteX30" fmla="*/ 182880 w 9579686"/>
            <a:gd name="connsiteY30" fmla="*/ 3535680 h 6177280"/>
            <a:gd name="connsiteX31" fmla="*/ 142240 w 9579686"/>
            <a:gd name="connsiteY31" fmla="*/ 3657600 h 6177280"/>
            <a:gd name="connsiteX32" fmla="*/ 121920 w 9579686"/>
            <a:gd name="connsiteY32" fmla="*/ 3759200 h 6177280"/>
            <a:gd name="connsiteX33" fmla="*/ 81280 w 9579686"/>
            <a:gd name="connsiteY33" fmla="*/ 3881120 h 6177280"/>
            <a:gd name="connsiteX34" fmla="*/ 40640 w 9579686"/>
            <a:gd name="connsiteY34" fmla="*/ 4003040 h 6177280"/>
            <a:gd name="connsiteX35" fmla="*/ 20320 w 9579686"/>
            <a:gd name="connsiteY35" fmla="*/ 4064000 h 6177280"/>
            <a:gd name="connsiteX36" fmla="*/ 0 w 9579686"/>
            <a:gd name="connsiteY36" fmla="*/ 4145280 h 6177280"/>
            <a:gd name="connsiteX37" fmla="*/ 60960 w 9579686"/>
            <a:gd name="connsiteY37" fmla="*/ 4409440 h 6177280"/>
            <a:gd name="connsiteX38" fmla="*/ 121920 w 9579686"/>
            <a:gd name="connsiteY38" fmla="*/ 4450080 h 6177280"/>
            <a:gd name="connsiteX39" fmla="*/ 162560 w 9579686"/>
            <a:gd name="connsiteY39" fmla="*/ 4389120 h 6177280"/>
            <a:gd name="connsiteX40" fmla="*/ 203200 w 9579686"/>
            <a:gd name="connsiteY40" fmla="*/ 4267200 h 6177280"/>
            <a:gd name="connsiteX41" fmla="*/ 243840 w 9579686"/>
            <a:gd name="connsiteY41" fmla="*/ 3962400 h 6177280"/>
            <a:gd name="connsiteX42" fmla="*/ 284480 w 9579686"/>
            <a:gd name="connsiteY42" fmla="*/ 3840480 h 6177280"/>
            <a:gd name="connsiteX43" fmla="*/ 304800 w 9579686"/>
            <a:gd name="connsiteY43" fmla="*/ 3738880 h 6177280"/>
            <a:gd name="connsiteX44" fmla="*/ 345440 w 9579686"/>
            <a:gd name="connsiteY44" fmla="*/ 3616960 h 6177280"/>
            <a:gd name="connsiteX45" fmla="*/ 365760 w 9579686"/>
            <a:gd name="connsiteY45" fmla="*/ 3434080 h 6177280"/>
            <a:gd name="connsiteX46" fmla="*/ 386080 w 9579686"/>
            <a:gd name="connsiteY46" fmla="*/ 3373120 h 6177280"/>
            <a:gd name="connsiteX47" fmla="*/ 406400 w 9579686"/>
            <a:gd name="connsiteY47" fmla="*/ 3271520 h 6177280"/>
            <a:gd name="connsiteX48" fmla="*/ 447040 w 9579686"/>
            <a:gd name="connsiteY48" fmla="*/ 3149600 h 6177280"/>
            <a:gd name="connsiteX49" fmla="*/ 487680 w 9579686"/>
            <a:gd name="connsiteY49" fmla="*/ 2885440 h 6177280"/>
            <a:gd name="connsiteX50" fmla="*/ 528320 w 9579686"/>
            <a:gd name="connsiteY50" fmla="*/ 2621280 h 6177280"/>
            <a:gd name="connsiteX51" fmla="*/ 650240 w 9579686"/>
            <a:gd name="connsiteY51" fmla="*/ 2844800 h 6177280"/>
            <a:gd name="connsiteX52" fmla="*/ 690880 w 9579686"/>
            <a:gd name="connsiteY52" fmla="*/ 2966720 h 6177280"/>
            <a:gd name="connsiteX53" fmla="*/ 711200 w 9579686"/>
            <a:gd name="connsiteY53" fmla="*/ 3048000 h 6177280"/>
            <a:gd name="connsiteX54" fmla="*/ 751840 w 9579686"/>
            <a:gd name="connsiteY54" fmla="*/ 3108960 h 6177280"/>
            <a:gd name="connsiteX55" fmla="*/ 792480 w 9579686"/>
            <a:gd name="connsiteY55" fmla="*/ 3230880 h 6177280"/>
            <a:gd name="connsiteX56" fmla="*/ 812800 w 9579686"/>
            <a:gd name="connsiteY56" fmla="*/ 3291840 h 6177280"/>
            <a:gd name="connsiteX57" fmla="*/ 833120 w 9579686"/>
            <a:gd name="connsiteY57" fmla="*/ 3352800 h 6177280"/>
            <a:gd name="connsiteX58" fmla="*/ 873760 w 9579686"/>
            <a:gd name="connsiteY58" fmla="*/ 3535680 h 6177280"/>
            <a:gd name="connsiteX59" fmla="*/ 812800 w 9579686"/>
            <a:gd name="connsiteY59" fmla="*/ 4064000 h 6177280"/>
            <a:gd name="connsiteX60" fmla="*/ 772160 w 9579686"/>
            <a:gd name="connsiteY60" fmla="*/ 4124960 h 6177280"/>
            <a:gd name="connsiteX61" fmla="*/ 731520 w 9579686"/>
            <a:gd name="connsiteY61" fmla="*/ 4246880 h 6177280"/>
            <a:gd name="connsiteX62" fmla="*/ 751840 w 9579686"/>
            <a:gd name="connsiteY62" fmla="*/ 4490720 h 6177280"/>
            <a:gd name="connsiteX63" fmla="*/ 792480 w 9579686"/>
            <a:gd name="connsiteY63" fmla="*/ 4612640 h 6177280"/>
            <a:gd name="connsiteX64" fmla="*/ 833120 w 9579686"/>
            <a:gd name="connsiteY64" fmla="*/ 4856480 h 6177280"/>
            <a:gd name="connsiteX65" fmla="*/ 853440 w 9579686"/>
            <a:gd name="connsiteY65" fmla="*/ 5567680 h 6177280"/>
            <a:gd name="connsiteX66" fmla="*/ 955040 w 9579686"/>
            <a:gd name="connsiteY66" fmla="*/ 5791200 h 6177280"/>
            <a:gd name="connsiteX67" fmla="*/ 975360 w 9579686"/>
            <a:gd name="connsiteY67" fmla="*/ 5852160 h 6177280"/>
            <a:gd name="connsiteX68" fmla="*/ 1320800 w 9579686"/>
            <a:gd name="connsiteY68" fmla="*/ 5872480 h 6177280"/>
            <a:gd name="connsiteX69" fmla="*/ 1402080 w 9579686"/>
            <a:gd name="connsiteY69" fmla="*/ 5892800 h 6177280"/>
            <a:gd name="connsiteX70" fmla="*/ 1463040 w 9579686"/>
            <a:gd name="connsiteY70" fmla="*/ 5913120 h 6177280"/>
            <a:gd name="connsiteX71" fmla="*/ 1584960 w 9579686"/>
            <a:gd name="connsiteY71" fmla="*/ 5892800 h 6177280"/>
            <a:gd name="connsiteX72" fmla="*/ 1645920 w 9579686"/>
            <a:gd name="connsiteY72" fmla="*/ 5852160 h 6177280"/>
            <a:gd name="connsiteX73" fmla="*/ 1605280 w 9579686"/>
            <a:gd name="connsiteY73" fmla="*/ 5730240 h 6177280"/>
            <a:gd name="connsiteX74" fmla="*/ 1544320 w 9579686"/>
            <a:gd name="connsiteY74" fmla="*/ 5466080 h 6177280"/>
            <a:gd name="connsiteX75" fmla="*/ 1524000 w 9579686"/>
            <a:gd name="connsiteY75" fmla="*/ 5405120 h 6177280"/>
            <a:gd name="connsiteX76" fmla="*/ 1402080 w 9579686"/>
            <a:gd name="connsiteY76" fmla="*/ 5323840 h 6177280"/>
            <a:gd name="connsiteX77" fmla="*/ 1280160 w 9579686"/>
            <a:gd name="connsiteY77" fmla="*/ 5222240 h 6177280"/>
            <a:gd name="connsiteX78" fmla="*/ 1239520 w 9579686"/>
            <a:gd name="connsiteY78" fmla="*/ 5100320 h 6177280"/>
            <a:gd name="connsiteX79" fmla="*/ 1137920 w 9579686"/>
            <a:gd name="connsiteY79" fmla="*/ 4917440 h 6177280"/>
            <a:gd name="connsiteX80" fmla="*/ 1158240 w 9579686"/>
            <a:gd name="connsiteY80" fmla="*/ 4734560 h 6177280"/>
            <a:gd name="connsiteX81" fmla="*/ 1219200 w 9579686"/>
            <a:gd name="connsiteY81" fmla="*/ 4592320 h 6177280"/>
            <a:gd name="connsiteX82" fmla="*/ 1280160 w 9579686"/>
            <a:gd name="connsiteY82" fmla="*/ 4531360 h 6177280"/>
            <a:gd name="connsiteX83" fmla="*/ 1300480 w 9579686"/>
            <a:gd name="connsiteY83" fmla="*/ 4348480 h 6177280"/>
            <a:gd name="connsiteX84" fmla="*/ 1361440 w 9579686"/>
            <a:gd name="connsiteY84" fmla="*/ 4429760 h 6177280"/>
            <a:gd name="connsiteX85" fmla="*/ 1442720 w 9579686"/>
            <a:gd name="connsiteY85" fmla="*/ 4612640 h 6177280"/>
            <a:gd name="connsiteX86" fmla="*/ 1503680 w 9579686"/>
            <a:gd name="connsiteY86" fmla="*/ 5303520 h 6177280"/>
            <a:gd name="connsiteX87" fmla="*/ 1524000 w 9579686"/>
            <a:gd name="connsiteY87" fmla="*/ 5364480 h 6177280"/>
            <a:gd name="connsiteX88" fmla="*/ 1584960 w 9579686"/>
            <a:gd name="connsiteY88" fmla="*/ 5425440 h 6177280"/>
            <a:gd name="connsiteX89" fmla="*/ 1605280 w 9579686"/>
            <a:gd name="connsiteY89" fmla="*/ 5527040 h 6177280"/>
            <a:gd name="connsiteX90" fmla="*/ 1645920 w 9579686"/>
            <a:gd name="connsiteY90" fmla="*/ 5648960 h 6177280"/>
            <a:gd name="connsiteX91" fmla="*/ 1666240 w 9579686"/>
            <a:gd name="connsiteY91" fmla="*/ 5750560 h 6177280"/>
            <a:gd name="connsiteX92" fmla="*/ 1727200 w 9579686"/>
            <a:gd name="connsiteY92" fmla="*/ 5791200 h 6177280"/>
            <a:gd name="connsiteX93" fmla="*/ 1991360 w 9579686"/>
            <a:gd name="connsiteY93" fmla="*/ 5770880 h 6177280"/>
            <a:gd name="connsiteX94" fmla="*/ 2113280 w 9579686"/>
            <a:gd name="connsiteY94" fmla="*/ 5750560 h 6177280"/>
            <a:gd name="connsiteX95" fmla="*/ 2092960 w 9579686"/>
            <a:gd name="connsiteY95" fmla="*/ 5648960 h 6177280"/>
            <a:gd name="connsiteX96" fmla="*/ 1971040 w 9579686"/>
            <a:gd name="connsiteY96" fmla="*/ 5405120 h 6177280"/>
            <a:gd name="connsiteX97" fmla="*/ 1971040 w 9579686"/>
            <a:gd name="connsiteY97" fmla="*/ 5405120 h 6177280"/>
            <a:gd name="connsiteX98" fmla="*/ 1889760 w 9579686"/>
            <a:gd name="connsiteY98" fmla="*/ 5222240 h 6177280"/>
            <a:gd name="connsiteX99" fmla="*/ 1869440 w 9579686"/>
            <a:gd name="connsiteY99" fmla="*/ 5140960 h 6177280"/>
            <a:gd name="connsiteX100" fmla="*/ 1849120 w 9579686"/>
            <a:gd name="connsiteY100" fmla="*/ 5080000 h 6177280"/>
            <a:gd name="connsiteX101" fmla="*/ 1788160 w 9579686"/>
            <a:gd name="connsiteY101" fmla="*/ 4734560 h 6177280"/>
            <a:gd name="connsiteX102" fmla="*/ 1828800 w 9579686"/>
            <a:gd name="connsiteY102" fmla="*/ 4084320 h 6177280"/>
            <a:gd name="connsiteX103" fmla="*/ 1849120 w 9579686"/>
            <a:gd name="connsiteY103" fmla="*/ 3982720 h 6177280"/>
            <a:gd name="connsiteX104" fmla="*/ 1930400 w 9579686"/>
            <a:gd name="connsiteY104" fmla="*/ 3860800 h 6177280"/>
            <a:gd name="connsiteX105" fmla="*/ 2052320 w 9579686"/>
            <a:gd name="connsiteY105" fmla="*/ 3779520 h 6177280"/>
            <a:gd name="connsiteX106" fmla="*/ 2113280 w 9579686"/>
            <a:gd name="connsiteY106" fmla="*/ 3738880 h 6177280"/>
            <a:gd name="connsiteX107" fmla="*/ 2235200 w 9579686"/>
            <a:gd name="connsiteY107" fmla="*/ 3637280 h 6177280"/>
            <a:gd name="connsiteX108" fmla="*/ 2296160 w 9579686"/>
            <a:gd name="connsiteY108" fmla="*/ 3616960 h 6177280"/>
            <a:gd name="connsiteX109" fmla="*/ 2621280 w 9579686"/>
            <a:gd name="connsiteY109" fmla="*/ 3657600 h 6177280"/>
            <a:gd name="connsiteX110" fmla="*/ 2743200 w 9579686"/>
            <a:gd name="connsiteY110" fmla="*/ 3698240 h 6177280"/>
            <a:gd name="connsiteX111" fmla="*/ 2804160 w 9579686"/>
            <a:gd name="connsiteY111" fmla="*/ 3718560 h 6177280"/>
            <a:gd name="connsiteX112" fmla="*/ 2865120 w 9579686"/>
            <a:gd name="connsiteY112" fmla="*/ 3759200 h 6177280"/>
            <a:gd name="connsiteX113" fmla="*/ 2987040 w 9579686"/>
            <a:gd name="connsiteY113" fmla="*/ 3799840 h 6177280"/>
            <a:gd name="connsiteX114" fmla="*/ 3108960 w 9579686"/>
            <a:gd name="connsiteY114" fmla="*/ 3840480 h 6177280"/>
            <a:gd name="connsiteX115" fmla="*/ 3169920 w 9579686"/>
            <a:gd name="connsiteY115" fmla="*/ 3860800 h 6177280"/>
            <a:gd name="connsiteX116" fmla="*/ 3271520 w 9579686"/>
            <a:gd name="connsiteY116" fmla="*/ 3881120 h 6177280"/>
            <a:gd name="connsiteX117" fmla="*/ 3454400 w 9579686"/>
            <a:gd name="connsiteY117" fmla="*/ 4023360 h 6177280"/>
            <a:gd name="connsiteX118" fmla="*/ 3515360 w 9579686"/>
            <a:gd name="connsiteY118" fmla="*/ 3982720 h 6177280"/>
            <a:gd name="connsiteX119" fmla="*/ 3515360 w 9579686"/>
            <a:gd name="connsiteY119" fmla="*/ 3860800 h 6177280"/>
            <a:gd name="connsiteX120" fmla="*/ 3759200 w 9579686"/>
            <a:gd name="connsiteY120" fmla="*/ 3840480 h 6177280"/>
            <a:gd name="connsiteX121" fmla="*/ 3820160 w 9579686"/>
            <a:gd name="connsiteY121" fmla="*/ 3820160 h 6177280"/>
            <a:gd name="connsiteX122" fmla="*/ 4450080 w 9579686"/>
            <a:gd name="connsiteY122" fmla="*/ 3860800 h 6177280"/>
            <a:gd name="connsiteX123" fmla="*/ 4693920 w 9579686"/>
            <a:gd name="connsiteY123" fmla="*/ 3840480 h 6177280"/>
            <a:gd name="connsiteX124" fmla="*/ 4897120 w 9579686"/>
            <a:gd name="connsiteY124" fmla="*/ 3799840 h 6177280"/>
            <a:gd name="connsiteX125" fmla="*/ 5120640 w 9579686"/>
            <a:gd name="connsiteY125" fmla="*/ 3779520 h 6177280"/>
            <a:gd name="connsiteX126" fmla="*/ 5181600 w 9579686"/>
            <a:gd name="connsiteY126" fmla="*/ 3921760 h 6177280"/>
            <a:gd name="connsiteX127" fmla="*/ 5140960 w 9579686"/>
            <a:gd name="connsiteY127" fmla="*/ 4348480 h 6177280"/>
            <a:gd name="connsiteX128" fmla="*/ 5140960 w 9579686"/>
            <a:gd name="connsiteY128" fmla="*/ 4734560 h 6177280"/>
            <a:gd name="connsiteX129" fmla="*/ 5222240 w 9579686"/>
            <a:gd name="connsiteY129" fmla="*/ 4856480 h 6177280"/>
            <a:gd name="connsiteX130" fmla="*/ 5181600 w 9579686"/>
            <a:gd name="connsiteY130" fmla="*/ 5222240 h 6177280"/>
            <a:gd name="connsiteX131" fmla="*/ 5161280 w 9579686"/>
            <a:gd name="connsiteY131" fmla="*/ 5364480 h 6177280"/>
            <a:gd name="connsiteX132" fmla="*/ 5201920 w 9579686"/>
            <a:gd name="connsiteY132" fmla="*/ 5791200 h 6177280"/>
            <a:gd name="connsiteX133" fmla="*/ 5161280 w 9579686"/>
            <a:gd name="connsiteY133" fmla="*/ 5933440 h 6177280"/>
            <a:gd name="connsiteX134" fmla="*/ 5181600 w 9579686"/>
            <a:gd name="connsiteY134" fmla="*/ 5994400 h 6177280"/>
            <a:gd name="connsiteX135" fmla="*/ 5323840 w 9579686"/>
            <a:gd name="connsiteY135" fmla="*/ 6136640 h 6177280"/>
            <a:gd name="connsiteX136" fmla="*/ 5588000 w 9579686"/>
            <a:gd name="connsiteY136" fmla="*/ 6156960 h 6177280"/>
            <a:gd name="connsiteX137" fmla="*/ 5730240 w 9579686"/>
            <a:gd name="connsiteY137" fmla="*/ 6177280 h 6177280"/>
            <a:gd name="connsiteX138" fmla="*/ 5831840 w 9579686"/>
            <a:gd name="connsiteY138" fmla="*/ 6156960 h 6177280"/>
            <a:gd name="connsiteX139" fmla="*/ 5852160 w 9579686"/>
            <a:gd name="connsiteY139" fmla="*/ 6096000 h 6177280"/>
            <a:gd name="connsiteX140" fmla="*/ 5872480 w 9579686"/>
            <a:gd name="connsiteY140" fmla="*/ 5953760 h 6177280"/>
            <a:gd name="connsiteX141" fmla="*/ 5933440 w 9579686"/>
            <a:gd name="connsiteY141" fmla="*/ 5933440 h 6177280"/>
            <a:gd name="connsiteX142" fmla="*/ 5974080 w 9579686"/>
            <a:gd name="connsiteY142" fmla="*/ 5872480 h 6177280"/>
            <a:gd name="connsiteX143" fmla="*/ 5913120 w 9579686"/>
            <a:gd name="connsiteY143" fmla="*/ 5709920 h 6177280"/>
            <a:gd name="connsiteX144" fmla="*/ 5852160 w 9579686"/>
            <a:gd name="connsiteY144" fmla="*/ 5648960 h 6177280"/>
            <a:gd name="connsiteX145" fmla="*/ 5811520 w 9579686"/>
            <a:gd name="connsiteY145" fmla="*/ 5567680 h 6177280"/>
            <a:gd name="connsiteX146" fmla="*/ 5770880 w 9579686"/>
            <a:gd name="connsiteY146" fmla="*/ 5303520 h 6177280"/>
            <a:gd name="connsiteX147" fmla="*/ 5730240 w 9579686"/>
            <a:gd name="connsiteY147" fmla="*/ 5181600 h 6177280"/>
            <a:gd name="connsiteX148" fmla="*/ 5770880 w 9579686"/>
            <a:gd name="connsiteY148" fmla="*/ 4978400 h 6177280"/>
            <a:gd name="connsiteX149" fmla="*/ 5791200 w 9579686"/>
            <a:gd name="connsiteY149" fmla="*/ 4876800 h 6177280"/>
            <a:gd name="connsiteX150" fmla="*/ 5831840 w 9579686"/>
            <a:gd name="connsiteY150" fmla="*/ 4754880 h 6177280"/>
            <a:gd name="connsiteX151" fmla="*/ 5872480 w 9579686"/>
            <a:gd name="connsiteY151" fmla="*/ 4693920 h 6177280"/>
            <a:gd name="connsiteX152" fmla="*/ 5913120 w 9579686"/>
            <a:gd name="connsiteY152" fmla="*/ 4572000 h 6177280"/>
            <a:gd name="connsiteX153" fmla="*/ 5953760 w 9579686"/>
            <a:gd name="connsiteY153" fmla="*/ 4409440 h 6177280"/>
            <a:gd name="connsiteX154" fmla="*/ 6014720 w 9579686"/>
            <a:gd name="connsiteY154" fmla="*/ 4165600 h 6177280"/>
            <a:gd name="connsiteX155" fmla="*/ 6055360 w 9579686"/>
            <a:gd name="connsiteY155" fmla="*/ 4104640 h 6177280"/>
            <a:gd name="connsiteX156" fmla="*/ 6278880 w 9579686"/>
            <a:gd name="connsiteY156" fmla="*/ 4043680 h 6177280"/>
            <a:gd name="connsiteX157" fmla="*/ 6360160 w 9579686"/>
            <a:gd name="connsiteY157" fmla="*/ 4023360 h 6177280"/>
            <a:gd name="connsiteX158" fmla="*/ 6543040 w 9579686"/>
            <a:gd name="connsiteY158" fmla="*/ 3982720 h 6177280"/>
            <a:gd name="connsiteX159" fmla="*/ 6624320 w 9579686"/>
            <a:gd name="connsiteY159" fmla="*/ 3860800 h 6177280"/>
            <a:gd name="connsiteX160" fmla="*/ 6705600 w 9579686"/>
            <a:gd name="connsiteY160" fmla="*/ 3738880 h 6177280"/>
            <a:gd name="connsiteX161" fmla="*/ 6746240 w 9579686"/>
            <a:gd name="connsiteY161" fmla="*/ 3677920 h 6177280"/>
            <a:gd name="connsiteX162" fmla="*/ 6786880 w 9579686"/>
            <a:gd name="connsiteY162" fmla="*/ 3556000 h 6177280"/>
            <a:gd name="connsiteX163" fmla="*/ 6827520 w 9579686"/>
            <a:gd name="connsiteY163" fmla="*/ 3495040 h 6177280"/>
            <a:gd name="connsiteX164" fmla="*/ 6847840 w 9579686"/>
            <a:gd name="connsiteY164" fmla="*/ 3434080 h 6177280"/>
            <a:gd name="connsiteX165" fmla="*/ 6888480 w 9579686"/>
            <a:gd name="connsiteY165" fmla="*/ 3373120 h 6177280"/>
            <a:gd name="connsiteX166" fmla="*/ 6908800 w 9579686"/>
            <a:gd name="connsiteY166" fmla="*/ 3312160 h 6177280"/>
            <a:gd name="connsiteX167" fmla="*/ 7030720 w 9579686"/>
            <a:gd name="connsiteY167" fmla="*/ 3271520 h 6177280"/>
            <a:gd name="connsiteX168" fmla="*/ 7112000 w 9579686"/>
            <a:gd name="connsiteY168" fmla="*/ 3068320 h 6177280"/>
            <a:gd name="connsiteX169" fmla="*/ 7213600 w 9579686"/>
            <a:gd name="connsiteY169" fmla="*/ 2885440 h 6177280"/>
            <a:gd name="connsiteX170" fmla="*/ 7254240 w 9579686"/>
            <a:gd name="connsiteY170" fmla="*/ 2824480 h 6177280"/>
            <a:gd name="connsiteX171" fmla="*/ 7437120 w 9579686"/>
            <a:gd name="connsiteY171" fmla="*/ 2702560 h 6177280"/>
            <a:gd name="connsiteX172" fmla="*/ 7498080 w 9579686"/>
            <a:gd name="connsiteY172" fmla="*/ 2661920 h 6177280"/>
            <a:gd name="connsiteX173" fmla="*/ 7620000 w 9579686"/>
            <a:gd name="connsiteY173" fmla="*/ 2621280 h 6177280"/>
            <a:gd name="connsiteX174" fmla="*/ 7701280 w 9579686"/>
            <a:gd name="connsiteY174" fmla="*/ 2560320 h 6177280"/>
            <a:gd name="connsiteX175" fmla="*/ 7823200 w 9579686"/>
            <a:gd name="connsiteY175" fmla="*/ 2479040 h 6177280"/>
            <a:gd name="connsiteX176" fmla="*/ 7884160 w 9579686"/>
            <a:gd name="connsiteY176" fmla="*/ 2418080 h 6177280"/>
            <a:gd name="connsiteX177" fmla="*/ 8453120 w 9579686"/>
            <a:gd name="connsiteY177" fmla="*/ 2438400 h 6177280"/>
            <a:gd name="connsiteX178" fmla="*/ 8514080 w 9579686"/>
            <a:gd name="connsiteY178" fmla="*/ 2458720 h 6177280"/>
            <a:gd name="connsiteX179" fmla="*/ 8575040 w 9579686"/>
            <a:gd name="connsiteY179" fmla="*/ 2499360 h 6177280"/>
            <a:gd name="connsiteX180" fmla="*/ 8818880 w 9579686"/>
            <a:gd name="connsiteY180" fmla="*/ 2479040 h 6177280"/>
            <a:gd name="connsiteX181" fmla="*/ 8940800 w 9579686"/>
            <a:gd name="connsiteY181" fmla="*/ 2519680 h 6177280"/>
            <a:gd name="connsiteX182" fmla="*/ 9184640 w 9579686"/>
            <a:gd name="connsiteY182" fmla="*/ 2479040 h 6177280"/>
            <a:gd name="connsiteX183" fmla="*/ 9326880 w 9579686"/>
            <a:gd name="connsiteY183" fmla="*/ 2438400 h 6177280"/>
            <a:gd name="connsiteX184" fmla="*/ 9408160 w 9579686"/>
            <a:gd name="connsiteY184" fmla="*/ 2418080 h 6177280"/>
            <a:gd name="connsiteX185" fmla="*/ 9428480 w 9579686"/>
            <a:gd name="connsiteY185" fmla="*/ 2255520 h 6177280"/>
            <a:gd name="connsiteX186" fmla="*/ 9570720 w 9579686"/>
            <a:gd name="connsiteY186" fmla="*/ 2235200 h 6177280"/>
            <a:gd name="connsiteX187" fmla="*/ 9550400 w 9579686"/>
            <a:gd name="connsiteY187" fmla="*/ 2113280 h 6177280"/>
            <a:gd name="connsiteX188" fmla="*/ 9530080 w 9579686"/>
            <a:gd name="connsiteY188" fmla="*/ 1950720 h 6177280"/>
            <a:gd name="connsiteX189" fmla="*/ 9428480 w 9579686"/>
            <a:gd name="connsiteY189" fmla="*/ 1767840 h 6177280"/>
            <a:gd name="connsiteX190" fmla="*/ 9387840 w 9579686"/>
            <a:gd name="connsiteY190" fmla="*/ 1706880 h 6177280"/>
            <a:gd name="connsiteX191" fmla="*/ 9347200 w 9579686"/>
            <a:gd name="connsiteY191" fmla="*/ 1645920 h 6177280"/>
            <a:gd name="connsiteX192" fmla="*/ 9326880 w 9579686"/>
            <a:gd name="connsiteY192" fmla="*/ 1584960 h 6177280"/>
            <a:gd name="connsiteX193" fmla="*/ 9184640 w 9579686"/>
            <a:gd name="connsiteY193" fmla="*/ 1402080 h 6177280"/>
            <a:gd name="connsiteX194" fmla="*/ 9144000 w 9579686"/>
            <a:gd name="connsiteY194" fmla="*/ 1178560 h 6177280"/>
            <a:gd name="connsiteX195" fmla="*/ 9123680 w 9579686"/>
            <a:gd name="connsiteY195" fmla="*/ 1117600 h 6177280"/>
            <a:gd name="connsiteX196" fmla="*/ 9103360 w 9579686"/>
            <a:gd name="connsiteY196" fmla="*/ 1036320 h 6177280"/>
            <a:gd name="connsiteX197" fmla="*/ 9001760 w 9579686"/>
            <a:gd name="connsiteY197" fmla="*/ 914400 h 6177280"/>
            <a:gd name="connsiteX198" fmla="*/ 8879840 w 9579686"/>
            <a:gd name="connsiteY198" fmla="*/ 670560 h 6177280"/>
            <a:gd name="connsiteX199" fmla="*/ 8859520 w 9579686"/>
            <a:gd name="connsiteY199" fmla="*/ 609600 h 6177280"/>
            <a:gd name="connsiteX200" fmla="*/ 8900160 w 9579686"/>
            <a:gd name="connsiteY200" fmla="*/ 406400 h 6177280"/>
            <a:gd name="connsiteX201" fmla="*/ 9062720 w 9579686"/>
            <a:gd name="connsiteY201" fmla="*/ 345440 h 6177280"/>
            <a:gd name="connsiteX202" fmla="*/ 9245600 w 9579686"/>
            <a:gd name="connsiteY202" fmla="*/ 264160 h 6177280"/>
            <a:gd name="connsiteX203" fmla="*/ 9306560 w 9579686"/>
            <a:gd name="connsiteY203" fmla="*/ 142240 h 6177280"/>
            <a:gd name="connsiteX204" fmla="*/ 9245600 w 9579686"/>
            <a:gd name="connsiteY204" fmla="*/ 101600 h 6177280"/>
            <a:gd name="connsiteX205" fmla="*/ 9164320 w 9579686"/>
            <a:gd name="connsiteY205" fmla="*/ 121920 h 6177280"/>
            <a:gd name="connsiteX206" fmla="*/ 9042400 w 9579686"/>
            <a:gd name="connsiteY206" fmla="*/ 142240 h 6177280"/>
            <a:gd name="connsiteX207" fmla="*/ 8859520 w 9579686"/>
            <a:gd name="connsiteY207" fmla="*/ 223520 h 6177280"/>
            <a:gd name="connsiteX208" fmla="*/ 8798560 w 9579686"/>
            <a:gd name="connsiteY208" fmla="*/ 243840 h 6177280"/>
            <a:gd name="connsiteX209" fmla="*/ 8737600 w 9579686"/>
            <a:gd name="connsiteY209" fmla="*/ 284480 h 6177280"/>
            <a:gd name="connsiteX210" fmla="*/ 8676640 w 9579686"/>
            <a:gd name="connsiteY210" fmla="*/ 345440 h 6177280"/>
            <a:gd name="connsiteX211" fmla="*/ 8554720 w 9579686"/>
            <a:gd name="connsiteY211" fmla="*/ 386080 h 6177280"/>
            <a:gd name="connsiteX212" fmla="*/ 8432800 w 9579686"/>
            <a:gd name="connsiteY212" fmla="*/ 345440 h 6177280"/>
            <a:gd name="connsiteX213" fmla="*/ 8453120 w 9579686"/>
            <a:gd name="connsiteY213" fmla="*/ 223520 h 6177280"/>
            <a:gd name="connsiteX214" fmla="*/ 8575040 w 9579686"/>
            <a:gd name="connsiteY214" fmla="*/ 142240 h 6177280"/>
            <a:gd name="connsiteX215" fmla="*/ 8595360 w 9579686"/>
            <a:gd name="connsiteY215" fmla="*/ 81280 h 6177280"/>
            <a:gd name="connsiteX216" fmla="*/ 8636000 w 9579686"/>
            <a:gd name="connsiteY216" fmla="*/ 20320 h 6177280"/>
            <a:gd name="connsiteX217" fmla="*/ 8575040 w 9579686"/>
            <a:gd name="connsiteY217" fmla="*/ 0 h 6177280"/>
            <a:gd name="connsiteX218" fmla="*/ 8310880 w 9579686"/>
            <a:gd name="connsiteY218" fmla="*/ 20320 h 6177280"/>
            <a:gd name="connsiteX219" fmla="*/ 8168640 w 9579686"/>
            <a:gd name="connsiteY219" fmla="*/ 182880 h 6177280"/>
            <a:gd name="connsiteX220" fmla="*/ 8128000 w 9579686"/>
            <a:gd name="connsiteY220" fmla="*/ 243840 h 6177280"/>
            <a:gd name="connsiteX221" fmla="*/ 8087360 w 9579686"/>
            <a:gd name="connsiteY221" fmla="*/ 386080 h 6177280"/>
            <a:gd name="connsiteX222" fmla="*/ 7884160 w 9579686"/>
            <a:gd name="connsiteY222" fmla="*/ 365760 h 6177280"/>
            <a:gd name="connsiteX223" fmla="*/ 7823200 w 9579686"/>
            <a:gd name="connsiteY223" fmla="*/ 345440 h 6177280"/>
            <a:gd name="connsiteX224" fmla="*/ 7416800 w 9579686"/>
            <a:gd name="connsiteY224" fmla="*/ 365760 h 6177280"/>
            <a:gd name="connsiteX225" fmla="*/ 7355840 w 9579686"/>
            <a:gd name="connsiteY225" fmla="*/ 386080 h 6177280"/>
            <a:gd name="connsiteX226" fmla="*/ 7335520 w 9579686"/>
            <a:gd name="connsiteY226" fmla="*/ 447040 h 6177280"/>
            <a:gd name="connsiteX227" fmla="*/ 7315200 w 9579686"/>
            <a:gd name="connsiteY227" fmla="*/ 609600 h 6177280"/>
            <a:gd name="connsiteX228" fmla="*/ 7254240 w 9579686"/>
            <a:gd name="connsiteY228" fmla="*/ 629920 h 6177280"/>
            <a:gd name="connsiteX229" fmla="*/ 7112000 w 9579686"/>
            <a:gd name="connsiteY229" fmla="*/ 650240 h 6177280"/>
            <a:gd name="connsiteX230" fmla="*/ 6664960 w 9579686"/>
            <a:gd name="connsiteY230" fmla="*/ 629920 h 6177280"/>
            <a:gd name="connsiteX231" fmla="*/ 6522720 w 9579686"/>
            <a:gd name="connsiteY231" fmla="*/ 568960 h 6177280"/>
            <a:gd name="connsiteX232" fmla="*/ 6421120 w 9579686"/>
            <a:gd name="connsiteY232" fmla="*/ 548640 h 6177280"/>
            <a:gd name="connsiteX233" fmla="*/ 6339840 w 9579686"/>
            <a:gd name="connsiteY233" fmla="*/ 528320 h 6177280"/>
            <a:gd name="connsiteX234" fmla="*/ 6278880 w 9579686"/>
            <a:gd name="connsiteY234" fmla="*/ 508000 h 6177280"/>
            <a:gd name="connsiteX235" fmla="*/ 5770880 w 9579686"/>
            <a:gd name="connsiteY235" fmla="*/ 487680 h 6177280"/>
            <a:gd name="connsiteX236" fmla="*/ 5547360 w 9579686"/>
            <a:gd name="connsiteY236" fmla="*/ 508000 h 6177280"/>
            <a:gd name="connsiteX237" fmla="*/ 5384800 w 9579686"/>
            <a:gd name="connsiteY237" fmla="*/ 568960 h 6177280"/>
            <a:gd name="connsiteX238" fmla="*/ 4978400 w 9579686"/>
            <a:gd name="connsiteY238" fmla="*/ 589280 h 6177280"/>
            <a:gd name="connsiteX239" fmla="*/ 4897120 w 9579686"/>
            <a:gd name="connsiteY239" fmla="*/ 609600 h 6177280"/>
            <a:gd name="connsiteX240" fmla="*/ 4612640 w 9579686"/>
            <a:gd name="connsiteY240" fmla="*/ 650240 h 6177280"/>
            <a:gd name="connsiteX241" fmla="*/ 4490720 w 9579686"/>
            <a:gd name="connsiteY241" fmla="*/ 690880 h 6177280"/>
            <a:gd name="connsiteX242" fmla="*/ 4287520 w 9579686"/>
            <a:gd name="connsiteY242" fmla="*/ 731520 h 6177280"/>
            <a:gd name="connsiteX243" fmla="*/ 4226560 w 9579686"/>
            <a:gd name="connsiteY243" fmla="*/ 751840 h 617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Lst>
          <a:rect l="l" t="t" r="r" b="b"/>
          <a:pathLst>
            <a:path w="9579686" h="6177280">
              <a:moveTo>
                <a:pt x="4531360" y="711200"/>
              </a:moveTo>
              <a:cubicBezTo>
                <a:pt x="3679735" y="733037"/>
                <a:pt x="3644815" y="745990"/>
                <a:pt x="2722880" y="711200"/>
              </a:cubicBezTo>
              <a:cubicBezTo>
                <a:pt x="2701476" y="710392"/>
                <a:pt x="2682829" y="695526"/>
                <a:pt x="2661920" y="690880"/>
              </a:cubicBezTo>
              <a:cubicBezTo>
                <a:pt x="2621701" y="681942"/>
                <a:pt x="2580219" y="679498"/>
                <a:pt x="2540000" y="670560"/>
              </a:cubicBezTo>
              <a:cubicBezTo>
                <a:pt x="2519091" y="665914"/>
                <a:pt x="2500114" y="654072"/>
                <a:pt x="2479040" y="650240"/>
              </a:cubicBezTo>
              <a:cubicBezTo>
                <a:pt x="2425312" y="640471"/>
                <a:pt x="2370345" y="638898"/>
                <a:pt x="2316480" y="629920"/>
              </a:cubicBezTo>
              <a:cubicBezTo>
                <a:pt x="2248345" y="618564"/>
                <a:pt x="2182259" y="592910"/>
                <a:pt x="2113280" y="589280"/>
              </a:cubicBezTo>
              <a:lnTo>
                <a:pt x="1341120" y="548640"/>
              </a:lnTo>
              <a:cubicBezTo>
                <a:pt x="1253067" y="555413"/>
                <a:pt x="1163761" y="552685"/>
                <a:pt x="1076960" y="568960"/>
              </a:cubicBezTo>
              <a:cubicBezTo>
                <a:pt x="1052957" y="573461"/>
                <a:pt x="1037843" y="598678"/>
                <a:pt x="1016000" y="609600"/>
              </a:cubicBezTo>
              <a:cubicBezTo>
                <a:pt x="996842" y="619179"/>
                <a:pt x="973764" y="619518"/>
                <a:pt x="955040" y="629920"/>
              </a:cubicBezTo>
              <a:cubicBezTo>
                <a:pt x="912343" y="653640"/>
                <a:pt x="873760" y="684107"/>
                <a:pt x="833120" y="711200"/>
              </a:cubicBezTo>
              <a:lnTo>
                <a:pt x="711200" y="792480"/>
              </a:lnTo>
              <a:lnTo>
                <a:pt x="650240" y="833120"/>
              </a:lnTo>
              <a:cubicBezTo>
                <a:pt x="559350" y="969454"/>
                <a:pt x="666420" y="835880"/>
                <a:pt x="548640" y="914400"/>
              </a:cubicBezTo>
              <a:cubicBezTo>
                <a:pt x="524730" y="930340"/>
                <a:pt x="509756" y="956963"/>
                <a:pt x="487680" y="975360"/>
              </a:cubicBezTo>
              <a:cubicBezTo>
                <a:pt x="468919" y="990994"/>
                <a:pt x="447040" y="1002453"/>
                <a:pt x="426720" y="1016000"/>
              </a:cubicBezTo>
              <a:cubicBezTo>
                <a:pt x="324691" y="1169044"/>
                <a:pt x="444489" y="974538"/>
                <a:pt x="365760" y="1158240"/>
              </a:cubicBezTo>
              <a:cubicBezTo>
                <a:pt x="356140" y="1180687"/>
                <a:pt x="336042" y="1197357"/>
                <a:pt x="325120" y="1219200"/>
              </a:cubicBezTo>
              <a:cubicBezTo>
                <a:pt x="240992" y="1387457"/>
                <a:pt x="380629" y="1166417"/>
                <a:pt x="264160" y="1341120"/>
              </a:cubicBezTo>
              <a:cubicBezTo>
                <a:pt x="210408" y="1556130"/>
                <a:pt x="283387" y="1302938"/>
                <a:pt x="203200" y="1483360"/>
              </a:cubicBezTo>
              <a:cubicBezTo>
                <a:pt x="185802" y="1522506"/>
                <a:pt x="162560" y="1605280"/>
                <a:pt x="162560" y="1605280"/>
              </a:cubicBezTo>
              <a:cubicBezTo>
                <a:pt x="169333" y="1686560"/>
                <a:pt x="172764" y="1768188"/>
                <a:pt x="182880" y="1849120"/>
              </a:cubicBezTo>
              <a:cubicBezTo>
                <a:pt x="186344" y="1876832"/>
                <a:pt x="197723" y="1903015"/>
                <a:pt x="203200" y="1930400"/>
              </a:cubicBezTo>
              <a:cubicBezTo>
                <a:pt x="211280" y="1970800"/>
                <a:pt x="216150" y="2011784"/>
                <a:pt x="223520" y="2052320"/>
              </a:cubicBezTo>
              <a:cubicBezTo>
                <a:pt x="229698" y="2086300"/>
                <a:pt x="237067" y="2120053"/>
                <a:pt x="243840" y="2153920"/>
              </a:cubicBezTo>
              <a:cubicBezTo>
                <a:pt x="219966" y="2440410"/>
                <a:pt x="205199" y="2489590"/>
                <a:pt x="243840" y="2824480"/>
              </a:cubicBezTo>
              <a:cubicBezTo>
                <a:pt x="248021" y="2860715"/>
                <a:pt x="270933" y="2892213"/>
                <a:pt x="284480" y="2926080"/>
              </a:cubicBezTo>
              <a:cubicBezTo>
                <a:pt x="277707" y="3034453"/>
                <a:pt x="278831" y="3143611"/>
                <a:pt x="264160" y="3251200"/>
              </a:cubicBezTo>
              <a:cubicBezTo>
                <a:pt x="246743" y="3378926"/>
                <a:pt x="222069" y="3339737"/>
                <a:pt x="203200" y="3434080"/>
              </a:cubicBezTo>
              <a:cubicBezTo>
                <a:pt x="196427" y="3467947"/>
                <a:pt x="191967" y="3502360"/>
                <a:pt x="182880" y="3535680"/>
              </a:cubicBezTo>
              <a:cubicBezTo>
                <a:pt x="171608" y="3577009"/>
                <a:pt x="150641" y="3615594"/>
                <a:pt x="142240" y="3657600"/>
              </a:cubicBezTo>
              <a:cubicBezTo>
                <a:pt x="135467" y="3691467"/>
                <a:pt x="131007" y="3725880"/>
                <a:pt x="121920" y="3759200"/>
              </a:cubicBezTo>
              <a:cubicBezTo>
                <a:pt x="110648" y="3800529"/>
                <a:pt x="94827" y="3840480"/>
                <a:pt x="81280" y="3881120"/>
              </a:cubicBezTo>
              <a:lnTo>
                <a:pt x="40640" y="4003040"/>
              </a:lnTo>
              <a:cubicBezTo>
                <a:pt x="33867" y="4023360"/>
                <a:pt x="25515" y="4043220"/>
                <a:pt x="20320" y="4064000"/>
              </a:cubicBezTo>
              <a:lnTo>
                <a:pt x="0" y="4145280"/>
              </a:lnTo>
              <a:cubicBezTo>
                <a:pt x="10610" y="4251378"/>
                <a:pt x="-13084" y="4335396"/>
                <a:pt x="60960" y="4409440"/>
              </a:cubicBezTo>
              <a:cubicBezTo>
                <a:pt x="78229" y="4426709"/>
                <a:pt x="101600" y="4436533"/>
                <a:pt x="121920" y="4450080"/>
              </a:cubicBezTo>
              <a:cubicBezTo>
                <a:pt x="135467" y="4429760"/>
                <a:pt x="152641" y="4411437"/>
                <a:pt x="162560" y="4389120"/>
              </a:cubicBezTo>
              <a:cubicBezTo>
                <a:pt x="179958" y="4349974"/>
                <a:pt x="203200" y="4267200"/>
                <a:pt x="203200" y="4267200"/>
              </a:cubicBezTo>
              <a:cubicBezTo>
                <a:pt x="212986" y="4169342"/>
                <a:pt x="217259" y="4059865"/>
                <a:pt x="243840" y="3962400"/>
              </a:cubicBezTo>
              <a:cubicBezTo>
                <a:pt x="255112" y="3921071"/>
                <a:pt x="276079" y="3882486"/>
                <a:pt x="284480" y="3840480"/>
              </a:cubicBezTo>
              <a:cubicBezTo>
                <a:pt x="291253" y="3806613"/>
                <a:pt x="295713" y="3772200"/>
                <a:pt x="304800" y="3738880"/>
              </a:cubicBezTo>
              <a:cubicBezTo>
                <a:pt x="316072" y="3697551"/>
                <a:pt x="345440" y="3616960"/>
                <a:pt x="345440" y="3616960"/>
              </a:cubicBezTo>
              <a:cubicBezTo>
                <a:pt x="352213" y="3556000"/>
                <a:pt x="355677" y="3494581"/>
                <a:pt x="365760" y="3434080"/>
              </a:cubicBezTo>
              <a:cubicBezTo>
                <a:pt x="369281" y="3412952"/>
                <a:pt x="380885" y="3393900"/>
                <a:pt x="386080" y="3373120"/>
              </a:cubicBezTo>
              <a:cubicBezTo>
                <a:pt x="394457" y="3339614"/>
                <a:pt x="397313" y="3304840"/>
                <a:pt x="406400" y="3271520"/>
              </a:cubicBezTo>
              <a:cubicBezTo>
                <a:pt x="417672" y="3230191"/>
                <a:pt x="447040" y="3149600"/>
                <a:pt x="447040" y="3149600"/>
              </a:cubicBezTo>
              <a:cubicBezTo>
                <a:pt x="505961" y="2737151"/>
                <a:pt x="431292" y="3251960"/>
                <a:pt x="487680" y="2885440"/>
              </a:cubicBezTo>
              <a:cubicBezTo>
                <a:pt x="539973" y="2545534"/>
                <a:pt x="477634" y="2925396"/>
                <a:pt x="528320" y="2621280"/>
              </a:cubicBezTo>
              <a:cubicBezTo>
                <a:pt x="577787" y="2695480"/>
                <a:pt x="619506" y="2752598"/>
                <a:pt x="650240" y="2844800"/>
              </a:cubicBezTo>
              <a:cubicBezTo>
                <a:pt x="663787" y="2885440"/>
                <a:pt x="680490" y="2925161"/>
                <a:pt x="690880" y="2966720"/>
              </a:cubicBezTo>
              <a:cubicBezTo>
                <a:pt x="697653" y="2993813"/>
                <a:pt x="700199" y="3022331"/>
                <a:pt x="711200" y="3048000"/>
              </a:cubicBezTo>
              <a:cubicBezTo>
                <a:pt x="720820" y="3070447"/>
                <a:pt x="741921" y="3086643"/>
                <a:pt x="751840" y="3108960"/>
              </a:cubicBezTo>
              <a:cubicBezTo>
                <a:pt x="769238" y="3148106"/>
                <a:pt x="778933" y="3190240"/>
                <a:pt x="792480" y="3230880"/>
              </a:cubicBezTo>
              <a:lnTo>
                <a:pt x="812800" y="3291840"/>
              </a:lnTo>
              <a:cubicBezTo>
                <a:pt x="819573" y="3312160"/>
                <a:pt x="828474" y="3331891"/>
                <a:pt x="833120" y="3352800"/>
              </a:cubicBezTo>
              <a:lnTo>
                <a:pt x="873760" y="3535680"/>
              </a:lnTo>
              <a:cubicBezTo>
                <a:pt x="872745" y="3555977"/>
                <a:pt x="889559" y="3948862"/>
                <a:pt x="812800" y="4064000"/>
              </a:cubicBezTo>
              <a:cubicBezTo>
                <a:pt x="799253" y="4084320"/>
                <a:pt x="782079" y="4102643"/>
                <a:pt x="772160" y="4124960"/>
              </a:cubicBezTo>
              <a:cubicBezTo>
                <a:pt x="754762" y="4164106"/>
                <a:pt x="731520" y="4246880"/>
                <a:pt x="731520" y="4246880"/>
              </a:cubicBezTo>
              <a:cubicBezTo>
                <a:pt x="738293" y="4328160"/>
                <a:pt x="738431" y="4410268"/>
                <a:pt x="751840" y="4490720"/>
              </a:cubicBezTo>
              <a:cubicBezTo>
                <a:pt x="758883" y="4532975"/>
                <a:pt x="784079" y="4570634"/>
                <a:pt x="792480" y="4612640"/>
              </a:cubicBezTo>
              <a:cubicBezTo>
                <a:pt x="822193" y="4761205"/>
                <a:pt x="807916" y="4680050"/>
                <a:pt x="833120" y="4856480"/>
              </a:cubicBezTo>
              <a:cubicBezTo>
                <a:pt x="839893" y="5093547"/>
                <a:pt x="841597" y="5330812"/>
                <a:pt x="853440" y="5567680"/>
              </a:cubicBezTo>
              <a:cubicBezTo>
                <a:pt x="863224" y="5763360"/>
                <a:pt x="883049" y="5575227"/>
                <a:pt x="955040" y="5791200"/>
              </a:cubicBezTo>
              <a:cubicBezTo>
                <a:pt x="961813" y="5811520"/>
                <a:pt x="954451" y="5847514"/>
                <a:pt x="975360" y="5852160"/>
              </a:cubicBezTo>
              <a:cubicBezTo>
                <a:pt x="1087959" y="5877182"/>
                <a:pt x="1205653" y="5865707"/>
                <a:pt x="1320800" y="5872480"/>
              </a:cubicBezTo>
              <a:cubicBezTo>
                <a:pt x="1347893" y="5879253"/>
                <a:pt x="1375227" y="5885128"/>
                <a:pt x="1402080" y="5892800"/>
              </a:cubicBezTo>
              <a:cubicBezTo>
                <a:pt x="1422675" y="5898684"/>
                <a:pt x="1441621" y="5913120"/>
                <a:pt x="1463040" y="5913120"/>
              </a:cubicBezTo>
              <a:cubicBezTo>
                <a:pt x="1504241" y="5913120"/>
                <a:pt x="1544320" y="5899573"/>
                <a:pt x="1584960" y="5892800"/>
              </a:cubicBezTo>
              <a:cubicBezTo>
                <a:pt x="1605280" y="5879253"/>
                <a:pt x="1642891" y="5876393"/>
                <a:pt x="1645920" y="5852160"/>
              </a:cubicBezTo>
              <a:cubicBezTo>
                <a:pt x="1651233" y="5809652"/>
                <a:pt x="1605280" y="5730240"/>
                <a:pt x="1605280" y="5730240"/>
              </a:cubicBezTo>
              <a:cubicBezTo>
                <a:pt x="1578902" y="5545592"/>
                <a:pt x="1600106" y="5633437"/>
                <a:pt x="1544320" y="5466080"/>
              </a:cubicBezTo>
              <a:cubicBezTo>
                <a:pt x="1537547" y="5445760"/>
                <a:pt x="1541822" y="5417001"/>
                <a:pt x="1524000" y="5405120"/>
              </a:cubicBezTo>
              <a:cubicBezTo>
                <a:pt x="1483360" y="5378027"/>
                <a:pt x="1436617" y="5358377"/>
                <a:pt x="1402080" y="5323840"/>
              </a:cubicBezTo>
              <a:cubicBezTo>
                <a:pt x="1323851" y="5245611"/>
                <a:pt x="1365030" y="5278820"/>
                <a:pt x="1280160" y="5222240"/>
              </a:cubicBezTo>
              <a:cubicBezTo>
                <a:pt x="1266613" y="5181600"/>
                <a:pt x="1263282" y="5135964"/>
                <a:pt x="1239520" y="5100320"/>
              </a:cubicBezTo>
              <a:cubicBezTo>
                <a:pt x="1146359" y="4960578"/>
                <a:pt x="1173686" y="5024737"/>
                <a:pt x="1137920" y="4917440"/>
              </a:cubicBezTo>
              <a:cubicBezTo>
                <a:pt x="1144693" y="4856480"/>
                <a:pt x="1148157" y="4795061"/>
                <a:pt x="1158240" y="4734560"/>
              </a:cubicBezTo>
              <a:cubicBezTo>
                <a:pt x="1164008" y="4699953"/>
                <a:pt x="1203108" y="4614849"/>
                <a:pt x="1219200" y="4592320"/>
              </a:cubicBezTo>
              <a:cubicBezTo>
                <a:pt x="1235903" y="4568936"/>
                <a:pt x="1259840" y="4551680"/>
                <a:pt x="1280160" y="4531360"/>
              </a:cubicBezTo>
              <a:cubicBezTo>
                <a:pt x="1286933" y="4470400"/>
                <a:pt x="1262164" y="4396375"/>
                <a:pt x="1300480" y="4348480"/>
              </a:cubicBezTo>
              <a:cubicBezTo>
                <a:pt x="1321636" y="4322035"/>
                <a:pt x="1346294" y="4399469"/>
                <a:pt x="1361440" y="4429760"/>
              </a:cubicBezTo>
              <a:cubicBezTo>
                <a:pt x="1506528" y="4719937"/>
                <a:pt x="1323176" y="4433323"/>
                <a:pt x="1442720" y="4612640"/>
              </a:cubicBezTo>
              <a:cubicBezTo>
                <a:pt x="1453748" y="4899355"/>
                <a:pt x="1423922" y="5064245"/>
                <a:pt x="1503680" y="5303520"/>
              </a:cubicBezTo>
              <a:cubicBezTo>
                <a:pt x="1510453" y="5323840"/>
                <a:pt x="1512119" y="5346658"/>
                <a:pt x="1524000" y="5364480"/>
              </a:cubicBezTo>
              <a:cubicBezTo>
                <a:pt x="1539940" y="5388390"/>
                <a:pt x="1564640" y="5405120"/>
                <a:pt x="1584960" y="5425440"/>
              </a:cubicBezTo>
              <a:cubicBezTo>
                <a:pt x="1591733" y="5459307"/>
                <a:pt x="1596193" y="5493720"/>
                <a:pt x="1605280" y="5527040"/>
              </a:cubicBezTo>
              <a:cubicBezTo>
                <a:pt x="1616552" y="5568369"/>
                <a:pt x="1637519" y="5606954"/>
                <a:pt x="1645920" y="5648960"/>
              </a:cubicBezTo>
              <a:cubicBezTo>
                <a:pt x="1652693" y="5682827"/>
                <a:pt x="1649105" y="5720573"/>
                <a:pt x="1666240" y="5750560"/>
              </a:cubicBezTo>
              <a:cubicBezTo>
                <a:pt x="1678357" y="5771764"/>
                <a:pt x="1706880" y="5777653"/>
                <a:pt x="1727200" y="5791200"/>
              </a:cubicBezTo>
              <a:cubicBezTo>
                <a:pt x="1815253" y="5784427"/>
                <a:pt x="1903532" y="5780125"/>
                <a:pt x="1991360" y="5770880"/>
              </a:cubicBezTo>
              <a:cubicBezTo>
                <a:pt x="2032334" y="5766567"/>
                <a:pt x="2086904" y="5782211"/>
                <a:pt x="2113280" y="5750560"/>
              </a:cubicBezTo>
              <a:cubicBezTo>
                <a:pt x="2135390" y="5724028"/>
                <a:pt x="2102047" y="5682280"/>
                <a:pt x="2092960" y="5648960"/>
              </a:cubicBezTo>
              <a:cubicBezTo>
                <a:pt x="2054132" y="5506589"/>
                <a:pt x="2056406" y="5533169"/>
                <a:pt x="1971040" y="5405120"/>
              </a:cubicBezTo>
              <a:lnTo>
                <a:pt x="1971040" y="5405120"/>
              </a:lnTo>
              <a:cubicBezTo>
                <a:pt x="1922677" y="5260032"/>
                <a:pt x="1954162" y="5318844"/>
                <a:pt x="1889760" y="5222240"/>
              </a:cubicBezTo>
              <a:cubicBezTo>
                <a:pt x="1882987" y="5195147"/>
                <a:pt x="1877112" y="5167813"/>
                <a:pt x="1869440" y="5140960"/>
              </a:cubicBezTo>
              <a:cubicBezTo>
                <a:pt x="1863556" y="5120365"/>
                <a:pt x="1853936" y="5100871"/>
                <a:pt x="1849120" y="5080000"/>
              </a:cubicBezTo>
              <a:cubicBezTo>
                <a:pt x="1811595" y="4917393"/>
                <a:pt x="1809576" y="4884470"/>
                <a:pt x="1788160" y="4734560"/>
              </a:cubicBezTo>
              <a:cubicBezTo>
                <a:pt x="1819069" y="3869099"/>
                <a:pt x="1761041" y="4389234"/>
                <a:pt x="1828800" y="4084320"/>
              </a:cubicBezTo>
              <a:cubicBezTo>
                <a:pt x="1836292" y="4050605"/>
                <a:pt x="1834828" y="4014162"/>
                <a:pt x="1849120" y="3982720"/>
              </a:cubicBezTo>
              <a:cubicBezTo>
                <a:pt x="1869331" y="3938255"/>
                <a:pt x="1889760" y="3887893"/>
                <a:pt x="1930400" y="3860800"/>
              </a:cubicBezTo>
              <a:lnTo>
                <a:pt x="2052320" y="3779520"/>
              </a:lnTo>
              <a:cubicBezTo>
                <a:pt x="2072640" y="3765973"/>
                <a:pt x="2096011" y="3756149"/>
                <a:pt x="2113280" y="3738880"/>
              </a:cubicBezTo>
              <a:cubicBezTo>
                <a:pt x="2158220" y="3693940"/>
                <a:pt x="2178620" y="3665570"/>
                <a:pt x="2235200" y="3637280"/>
              </a:cubicBezTo>
              <a:cubicBezTo>
                <a:pt x="2254358" y="3627701"/>
                <a:pt x="2275840" y="3623733"/>
                <a:pt x="2296160" y="3616960"/>
              </a:cubicBezTo>
              <a:cubicBezTo>
                <a:pt x="2402477" y="3626625"/>
                <a:pt x="2516303" y="3628970"/>
                <a:pt x="2621280" y="3657600"/>
              </a:cubicBezTo>
              <a:cubicBezTo>
                <a:pt x="2662609" y="3668872"/>
                <a:pt x="2702560" y="3684693"/>
                <a:pt x="2743200" y="3698240"/>
              </a:cubicBezTo>
              <a:cubicBezTo>
                <a:pt x="2763520" y="3705013"/>
                <a:pt x="2786338" y="3706679"/>
                <a:pt x="2804160" y="3718560"/>
              </a:cubicBezTo>
              <a:cubicBezTo>
                <a:pt x="2824480" y="3732107"/>
                <a:pt x="2842803" y="3749281"/>
                <a:pt x="2865120" y="3759200"/>
              </a:cubicBezTo>
              <a:cubicBezTo>
                <a:pt x="2904266" y="3776598"/>
                <a:pt x="2946400" y="3786293"/>
                <a:pt x="2987040" y="3799840"/>
              </a:cubicBezTo>
              <a:lnTo>
                <a:pt x="3108960" y="3840480"/>
              </a:lnTo>
              <a:cubicBezTo>
                <a:pt x="3129280" y="3847253"/>
                <a:pt x="3148917" y="3856599"/>
                <a:pt x="3169920" y="3860800"/>
              </a:cubicBezTo>
              <a:lnTo>
                <a:pt x="3271520" y="3881120"/>
              </a:lnTo>
              <a:cubicBezTo>
                <a:pt x="3417350" y="3978340"/>
                <a:pt x="3358903" y="3927863"/>
                <a:pt x="3454400" y="4023360"/>
              </a:cubicBezTo>
              <a:cubicBezTo>
                <a:pt x="3474720" y="4009813"/>
                <a:pt x="3506290" y="4005395"/>
                <a:pt x="3515360" y="3982720"/>
              </a:cubicBezTo>
              <a:cubicBezTo>
                <a:pt x="3522965" y="3963707"/>
                <a:pt x="3453568" y="3879813"/>
                <a:pt x="3515360" y="3860800"/>
              </a:cubicBezTo>
              <a:cubicBezTo>
                <a:pt x="3593315" y="3836814"/>
                <a:pt x="3677920" y="3847253"/>
                <a:pt x="3759200" y="3840480"/>
              </a:cubicBezTo>
              <a:cubicBezTo>
                <a:pt x="3779520" y="3833707"/>
                <a:pt x="3798750" y="3819530"/>
                <a:pt x="3820160" y="3820160"/>
              </a:cubicBezTo>
              <a:cubicBezTo>
                <a:pt x="4030479" y="3826346"/>
                <a:pt x="4450080" y="3860800"/>
                <a:pt x="4450080" y="3860800"/>
              </a:cubicBezTo>
              <a:cubicBezTo>
                <a:pt x="4531360" y="3854027"/>
                <a:pt x="4613106" y="3851500"/>
                <a:pt x="4693920" y="3840480"/>
              </a:cubicBezTo>
              <a:cubicBezTo>
                <a:pt x="4762361" y="3831147"/>
                <a:pt x="4828329" y="3806094"/>
                <a:pt x="4897120" y="3799840"/>
              </a:cubicBezTo>
              <a:lnTo>
                <a:pt x="5120640" y="3779520"/>
              </a:lnTo>
              <a:cubicBezTo>
                <a:pt x="5128575" y="3795391"/>
                <a:pt x="5181600" y="3891861"/>
                <a:pt x="5181600" y="3921760"/>
              </a:cubicBezTo>
              <a:cubicBezTo>
                <a:pt x="5181600" y="4207239"/>
                <a:pt x="5183939" y="4176566"/>
                <a:pt x="5140960" y="4348480"/>
              </a:cubicBezTo>
              <a:cubicBezTo>
                <a:pt x="5126393" y="4479583"/>
                <a:pt x="5099809" y="4602878"/>
                <a:pt x="5140960" y="4734560"/>
              </a:cubicBezTo>
              <a:cubicBezTo>
                <a:pt x="5155529" y="4781180"/>
                <a:pt x="5222240" y="4856480"/>
                <a:pt x="5222240" y="4856480"/>
              </a:cubicBezTo>
              <a:cubicBezTo>
                <a:pt x="5208693" y="4978400"/>
                <a:pt x="5196216" y="5100444"/>
                <a:pt x="5181600" y="5222240"/>
              </a:cubicBezTo>
              <a:cubicBezTo>
                <a:pt x="5175894" y="5269794"/>
                <a:pt x="5161280" y="5316585"/>
                <a:pt x="5161280" y="5364480"/>
              </a:cubicBezTo>
              <a:cubicBezTo>
                <a:pt x="5161280" y="5687102"/>
                <a:pt x="5146759" y="5625716"/>
                <a:pt x="5201920" y="5791200"/>
              </a:cubicBezTo>
              <a:cubicBezTo>
                <a:pt x="5192338" y="5819947"/>
                <a:pt x="5161280" y="5907925"/>
                <a:pt x="5161280" y="5933440"/>
              </a:cubicBezTo>
              <a:cubicBezTo>
                <a:pt x="5161280" y="5954859"/>
                <a:pt x="5171198" y="5975676"/>
                <a:pt x="5181600" y="5994400"/>
              </a:cubicBezTo>
              <a:cubicBezTo>
                <a:pt x="5227644" y="6077278"/>
                <a:pt x="5237206" y="6125811"/>
                <a:pt x="5323840" y="6136640"/>
              </a:cubicBezTo>
              <a:cubicBezTo>
                <a:pt x="5411471" y="6147594"/>
                <a:pt x="5500125" y="6148172"/>
                <a:pt x="5588000" y="6156960"/>
              </a:cubicBezTo>
              <a:cubicBezTo>
                <a:pt x="5635657" y="6161726"/>
                <a:pt x="5682827" y="6170507"/>
                <a:pt x="5730240" y="6177280"/>
              </a:cubicBezTo>
              <a:cubicBezTo>
                <a:pt x="5764107" y="6170507"/>
                <a:pt x="5803103" y="6176118"/>
                <a:pt x="5831840" y="6156960"/>
              </a:cubicBezTo>
              <a:cubicBezTo>
                <a:pt x="5849662" y="6145079"/>
                <a:pt x="5847959" y="6117003"/>
                <a:pt x="5852160" y="6096000"/>
              </a:cubicBezTo>
              <a:cubicBezTo>
                <a:pt x="5861553" y="6049035"/>
                <a:pt x="5851061" y="5996598"/>
                <a:pt x="5872480" y="5953760"/>
              </a:cubicBezTo>
              <a:cubicBezTo>
                <a:pt x="5882059" y="5934602"/>
                <a:pt x="5913120" y="5940213"/>
                <a:pt x="5933440" y="5933440"/>
              </a:cubicBezTo>
              <a:cubicBezTo>
                <a:pt x="5946987" y="5913120"/>
                <a:pt x="5971051" y="5896713"/>
                <a:pt x="5974080" y="5872480"/>
              </a:cubicBezTo>
              <a:cubicBezTo>
                <a:pt x="5981694" y="5811571"/>
                <a:pt x="5949779" y="5753911"/>
                <a:pt x="5913120" y="5709920"/>
              </a:cubicBezTo>
              <a:cubicBezTo>
                <a:pt x="5894723" y="5687844"/>
                <a:pt x="5868863" y="5672344"/>
                <a:pt x="5852160" y="5648960"/>
              </a:cubicBezTo>
              <a:cubicBezTo>
                <a:pt x="5834554" y="5624311"/>
                <a:pt x="5825067" y="5594773"/>
                <a:pt x="5811520" y="5567680"/>
              </a:cubicBezTo>
              <a:cubicBezTo>
                <a:pt x="5797210" y="5438890"/>
                <a:pt x="5801935" y="5407038"/>
                <a:pt x="5770880" y="5303520"/>
              </a:cubicBezTo>
              <a:cubicBezTo>
                <a:pt x="5758570" y="5262488"/>
                <a:pt x="5730240" y="5181600"/>
                <a:pt x="5730240" y="5181600"/>
              </a:cubicBezTo>
              <a:cubicBezTo>
                <a:pt x="5770058" y="4942693"/>
                <a:pt x="5730463" y="5160276"/>
                <a:pt x="5770880" y="4978400"/>
              </a:cubicBezTo>
              <a:cubicBezTo>
                <a:pt x="5778372" y="4944685"/>
                <a:pt x="5782113" y="4910120"/>
                <a:pt x="5791200" y="4876800"/>
              </a:cubicBezTo>
              <a:cubicBezTo>
                <a:pt x="5802472" y="4835471"/>
                <a:pt x="5808078" y="4790524"/>
                <a:pt x="5831840" y="4754880"/>
              </a:cubicBezTo>
              <a:cubicBezTo>
                <a:pt x="5845387" y="4734560"/>
                <a:pt x="5862561" y="4716237"/>
                <a:pt x="5872480" y="4693920"/>
              </a:cubicBezTo>
              <a:cubicBezTo>
                <a:pt x="5889878" y="4654774"/>
                <a:pt x="5899573" y="4612640"/>
                <a:pt x="5913120" y="4572000"/>
              </a:cubicBezTo>
              <a:cubicBezTo>
                <a:pt x="5941320" y="4487399"/>
                <a:pt x="5934143" y="4517331"/>
                <a:pt x="5953760" y="4409440"/>
              </a:cubicBezTo>
              <a:cubicBezTo>
                <a:pt x="5965187" y="4346594"/>
                <a:pt x="5977621" y="4221249"/>
                <a:pt x="6014720" y="4165600"/>
              </a:cubicBezTo>
              <a:cubicBezTo>
                <a:pt x="6028267" y="4145280"/>
                <a:pt x="6034651" y="4117583"/>
                <a:pt x="6055360" y="4104640"/>
              </a:cubicBezTo>
              <a:cubicBezTo>
                <a:pt x="6107859" y="4071828"/>
                <a:pt x="6217658" y="4057285"/>
                <a:pt x="6278880" y="4043680"/>
              </a:cubicBezTo>
              <a:cubicBezTo>
                <a:pt x="6306142" y="4037622"/>
                <a:pt x="6332775" y="4028837"/>
                <a:pt x="6360160" y="4023360"/>
              </a:cubicBezTo>
              <a:cubicBezTo>
                <a:pt x="6538970" y="3987598"/>
                <a:pt x="6424402" y="4022266"/>
                <a:pt x="6543040" y="3982720"/>
              </a:cubicBezTo>
              <a:cubicBezTo>
                <a:pt x="6678327" y="3847433"/>
                <a:pt x="6550802" y="3993133"/>
                <a:pt x="6624320" y="3860800"/>
              </a:cubicBezTo>
              <a:cubicBezTo>
                <a:pt x="6648040" y="3818103"/>
                <a:pt x="6678507" y="3779520"/>
                <a:pt x="6705600" y="3738880"/>
              </a:cubicBezTo>
              <a:cubicBezTo>
                <a:pt x="6719147" y="3718560"/>
                <a:pt x="6738517" y="3701088"/>
                <a:pt x="6746240" y="3677920"/>
              </a:cubicBezTo>
              <a:cubicBezTo>
                <a:pt x="6759787" y="3637280"/>
                <a:pt x="6763118" y="3591644"/>
                <a:pt x="6786880" y="3556000"/>
              </a:cubicBezTo>
              <a:cubicBezTo>
                <a:pt x="6800427" y="3535680"/>
                <a:pt x="6816598" y="3516883"/>
                <a:pt x="6827520" y="3495040"/>
              </a:cubicBezTo>
              <a:cubicBezTo>
                <a:pt x="6837099" y="3475882"/>
                <a:pt x="6838261" y="3453238"/>
                <a:pt x="6847840" y="3434080"/>
              </a:cubicBezTo>
              <a:cubicBezTo>
                <a:pt x="6858762" y="3412237"/>
                <a:pt x="6877558" y="3394963"/>
                <a:pt x="6888480" y="3373120"/>
              </a:cubicBezTo>
              <a:cubicBezTo>
                <a:pt x="6898059" y="3353962"/>
                <a:pt x="6891371" y="3324610"/>
                <a:pt x="6908800" y="3312160"/>
              </a:cubicBezTo>
              <a:cubicBezTo>
                <a:pt x="6943659" y="3287261"/>
                <a:pt x="7030720" y="3271520"/>
                <a:pt x="7030720" y="3271520"/>
              </a:cubicBezTo>
              <a:cubicBezTo>
                <a:pt x="7137251" y="3164989"/>
                <a:pt x="7068109" y="3258515"/>
                <a:pt x="7112000" y="3068320"/>
              </a:cubicBezTo>
              <a:cubicBezTo>
                <a:pt x="7149250" y="2906905"/>
                <a:pt x="7130719" y="2984897"/>
                <a:pt x="7213600" y="2885440"/>
              </a:cubicBezTo>
              <a:cubicBezTo>
                <a:pt x="7229234" y="2866679"/>
                <a:pt x="7235861" y="2840562"/>
                <a:pt x="7254240" y="2824480"/>
              </a:cubicBezTo>
              <a:lnTo>
                <a:pt x="7437120" y="2702560"/>
              </a:lnTo>
              <a:cubicBezTo>
                <a:pt x="7457440" y="2689013"/>
                <a:pt x="7474912" y="2669643"/>
                <a:pt x="7498080" y="2661920"/>
              </a:cubicBezTo>
              <a:lnTo>
                <a:pt x="7620000" y="2621280"/>
              </a:lnTo>
              <a:cubicBezTo>
                <a:pt x="7647093" y="2600960"/>
                <a:pt x="7673535" y="2579741"/>
                <a:pt x="7701280" y="2560320"/>
              </a:cubicBezTo>
              <a:cubicBezTo>
                <a:pt x="7741294" y="2532310"/>
                <a:pt x="7788663" y="2513577"/>
                <a:pt x="7823200" y="2479040"/>
              </a:cubicBezTo>
              <a:lnTo>
                <a:pt x="7884160" y="2418080"/>
              </a:lnTo>
              <a:cubicBezTo>
                <a:pt x="8073813" y="2424853"/>
                <a:pt x="8263739" y="2426182"/>
                <a:pt x="8453120" y="2438400"/>
              </a:cubicBezTo>
              <a:cubicBezTo>
                <a:pt x="8474495" y="2439779"/>
                <a:pt x="8494922" y="2449141"/>
                <a:pt x="8514080" y="2458720"/>
              </a:cubicBezTo>
              <a:cubicBezTo>
                <a:pt x="8535923" y="2469642"/>
                <a:pt x="8554720" y="2485813"/>
                <a:pt x="8575040" y="2499360"/>
              </a:cubicBezTo>
              <a:cubicBezTo>
                <a:pt x="8678574" y="2430337"/>
                <a:pt x="8632974" y="2441859"/>
                <a:pt x="8818880" y="2479040"/>
              </a:cubicBezTo>
              <a:cubicBezTo>
                <a:pt x="8860886" y="2487441"/>
                <a:pt x="8940800" y="2519680"/>
                <a:pt x="8940800" y="2519680"/>
              </a:cubicBezTo>
              <a:cubicBezTo>
                <a:pt x="9059544" y="2502717"/>
                <a:pt x="9077673" y="2502810"/>
                <a:pt x="9184640" y="2479040"/>
              </a:cubicBezTo>
              <a:cubicBezTo>
                <a:pt x="9327568" y="2447278"/>
                <a:pt x="9208081" y="2472342"/>
                <a:pt x="9326880" y="2438400"/>
              </a:cubicBezTo>
              <a:cubicBezTo>
                <a:pt x="9353733" y="2430728"/>
                <a:pt x="9381067" y="2424853"/>
                <a:pt x="9408160" y="2418080"/>
              </a:cubicBezTo>
              <a:cubicBezTo>
                <a:pt x="9414933" y="2363893"/>
                <a:pt x="9392200" y="2296335"/>
                <a:pt x="9428480" y="2255520"/>
              </a:cubicBezTo>
              <a:cubicBezTo>
                <a:pt x="9460300" y="2219723"/>
                <a:pt x="9539551" y="2271564"/>
                <a:pt x="9570720" y="2235200"/>
              </a:cubicBezTo>
              <a:cubicBezTo>
                <a:pt x="9597533" y="2203918"/>
                <a:pt x="9556227" y="2154066"/>
                <a:pt x="9550400" y="2113280"/>
              </a:cubicBezTo>
              <a:cubicBezTo>
                <a:pt x="9542677" y="2059220"/>
                <a:pt x="9539849" y="2004448"/>
                <a:pt x="9530080" y="1950720"/>
              </a:cubicBezTo>
              <a:cubicBezTo>
                <a:pt x="9516668" y="1876953"/>
                <a:pt x="9470667" y="1831121"/>
                <a:pt x="9428480" y="1767840"/>
              </a:cubicBezTo>
              <a:lnTo>
                <a:pt x="9387840" y="1706880"/>
              </a:lnTo>
              <a:cubicBezTo>
                <a:pt x="9374293" y="1686560"/>
                <a:pt x="9354923" y="1669088"/>
                <a:pt x="9347200" y="1645920"/>
              </a:cubicBezTo>
              <a:cubicBezTo>
                <a:pt x="9340427" y="1625600"/>
                <a:pt x="9337282" y="1603684"/>
                <a:pt x="9326880" y="1584960"/>
              </a:cubicBezTo>
              <a:cubicBezTo>
                <a:pt x="9266117" y="1475587"/>
                <a:pt x="9258688" y="1476128"/>
                <a:pt x="9184640" y="1402080"/>
              </a:cubicBezTo>
              <a:cubicBezTo>
                <a:pt x="9124401" y="1161124"/>
                <a:pt x="9216808" y="1542602"/>
                <a:pt x="9144000" y="1178560"/>
              </a:cubicBezTo>
              <a:cubicBezTo>
                <a:pt x="9139799" y="1157557"/>
                <a:pt x="9129564" y="1138195"/>
                <a:pt x="9123680" y="1117600"/>
              </a:cubicBezTo>
              <a:cubicBezTo>
                <a:pt x="9116008" y="1090747"/>
                <a:pt x="9114361" y="1061989"/>
                <a:pt x="9103360" y="1036320"/>
              </a:cubicBezTo>
              <a:cubicBezTo>
                <a:pt x="9073655" y="967009"/>
                <a:pt x="9048364" y="974320"/>
                <a:pt x="9001760" y="914400"/>
              </a:cubicBezTo>
              <a:cubicBezTo>
                <a:pt x="8909848" y="796227"/>
                <a:pt x="8924410" y="804269"/>
                <a:pt x="8879840" y="670560"/>
              </a:cubicBezTo>
              <a:lnTo>
                <a:pt x="8859520" y="609600"/>
              </a:lnTo>
              <a:cubicBezTo>
                <a:pt x="8873067" y="541867"/>
                <a:pt x="8834630" y="428243"/>
                <a:pt x="8900160" y="406400"/>
              </a:cubicBezTo>
              <a:cubicBezTo>
                <a:pt x="9081331" y="346010"/>
                <a:pt x="8795448" y="442630"/>
                <a:pt x="9062720" y="345440"/>
              </a:cubicBezTo>
              <a:cubicBezTo>
                <a:pt x="9222317" y="287405"/>
                <a:pt x="9140725" y="334077"/>
                <a:pt x="9245600" y="264160"/>
              </a:cubicBezTo>
              <a:cubicBezTo>
                <a:pt x="9254157" y="251324"/>
                <a:pt x="9317076" y="168530"/>
                <a:pt x="9306560" y="142240"/>
              </a:cubicBezTo>
              <a:cubicBezTo>
                <a:pt x="9297490" y="119565"/>
                <a:pt x="9265920" y="115147"/>
                <a:pt x="9245600" y="101600"/>
              </a:cubicBezTo>
              <a:cubicBezTo>
                <a:pt x="9218507" y="108373"/>
                <a:pt x="9191705" y="116443"/>
                <a:pt x="9164320" y="121920"/>
              </a:cubicBezTo>
              <a:cubicBezTo>
                <a:pt x="9123920" y="130000"/>
                <a:pt x="9082370" y="132247"/>
                <a:pt x="9042400" y="142240"/>
              </a:cubicBezTo>
              <a:cubicBezTo>
                <a:pt x="8832705" y="194664"/>
                <a:pt x="8992955" y="156802"/>
                <a:pt x="8859520" y="223520"/>
              </a:cubicBezTo>
              <a:cubicBezTo>
                <a:pt x="8840362" y="233099"/>
                <a:pt x="8817718" y="234261"/>
                <a:pt x="8798560" y="243840"/>
              </a:cubicBezTo>
              <a:cubicBezTo>
                <a:pt x="8776717" y="254762"/>
                <a:pt x="8756361" y="268846"/>
                <a:pt x="8737600" y="284480"/>
              </a:cubicBezTo>
              <a:cubicBezTo>
                <a:pt x="8715524" y="302877"/>
                <a:pt x="8701760" y="331484"/>
                <a:pt x="8676640" y="345440"/>
              </a:cubicBezTo>
              <a:cubicBezTo>
                <a:pt x="8639193" y="366244"/>
                <a:pt x="8554720" y="386080"/>
                <a:pt x="8554720" y="386080"/>
              </a:cubicBezTo>
              <a:cubicBezTo>
                <a:pt x="8514080" y="372533"/>
                <a:pt x="8425757" y="387695"/>
                <a:pt x="8432800" y="345440"/>
              </a:cubicBezTo>
              <a:cubicBezTo>
                <a:pt x="8439573" y="304800"/>
                <a:pt x="8429493" y="257273"/>
                <a:pt x="8453120" y="223520"/>
              </a:cubicBezTo>
              <a:cubicBezTo>
                <a:pt x="8481130" y="183506"/>
                <a:pt x="8575040" y="142240"/>
                <a:pt x="8575040" y="142240"/>
              </a:cubicBezTo>
              <a:cubicBezTo>
                <a:pt x="8581813" y="121920"/>
                <a:pt x="8585781" y="100438"/>
                <a:pt x="8595360" y="81280"/>
              </a:cubicBezTo>
              <a:cubicBezTo>
                <a:pt x="8606282" y="59437"/>
                <a:pt x="8641923" y="44012"/>
                <a:pt x="8636000" y="20320"/>
              </a:cubicBezTo>
              <a:cubicBezTo>
                <a:pt x="8630805" y="-460"/>
                <a:pt x="8595360" y="6773"/>
                <a:pt x="8575040" y="0"/>
              </a:cubicBezTo>
              <a:cubicBezTo>
                <a:pt x="8486987" y="6773"/>
                <a:pt x="8397681" y="4045"/>
                <a:pt x="8310880" y="20320"/>
              </a:cubicBezTo>
              <a:cubicBezTo>
                <a:pt x="8246372" y="32415"/>
                <a:pt x="8189283" y="151916"/>
                <a:pt x="8168640" y="182880"/>
              </a:cubicBezTo>
              <a:cubicBezTo>
                <a:pt x="8155093" y="203200"/>
                <a:pt x="8135723" y="220672"/>
                <a:pt x="8128000" y="243840"/>
              </a:cubicBezTo>
              <a:cubicBezTo>
                <a:pt x="8098849" y="331294"/>
                <a:pt x="8112875" y="284020"/>
                <a:pt x="8087360" y="386080"/>
              </a:cubicBezTo>
              <a:cubicBezTo>
                <a:pt x="8019627" y="379307"/>
                <a:pt x="7951440" y="376111"/>
                <a:pt x="7884160" y="365760"/>
              </a:cubicBezTo>
              <a:cubicBezTo>
                <a:pt x="7862990" y="362503"/>
                <a:pt x="7844619" y="345440"/>
                <a:pt x="7823200" y="345440"/>
              </a:cubicBezTo>
              <a:cubicBezTo>
                <a:pt x="7687564" y="345440"/>
                <a:pt x="7552267" y="358987"/>
                <a:pt x="7416800" y="365760"/>
              </a:cubicBezTo>
              <a:cubicBezTo>
                <a:pt x="7396480" y="372533"/>
                <a:pt x="7370986" y="370934"/>
                <a:pt x="7355840" y="386080"/>
              </a:cubicBezTo>
              <a:cubicBezTo>
                <a:pt x="7340694" y="401226"/>
                <a:pt x="7339352" y="425966"/>
                <a:pt x="7335520" y="447040"/>
              </a:cubicBezTo>
              <a:cubicBezTo>
                <a:pt x="7325751" y="500768"/>
                <a:pt x="7337379" y="559698"/>
                <a:pt x="7315200" y="609600"/>
              </a:cubicBezTo>
              <a:cubicBezTo>
                <a:pt x="7306501" y="629173"/>
                <a:pt x="7275243" y="625719"/>
                <a:pt x="7254240" y="629920"/>
              </a:cubicBezTo>
              <a:cubicBezTo>
                <a:pt x="7207275" y="639313"/>
                <a:pt x="7159413" y="643467"/>
                <a:pt x="7112000" y="650240"/>
              </a:cubicBezTo>
              <a:cubicBezTo>
                <a:pt x="6962987" y="643467"/>
                <a:pt x="6813652" y="641815"/>
                <a:pt x="6664960" y="629920"/>
              </a:cubicBezTo>
              <a:cubicBezTo>
                <a:pt x="6618236" y="626182"/>
                <a:pt x="6562385" y="582182"/>
                <a:pt x="6522720" y="568960"/>
              </a:cubicBezTo>
              <a:cubicBezTo>
                <a:pt x="6489955" y="558038"/>
                <a:pt x="6454835" y="556132"/>
                <a:pt x="6421120" y="548640"/>
              </a:cubicBezTo>
              <a:cubicBezTo>
                <a:pt x="6393858" y="542582"/>
                <a:pt x="6366693" y="535992"/>
                <a:pt x="6339840" y="528320"/>
              </a:cubicBezTo>
              <a:cubicBezTo>
                <a:pt x="6319245" y="522436"/>
                <a:pt x="6300245" y="509526"/>
                <a:pt x="6278880" y="508000"/>
              </a:cubicBezTo>
              <a:cubicBezTo>
                <a:pt x="6109842" y="495926"/>
                <a:pt x="5940213" y="494453"/>
                <a:pt x="5770880" y="487680"/>
              </a:cubicBezTo>
              <a:cubicBezTo>
                <a:pt x="5696373" y="494453"/>
                <a:pt x="5620721" y="493328"/>
                <a:pt x="5547360" y="508000"/>
              </a:cubicBezTo>
              <a:cubicBezTo>
                <a:pt x="5339343" y="549603"/>
                <a:pt x="5589283" y="551920"/>
                <a:pt x="5384800" y="568960"/>
              </a:cubicBezTo>
              <a:cubicBezTo>
                <a:pt x="5249633" y="580224"/>
                <a:pt x="5113867" y="582507"/>
                <a:pt x="4978400" y="589280"/>
              </a:cubicBezTo>
              <a:cubicBezTo>
                <a:pt x="4951307" y="596053"/>
                <a:pt x="4924667" y="605009"/>
                <a:pt x="4897120" y="609600"/>
              </a:cubicBezTo>
              <a:cubicBezTo>
                <a:pt x="4824947" y="621629"/>
                <a:pt x="4689386" y="631054"/>
                <a:pt x="4612640" y="650240"/>
              </a:cubicBezTo>
              <a:cubicBezTo>
                <a:pt x="4571081" y="660630"/>
                <a:pt x="4532726" y="682479"/>
                <a:pt x="4490720" y="690880"/>
              </a:cubicBezTo>
              <a:cubicBezTo>
                <a:pt x="4422987" y="704427"/>
                <a:pt x="4353050" y="709677"/>
                <a:pt x="4287520" y="731520"/>
              </a:cubicBezTo>
              <a:lnTo>
                <a:pt x="4226560" y="751840"/>
              </a:lnTo>
            </a:path>
          </a:pathLst>
        </a:custGeom>
        <a:solidFill>
          <a:sysClr val="windowText" lastClr="000000"/>
        </a:solidFill>
        <a:ln w="25400" cap="flat" cmpd="sng" algn="ctr">
          <a:noFill/>
          <a:prstDash val="solid"/>
        </a:ln>
        <a:effectLst/>
        <a:scene3d>
          <a:camera prst="orthographicFront">
            <a:rot lat="0" lon="10800000" rev="0"/>
          </a:camera>
          <a:lightRig rig="threePt" dir="t"/>
        </a:scene3d>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defRPr/>
          </a:pPr>
          <a:endParaRPr kumimoji="0" lang="ja-JP" altLang="en-US" sz="2000" kern="0">
            <a:solidFill>
              <a:prstClr val="white"/>
            </a:solidFill>
            <a:latin typeface="Calibri"/>
            <a:ea typeface="ＭＳ Ｐゴシック"/>
          </a:endParaRPr>
        </a:p>
      </xdr:txBody>
    </xdr:sp>
    <xdr:clientData/>
  </xdr:twoCellAnchor>
  <xdr:twoCellAnchor>
    <xdr:from>
      <xdr:col>3</xdr:col>
      <xdr:colOff>219075</xdr:colOff>
      <xdr:row>19</xdr:row>
      <xdr:rowOff>76200</xdr:rowOff>
    </xdr:from>
    <xdr:to>
      <xdr:col>3</xdr:col>
      <xdr:colOff>581025</xdr:colOff>
      <xdr:row>20</xdr:row>
      <xdr:rowOff>158563</xdr:rowOff>
    </xdr:to>
    <xdr:sp macro="" textlink="">
      <xdr:nvSpPr>
        <xdr:cNvPr id="29" name="フリーフォーム 28"/>
        <xdr:cNvSpPr/>
      </xdr:nvSpPr>
      <xdr:spPr bwMode="auto">
        <a:xfrm flipH="1">
          <a:off x="2276475" y="3333750"/>
          <a:ext cx="361950" cy="253813"/>
        </a:xfrm>
        <a:custGeom>
          <a:avLst/>
          <a:gdLst>
            <a:gd name="connsiteX0" fmla="*/ 4531360 w 9579686"/>
            <a:gd name="connsiteY0" fmla="*/ 711200 h 6177280"/>
            <a:gd name="connsiteX1" fmla="*/ 2722880 w 9579686"/>
            <a:gd name="connsiteY1" fmla="*/ 711200 h 6177280"/>
            <a:gd name="connsiteX2" fmla="*/ 2661920 w 9579686"/>
            <a:gd name="connsiteY2" fmla="*/ 690880 h 6177280"/>
            <a:gd name="connsiteX3" fmla="*/ 2540000 w 9579686"/>
            <a:gd name="connsiteY3" fmla="*/ 670560 h 6177280"/>
            <a:gd name="connsiteX4" fmla="*/ 2479040 w 9579686"/>
            <a:gd name="connsiteY4" fmla="*/ 650240 h 6177280"/>
            <a:gd name="connsiteX5" fmla="*/ 2316480 w 9579686"/>
            <a:gd name="connsiteY5" fmla="*/ 629920 h 6177280"/>
            <a:gd name="connsiteX6" fmla="*/ 2113280 w 9579686"/>
            <a:gd name="connsiteY6" fmla="*/ 589280 h 6177280"/>
            <a:gd name="connsiteX7" fmla="*/ 1341120 w 9579686"/>
            <a:gd name="connsiteY7" fmla="*/ 548640 h 6177280"/>
            <a:gd name="connsiteX8" fmla="*/ 1076960 w 9579686"/>
            <a:gd name="connsiteY8" fmla="*/ 568960 h 6177280"/>
            <a:gd name="connsiteX9" fmla="*/ 1016000 w 9579686"/>
            <a:gd name="connsiteY9" fmla="*/ 609600 h 6177280"/>
            <a:gd name="connsiteX10" fmla="*/ 955040 w 9579686"/>
            <a:gd name="connsiteY10" fmla="*/ 629920 h 6177280"/>
            <a:gd name="connsiteX11" fmla="*/ 833120 w 9579686"/>
            <a:gd name="connsiteY11" fmla="*/ 711200 h 6177280"/>
            <a:gd name="connsiteX12" fmla="*/ 711200 w 9579686"/>
            <a:gd name="connsiteY12" fmla="*/ 792480 h 6177280"/>
            <a:gd name="connsiteX13" fmla="*/ 650240 w 9579686"/>
            <a:gd name="connsiteY13" fmla="*/ 833120 h 6177280"/>
            <a:gd name="connsiteX14" fmla="*/ 548640 w 9579686"/>
            <a:gd name="connsiteY14" fmla="*/ 914400 h 6177280"/>
            <a:gd name="connsiteX15" fmla="*/ 487680 w 9579686"/>
            <a:gd name="connsiteY15" fmla="*/ 975360 h 6177280"/>
            <a:gd name="connsiteX16" fmla="*/ 426720 w 9579686"/>
            <a:gd name="connsiteY16" fmla="*/ 1016000 h 6177280"/>
            <a:gd name="connsiteX17" fmla="*/ 365760 w 9579686"/>
            <a:gd name="connsiteY17" fmla="*/ 1158240 h 6177280"/>
            <a:gd name="connsiteX18" fmla="*/ 325120 w 9579686"/>
            <a:gd name="connsiteY18" fmla="*/ 1219200 h 6177280"/>
            <a:gd name="connsiteX19" fmla="*/ 264160 w 9579686"/>
            <a:gd name="connsiteY19" fmla="*/ 1341120 h 6177280"/>
            <a:gd name="connsiteX20" fmla="*/ 203200 w 9579686"/>
            <a:gd name="connsiteY20" fmla="*/ 1483360 h 6177280"/>
            <a:gd name="connsiteX21" fmla="*/ 162560 w 9579686"/>
            <a:gd name="connsiteY21" fmla="*/ 1605280 h 6177280"/>
            <a:gd name="connsiteX22" fmla="*/ 182880 w 9579686"/>
            <a:gd name="connsiteY22" fmla="*/ 1849120 h 6177280"/>
            <a:gd name="connsiteX23" fmla="*/ 203200 w 9579686"/>
            <a:gd name="connsiteY23" fmla="*/ 1930400 h 6177280"/>
            <a:gd name="connsiteX24" fmla="*/ 223520 w 9579686"/>
            <a:gd name="connsiteY24" fmla="*/ 2052320 h 6177280"/>
            <a:gd name="connsiteX25" fmla="*/ 243840 w 9579686"/>
            <a:gd name="connsiteY25" fmla="*/ 2153920 h 6177280"/>
            <a:gd name="connsiteX26" fmla="*/ 243840 w 9579686"/>
            <a:gd name="connsiteY26" fmla="*/ 2824480 h 6177280"/>
            <a:gd name="connsiteX27" fmla="*/ 284480 w 9579686"/>
            <a:gd name="connsiteY27" fmla="*/ 2926080 h 6177280"/>
            <a:gd name="connsiteX28" fmla="*/ 264160 w 9579686"/>
            <a:gd name="connsiteY28" fmla="*/ 3251200 h 6177280"/>
            <a:gd name="connsiteX29" fmla="*/ 203200 w 9579686"/>
            <a:gd name="connsiteY29" fmla="*/ 3434080 h 6177280"/>
            <a:gd name="connsiteX30" fmla="*/ 182880 w 9579686"/>
            <a:gd name="connsiteY30" fmla="*/ 3535680 h 6177280"/>
            <a:gd name="connsiteX31" fmla="*/ 142240 w 9579686"/>
            <a:gd name="connsiteY31" fmla="*/ 3657600 h 6177280"/>
            <a:gd name="connsiteX32" fmla="*/ 121920 w 9579686"/>
            <a:gd name="connsiteY32" fmla="*/ 3759200 h 6177280"/>
            <a:gd name="connsiteX33" fmla="*/ 81280 w 9579686"/>
            <a:gd name="connsiteY33" fmla="*/ 3881120 h 6177280"/>
            <a:gd name="connsiteX34" fmla="*/ 40640 w 9579686"/>
            <a:gd name="connsiteY34" fmla="*/ 4003040 h 6177280"/>
            <a:gd name="connsiteX35" fmla="*/ 20320 w 9579686"/>
            <a:gd name="connsiteY35" fmla="*/ 4064000 h 6177280"/>
            <a:gd name="connsiteX36" fmla="*/ 0 w 9579686"/>
            <a:gd name="connsiteY36" fmla="*/ 4145280 h 6177280"/>
            <a:gd name="connsiteX37" fmla="*/ 60960 w 9579686"/>
            <a:gd name="connsiteY37" fmla="*/ 4409440 h 6177280"/>
            <a:gd name="connsiteX38" fmla="*/ 121920 w 9579686"/>
            <a:gd name="connsiteY38" fmla="*/ 4450080 h 6177280"/>
            <a:gd name="connsiteX39" fmla="*/ 162560 w 9579686"/>
            <a:gd name="connsiteY39" fmla="*/ 4389120 h 6177280"/>
            <a:gd name="connsiteX40" fmla="*/ 203200 w 9579686"/>
            <a:gd name="connsiteY40" fmla="*/ 4267200 h 6177280"/>
            <a:gd name="connsiteX41" fmla="*/ 243840 w 9579686"/>
            <a:gd name="connsiteY41" fmla="*/ 3962400 h 6177280"/>
            <a:gd name="connsiteX42" fmla="*/ 284480 w 9579686"/>
            <a:gd name="connsiteY42" fmla="*/ 3840480 h 6177280"/>
            <a:gd name="connsiteX43" fmla="*/ 304800 w 9579686"/>
            <a:gd name="connsiteY43" fmla="*/ 3738880 h 6177280"/>
            <a:gd name="connsiteX44" fmla="*/ 345440 w 9579686"/>
            <a:gd name="connsiteY44" fmla="*/ 3616960 h 6177280"/>
            <a:gd name="connsiteX45" fmla="*/ 365760 w 9579686"/>
            <a:gd name="connsiteY45" fmla="*/ 3434080 h 6177280"/>
            <a:gd name="connsiteX46" fmla="*/ 386080 w 9579686"/>
            <a:gd name="connsiteY46" fmla="*/ 3373120 h 6177280"/>
            <a:gd name="connsiteX47" fmla="*/ 406400 w 9579686"/>
            <a:gd name="connsiteY47" fmla="*/ 3271520 h 6177280"/>
            <a:gd name="connsiteX48" fmla="*/ 447040 w 9579686"/>
            <a:gd name="connsiteY48" fmla="*/ 3149600 h 6177280"/>
            <a:gd name="connsiteX49" fmla="*/ 487680 w 9579686"/>
            <a:gd name="connsiteY49" fmla="*/ 2885440 h 6177280"/>
            <a:gd name="connsiteX50" fmla="*/ 528320 w 9579686"/>
            <a:gd name="connsiteY50" fmla="*/ 2621280 h 6177280"/>
            <a:gd name="connsiteX51" fmla="*/ 650240 w 9579686"/>
            <a:gd name="connsiteY51" fmla="*/ 2844800 h 6177280"/>
            <a:gd name="connsiteX52" fmla="*/ 690880 w 9579686"/>
            <a:gd name="connsiteY52" fmla="*/ 2966720 h 6177280"/>
            <a:gd name="connsiteX53" fmla="*/ 711200 w 9579686"/>
            <a:gd name="connsiteY53" fmla="*/ 3048000 h 6177280"/>
            <a:gd name="connsiteX54" fmla="*/ 751840 w 9579686"/>
            <a:gd name="connsiteY54" fmla="*/ 3108960 h 6177280"/>
            <a:gd name="connsiteX55" fmla="*/ 792480 w 9579686"/>
            <a:gd name="connsiteY55" fmla="*/ 3230880 h 6177280"/>
            <a:gd name="connsiteX56" fmla="*/ 812800 w 9579686"/>
            <a:gd name="connsiteY56" fmla="*/ 3291840 h 6177280"/>
            <a:gd name="connsiteX57" fmla="*/ 833120 w 9579686"/>
            <a:gd name="connsiteY57" fmla="*/ 3352800 h 6177280"/>
            <a:gd name="connsiteX58" fmla="*/ 873760 w 9579686"/>
            <a:gd name="connsiteY58" fmla="*/ 3535680 h 6177280"/>
            <a:gd name="connsiteX59" fmla="*/ 812800 w 9579686"/>
            <a:gd name="connsiteY59" fmla="*/ 4064000 h 6177280"/>
            <a:gd name="connsiteX60" fmla="*/ 772160 w 9579686"/>
            <a:gd name="connsiteY60" fmla="*/ 4124960 h 6177280"/>
            <a:gd name="connsiteX61" fmla="*/ 731520 w 9579686"/>
            <a:gd name="connsiteY61" fmla="*/ 4246880 h 6177280"/>
            <a:gd name="connsiteX62" fmla="*/ 751840 w 9579686"/>
            <a:gd name="connsiteY62" fmla="*/ 4490720 h 6177280"/>
            <a:gd name="connsiteX63" fmla="*/ 792480 w 9579686"/>
            <a:gd name="connsiteY63" fmla="*/ 4612640 h 6177280"/>
            <a:gd name="connsiteX64" fmla="*/ 833120 w 9579686"/>
            <a:gd name="connsiteY64" fmla="*/ 4856480 h 6177280"/>
            <a:gd name="connsiteX65" fmla="*/ 853440 w 9579686"/>
            <a:gd name="connsiteY65" fmla="*/ 5567680 h 6177280"/>
            <a:gd name="connsiteX66" fmla="*/ 955040 w 9579686"/>
            <a:gd name="connsiteY66" fmla="*/ 5791200 h 6177280"/>
            <a:gd name="connsiteX67" fmla="*/ 975360 w 9579686"/>
            <a:gd name="connsiteY67" fmla="*/ 5852160 h 6177280"/>
            <a:gd name="connsiteX68" fmla="*/ 1320800 w 9579686"/>
            <a:gd name="connsiteY68" fmla="*/ 5872480 h 6177280"/>
            <a:gd name="connsiteX69" fmla="*/ 1402080 w 9579686"/>
            <a:gd name="connsiteY69" fmla="*/ 5892800 h 6177280"/>
            <a:gd name="connsiteX70" fmla="*/ 1463040 w 9579686"/>
            <a:gd name="connsiteY70" fmla="*/ 5913120 h 6177280"/>
            <a:gd name="connsiteX71" fmla="*/ 1584960 w 9579686"/>
            <a:gd name="connsiteY71" fmla="*/ 5892800 h 6177280"/>
            <a:gd name="connsiteX72" fmla="*/ 1645920 w 9579686"/>
            <a:gd name="connsiteY72" fmla="*/ 5852160 h 6177280"/>
            <a:gd name="connsiteX73" fmla="*/ 1605280 w 9579686"/>
            <a:gd name="connsiteY73" fmla="*/ 5730240 h 6177280"/>
            <a:gd name="connsiteX74" fmla="*/ 1544320 w 9579686"/>
            <a:gd name="connsiteY74" fmla="*/ 5466080 h 6177280"/>
            <a:gd name="connsiteX75" fmla="*/ 1524000 w 9579686"/>
            <a:gd name="connsiteY75" fmla="*/ 5405120 h 6177280"/>
            <a:gd name="connsiteX76" fmla="*/ 1402080 w 9579686"/>
            <a:gd name="connsiteY76" fmla="*/ 5323840 h 6177280"/>
            <a:gd name="connsiteX77" fmla="*/ 1280160 w 9579686"/>
            <a:gd name="connsiteY77" fmla="*/ 5222240 h 6177280"/>
            <a:gd name="connsiteX78" fmla="*/ 1239520 w 9579686"/>
            <a:gd name="connsiteY78" fmla="*/ 5100320 h 6177280"/>
            <a:gd name="connsiteX79" fmla="*/ 1137920 w 9579686"/>
            <a:gd name="connsiteY79" fmla="*/ 4917440 h 6177280"/>
            <a:gd name="connsiteX80" fmla="*/ 1158240 w 9579686"/>
            <a:gd name="connsiteY80" fmla="*/ 4734560 h 6177280"/>
            <a:gd name="connsiteX81" fmla="*/ 1219200 w 9579686"/>
            <a:gd name="connsiteY81" fmla="*/ 4592320 h 6177280"/>
            <a:gd name="connsiteX82" fmla="*/ 1280160 w 9579686"/>
            <a:gd name="connsiteY82" fmla="*/ 4531360 h 6177280"/>
            <a:gd name="connsiteX83" fmla="*/ 1300480 w 9579686"/>
            <a:gd name="connsiteY83" fmla="*/ 4348480 h 6177280"/>
            <a:gd name="connsiteX84" fmla="*/ 1361440 w 9579686"/>
            <a:gd name="connsiteY84" fmla="*/ 4429760 h 6177280"/>
            <a:gd name="connsiteX85" fmla="*/ 1442720 w 9579686"/>
            <a:gd name="connsiteY85" fmla="*/ 4612640 h 6177280"/>
            <a:gd name="connsiteX86" fmla="*/ 1503680 w 9579686"/>
            <a:gd name="connsiteY86" fmla="*/ 5303520 h 6177280"/>
            <a:gd name="connsiteX87" fmla="*/ 1524000 w 9579686"/>
            <a:gd name="connsiteY87" fmla="*/ 5364480 h 6177280"/>
            <a:gd name="connsiteX88" fmla="*/ 1584960 w 9579686"/>
            <a:gd name="connsiteY88" fmla="*/ 5425440 h 6177280"/>
            <a:gd name="connsiteX89" fmla="*/ 1605280 w 9579686"/>
            <a:gd name="connsiteY89" fmla="*/ 5527040 h 6177280"/>
            <a:gd name="connsiteX90" fmla="*/ 1645920 w 9579686"/>
            <a:gd name="connsiteY90" fmla="*/ 5648960 h 6177280"/>
            <a:gd name="connsiteX91" fmla="*/ 1666240 w 9579686"/>
            <a:gd name="connsiteY91" fmla="*/ 5750560 h 6177280"/>
            <a:gd name="connsiteX92" fmla="*/ 1727200 w 9579686"/>
            <a:gd name="connsiteY92" fmla="*/ 5791200 h 6177280"/>
            <a:gd name="connsiteX93" fmla="*/ 1991360 w 9579686"/>
            <a:gd name="connsiteY93" fmla="*/ 5770880 h 6177280"/>
            <a:gd name="connsiteX94" fmla="*/ 2113280 w 9579686"/>
            <a:gd name="connsiteY94" fmla="*/ 5750560 h 6177280"/>
            <a:gd name="connsiteX95" fmla="*/ 2092960 w 9579686"/>
            <a:gd name="connsiteY95" fmla="*/ 5648960 h 6177280"/>
            <a:gd name="connsiteX96" fmla="*/ 1971040 w 9579686"/>
            <a:gd name="connsiteY96" fmla="*/ 5405120 h 6177280"/>
            <a:gd name="connsiteX97" fmla="*/ 1971040 w 9579686"/>
            <a:gd name="connsiteY97" fmla="*/ 5405120 h 6177280"/>
            <a:gd name="connsiteX98" fmla="*/ 1889760 w 9579686"/>
            <a:gd name="connsiteY98" fmla="*/ 5222240 h 6177280"/>
            <a:gd name="connsiteX99" fmla="*/ 1869440 w 9579686"/>
            <a:gd name="connsiteY99" fmla="*/ 5140960 h 6177280"/>
            <a:gd name="connsiteX100" fmla="*/ 1849120 w 9579686"/>
            <a:gd name="connsiteY100" fmla="*/ 5080000 h 6177280"/>
            <a:gd name="connsiteX101" fmla="*/ 1788160 w 9579686"/>
            <a:gd name="connsiteY101" fmla="*/ 4734560 h 6177280"/>
            <a:gd name="connsiteX102" fmla="*/ 1828800 w 9579686"/>
            <a:gd name="connsiteY102" fmla="*/ 4084320 h 6177280"/>
            <a:gd name="connsiteX103" fmla="*/ 1849120 w 9579686"/>
            <a:gd name="connsiteY103" fmla="*/ 3982720 h 6177280"/>
            <a:gd name="connsiteX104" fmla="*/ 1930400 w 9579686"/>
            <a:gd name="connsiteY104" fmla="*/ 3860800 h 6177280"/>
            <a:gd name="connsiteX105" fmla="*/ 2052320 w 9579686"/>
            <a:gd name="connsiteY105" fmla="*/ 3779520 h 6177280"/>
            <a:gd name="connsiteX106" fmla="*/ 2113280 w 9579686"/>
            <a:gd name="connsiteY106" fmla="*/ 3738880 h 6177280"/>
            <a:gd name="connsiteX107" fmla="*/ 2235200 w 9579686"/>
            <a:gd name="connsiteY107" fmla="*/ 3637280 h 6177280"/>
            <a:gd name="connsiteX108" fmla="*/ 2296160 w 9579686"/>
            <a:gd name="connsiteY108" fmla="*/ 3616960 h 6177280"/>
            <a:gd name="connsiteX109" fmla="*/ 2621280 w 9579686"/>
            <a:gd name="connsiteY109" fmla="*/ 3657600 h 6177280"/>
            <a:gd name="connsiteX110" fmla="*/ 2743200 w 9579686"/>
            <a:gd name="connsiteY110" fmla="*/ 3698240 h 6177280"/>
            <a:gd name="connsiteX111" fmla="*/ 2804160 w 9579686"/>
            <a:gd name="connsiteY111" fmla="*/ 3718560 h 6177280"/>
            <a:gd name="connsiteX112" fmla="*/ 2865120 w 9579686"/>
            <a:gd name="connsiteY112" fmla="*/ 3759200 h 6177280"/>
            <a:gd name="connsiteX113" fmla="*/ 2987040 w 9579686"/>
            <a:gd name="connsiteY113" fmla="*/ 3799840 h 6177280"/>
            <a:gd name="connsiteX114" fmla="*/ 3108960 w 9579686"/>
            <a:gd name="connsiteY114" fmla="*/ 3840480 h 6177280"/>
            <a:gd name="connsiteX115" fmla="*/ 3169920 w 9579686"/>
            <a:gd name="connsiteY115" fmla="*/ 3860800 h 6177280"/>
            <a:gd name="connsiteX116" fmla="*/ 3271520 w 9579686"/>
            <a:gd name="connsiteY116" fmla="*/ 3881120 h 6177280"/>
            <a:gd name="connsiteX117" fmla="*/ 3454400 w 9579686"/>
            <a:gd name="connsiteY117" fmla="*/ 4023360 h 6177280"/>
            <a:gd name="connsiteX118" fmla="*/ 3515360 w 9579686"/>
            <a:gd name="connsiteY118" fmla="*/ 3982720 h 6177280"/>
            <a:gd name="connsiteX119" fmla="*/ 3515360 w 9579686"/>
            <a:gd name="connsiteY119" fmla="*/ 3860800 h 6177280"/>
            <a:gd name="connsiteX120" fmla="*/ 3759200 w 9579686"/>
            <a:gd name="connsiteY120" fmla="*/ 3840480 h 6177280"/>
            <a:gd name="connsiteX121" fmla="*/ 3820160 w 9579686"/>
            <a:gd name="connsiteY121" fmla="*/ 3820160 h 6177280"/>
            <a:gd name="connsiteX122" fmla="*/ 4450080 w 9579686"/>
            <a:gd name="connsiteY122" fmla="*/ 3860800 h 6177280"/>
            <a:gd name="connsiteX123" fmla="*/ 4693920 w 9579686"/>
            <a:gd name="connsiteY123" fmla="*/ 3840480 h 6177280"/>
            <a:gd name="connsiteX124" fmla="*/ 4897120 w 9579686"/>
            <a:gd name="connsiteY124" fmla="*/ 3799840 h 6177280"/>
            <a:gd name="connsiteX125" fmla="*/ 5120640 w 9579686"/>
            <a:gd name="connsiteY125" fmla="*/ 3779520 h 6177280"/>
            <a:gd name="connsiteX126" fmla="*/ 5181600 w 9579686"/>
            <a:gd name="connsiteY126" fmla="*/ 3921760 h 6177280"/>
            <a:gd name="connsiteX127" fmla="*/ 5140960 w 9579686"/>
            <a:gd name="connsiteY127" fmla="*/ 4348480 h 6177280"/>
            <a:gd name="connsiteX128" fmla="*/ 5140960 w 9579686"/>
            <a:gd name="connsiteY128" fmla="*/ 4734560 h 6177280"/>
            <a:gd name="connsiteX129" fmla="*/ 5222240 w 9579686"/>
            <a:gd name="connsiteY129" fmla="*/ 4856480 h 6177280"/>
            <a:gd name="connsiteX130" fmla="*/ 5181600 w 9579686"/>
            <a:gd name="connsiteY130" fmla="*/ 5222240 h 6177280"/>
            <a:gd name="connsiteX131" fmla="*/ 5161280 w 9579686"/>
            <a:gd name="connsiteY131" fmla="*/ 5364480 h 6177280"/>
            <a:gd name="connsiteX132" fmla="*/ 5201920 w 9579686"/>
            <a:gd name="connsiteY132" fmla="*/ 5791200 h 6177280"/>
            <a:gd name="connsiteX133" fmla="*/ 5161280 w 9579686"/>
            <a:gd name="connsiteY133" fmla="*/ 5933440 h 6177280"/>
            <a:gd name="connsiteX134" fmla="*/ 5181600 w 9579686"/>
            <a:gd name="connsiteY134" fmla="*/ 5994400 h 6177280"/>
            <a:gd name="connsiteX135" fmla="*/ 5323840 w 9579686"/>
            <a:gd name="connsiteY135" fmla="*/ 6136640 h 6177280"/>
            <a:gd name="connsiteX136" fmla="*/ 5588000 w 9579686"/>
            <a:gd name="connsiteY136" fmla="*/ 6156960 h 6177280"/>
            <a:gd name="connsiteX137" fmla="*/ 5730240 w 9579686"/>
            <a:gd name="connsiteY137" fmla="*/ 6177280 h 6177280"/>
            <a:gd name="connsiteX138" fmla="*/ 5831840 w 9579686"/>
            <a:gd name="connsiteY138" fmla="*/ 6156960 h 6177280"/>
            <a:gd name="connsiteX139" fmla="*/ 5852160 w 9579686"/>
            <a:gd name="connsiteY139" fmla="*/ 6096000 h 6177280"/>
            <a:gd name="connsiteX140" fmla="*/ 5872480 w 9579686"/>
            <a:gd name="connsiteY140" fmla="*/ 5953760 h 6177280"/>
            <a:gd name="connsiteX141" fmla="*/ 5933440 w 9579686"/>
            <a:gd name="connsiteY141" fmla="*/ 5933440 h 6177280"/>
            <a:gd name="connsiteX142" fmla="*/ 5974080 w 9579686"/>
            <a:gd name="connsiteY142" fmla="*/ 5872480 h 6177280"/>
            <a:gd name="connsiteX143" fmla="*/ 5913120 w 9579686"/>
            <a:gd name="connsiteY143" fmla="*/ 5709920 h 6177280"/>
            <a:gd name="connsiteX144" fmla="*/ 5852160 w 9579686"/>
            <a:gd name="connsiteY144" fmla="*/ 5648960 h 6177280"/>
            <a:gd name="connsiteX145" fmla="*/ 5811520 w 9579686"/>
            <a:gd name="connsiteY145" fmla="*/ 5567680 h 6177280"/>
            <a:gd name="connsiteX146" fmla="*/ 5770880 w 9579686"/>
            <a:gd name="connsiteY146" fmla="*/ 5303520 h 6177280"/>
            <a:gd name="connsiteX147" fmla="*/ 5730240 w 9579686"/>
            <a:gd name="connsiteY147" fmla="*/ 5181600 h 6177280"/>
            <a:gd name="connsiteX148" fmla="*/ 5770880 w 9579686"/>
            <a:gd name="connsiteY148" fmla="*/ 4978400 h 6177280"/>
            <a:gd name="connsiteX149" fmla="*/ 5791200 w 9579686"/>
            <a:gd name="connsiteY149" fmla="*/ 4876800 h 6177280"/>
            <a:gd name="connsiteX150" fmla="*/ 5831840 w 9579686"/>
            <a:gd name="connsiteY150" fmla="*/ 4754880 h 6177280"/>
            <a:gd name="connsiteX151" fmla="*/ 5872480 w 9579686"/>
            <a:gd name="connsiteY151" fmla="*/ 4693920 h 6177280"/>
            <a:gd name="connsiteX152" fmla="*/ 5913120 w 9579686"/>
            <a:gd name="connsiteY152" fmla="*/ 4572000 h 6177280"/>
            <a:gd name="connsiteX153" fmla="*/ 5953760 w 9579686"/>
            <a:gd name="connsiteY153" fmla="*/ 4409440 h 6177280"/>
            <a:gd name="connsiteX154" fmla="*/ 6014720 w 9579686"/>
            <a:gd name="connsiteY154" fmla="*/ 4165600 h 6177280"/>
            <a:gd name="connsiteX155" fmla="*/ 6055360 w 9579686"/>
            <a:gd name="connsiteY155" fmla="*/ 4104640 h 6177280"/>
            <a:gd name="connsiteX156" fmla="*/ 6278880 w 9579686"/>
            <a:gd name="connsiteY156" fmla="*/ 4043680 h 6177280"/>
            <a:gd name="connsiteX157" fmla="*/ 6360160 w 9579686"/>
            <a:gd name="connsiteY157" fmla="*/ 4023360 h 6177280"/>
            <a:gd name="connsiteX158" fmla="*/ 6543040 w 9579686"/>
            <a:gd name="connsiteY158" fmla="*/ 3982720 h 6177280"/>
            <a:gd name="connsiteX159" fmla="*/ 6624320 w 9579686"/>
            <a:gd name="connsiteY159" fmla="*/ 3860800 h 6177280"/>
            <a:gd name="connsiteX160" fmla="*/ 6705600 w 9579686"/>
            <a:gd name="connsiteY160" fmla="*/ 3738880 h 6177280"/>
            <a:gd name="connsiteX161" fmla="*/ 6746240 w 9579686"/>
            <a:gd name="connsiteY161" fmla="*/ 3677920 h 6177280"/>
            <a:gd name="connsiteX162" fmla="*/ 6786880 w 9579686"/>
            <a:gd name="connsiteY162" fmla="*/ 3556000 h 6177280"/>
            <a:gd name="connsiteX163" fmla="*/ 6827520 w 9579686"/>
            <a:gd name="connsiteY163" fmla="*/ 3495040 h 6177280"/>
            <a:gd name="connsiteX164" fmla="*/ 6847840 w 9579686"/>
            <a:gd name="connsiteY164" fmla="*/ 3434080 h 6177280"/>
            <a:gd name="connsiteX165" fmla="*/ 6888480 w 9579686"/>
            <a:gd name="connsiteY165" fmla="*/ 3373120 h 6177280"/>
            <a:gd name="connsiteX166" fmla="*/ 6908800 w 9579686"/>
            <a:gd name="connsiteY166" fmla="*/ 3312160 h 6177280"/>
            <a:gd name="connsiteX167" fmla="*/ 7030720 w 9579686"/>
            <a:gd name="connsiteY167" fmla="*/ 3271520 h 6177280"/>
            <a:gd name="connsiteX168" fmla="*/ 7112000 w 9579686"/>
            <a:gd name="connsiteY168" fmla="*/ 3068320 h 6177280"/>
            <a:gd name="connsiteX169" fmla="*/ 7213600 w 9579686"/>
            <a:gd name="connsiteY169" fmla="*/ 2885440 h 6177280"/>
            <a:gd name="connsiteX170" fmla="*/ 7254240 w 9579686"/>
            <a:gd name="connsiteY170" fmla="*/ 2824480 h 6177280"/>
            <a:gd name="connsiteX171" fmla="*/ 7437120 w 9579686"/>
            <a:gd name="connsiteY171" fmla="*/ 2702560 h 6177280"/>
            <a:gd name="connsiteX172" fmla="*/ 7498080 w 9579686"/>
            <a:gd name="connsiteY172" fmla="*/ 2661920 h 6177280"/>
            <a:gd name="connsiteX173" fmla="*/ 7620000 w 9579686"/>
            <a:gd name="connsiteY173" fmla="*/ 2621280 h 6177280"/>
            <a:gd name="connsiteX174" fmla="*/ 7701280 w 9579686"/>
            <a:gd name="connsiteY174" fmla="*/ 2560320 h 6177280"/>
            <a:gd name="connsiteX175" fmla="*/ 7823200 w 9579686"/>
            <a:gd name="connsiteY175" fmla="*/ 2479040 h 6177280"/>
            <a:gd name="connsiteX176" fmla="*/ 7884160 w 9579686"/>
            <a:gd name="connsiteY176" fmla="*/ 2418080 h 6177280"/>
            <a:gd name="connsiteX177" fmla="*/ 8453120 w 9579686"/>
            <a:gd name="connsiteY177" fmla="*/ 2438400 h 6177280"/>
            <a:gd name="connsiteX178" fmla="*/ 8514080 w 9579686"/>
            <a:gd name="connsiteY178" fmla="*/ 2458720 h 6177280"/>
            <a:gd name="connsiteX179" fmla="*/ 8575040 w 9579686"/>
            <a:gd name="connsiteY179" fmla="*/ 2499360 h 6177280"/>
            <a:gd name="connsiteX180" fmla="*/ 8818880 w 9579686"/>
            <a:gd name="connsiteY180" fmla="*/ 2479040 h 6177280"/>
            <a:gd name="connsiteX181" fmla="*/ 8940800 w 9579686"/>
            <a:gd name="connsiteY181" fmla="*/ 2519680 h 6177280"/>
            <a:gd name="connsiteX182" fmla="*/ 9184640 w 9579686"/>
            <a:gd name="connsiteY182" fmla="*/ 2479040 h 6177280"/>
            <a:gd name="connsiteX183" fmla="*/ 9326880 w 9579686"/>
            <a:gd name="connsiteY183" fmla="*/ 2438400 h 6177280"/>
            <a:gd name="connsiteX184" fmla="*/ 9408160 w 9579686"/>
            <a:gd name="connsiteY184" fmla="*/ 2418080 h 6177280"/>
            <a:gd name="connsiteX185" fmla="*/ 9428480 w 9579686"/>
            <a:gd name="connsiteY185" fmla="*/ 2255520 h 6177280"/>
            <a:gd name="connsiteX186" fmla="*/ 9570720 w 9579686"/>
            <a:gd name="connsiteY186" fmla="*/ 2235200 h 6177280"/>
            <a:gd name="connsiteX187" fmla="*/ 9550400 w 9579686"/>
            <a:gd name="connsiteY187" fmla="*/ 2113280 h 6177280"/>
            <a:gd name="connsiteX188" fmla="*/ 9530080 w 9579686"/>
            <a:gd name="connsiteY188" fmla="*/ 1950720 h 6177280"/>
            <a:gd name="connsiteX189" fmla="*/ 9428480 w 9579686"/>
            <a:gd name="connsiteY189" fmla="*/ 1767840 h 6177280"/>
            <a:gd name="connsiteX190" fmla="*/ 9387840 w 9579686"/>
            <a:gd name="connsiteY190" fmla="*/ 1706880 h 6177280"/>
            <a:gd name="connsiteX191" fmla="*/ 9347200 w 9579686"/>
            <a:gd name="connsiteY191" fmla="*/ 1645920 h 6177280"/>
            <a:gd name="connsiteX192" fmla="*/ 9326880 w 9579686"/>
            <a:gd name="connsiteY192" fmla="*/ 1584960 h 6177280"/>
            <a:gd name="connsiteX193" fmla="*/ 9184640 w 9579686"/>
            <a:gd name="connsiteY193" fmla="*/ 1402080 h 6177280"/>
            <a:gd name="connsiteX194" fmla="*/ 9144000 w 9579686"/>
            <a:gd name="connsiteY194" fmla="*/ 1178560 h 6177280"/>
            <a:gd name="connsiteX195" fmla="*/ 9123680 w 9579686"/>
            <a:gd name="connsiteY195" fmla="*/ 1117600 h 6177280"/>
            <a:gd name="connsiteX196" fmla="*/ 9103360 w 9579686"/>
            <a:gd name="connsiteY196" fmla="*/ 1036320 h 6177280"/>
            <a:gd name="connsiteX197" fmla="*/ 9001760 w 9579686"/>
            <a:gd name="connsiteY197" fmla="*/ 914400 h 6177280"/>
            <a:gd name="connsiteX198" fmla="*/ 8879840 w 9579686"/>
            <a:gd name="connsiteY198" fmla="*/ 670560 h 6177280"/>
            <a:gd name="connsiteX199" fmla="*/ 8859520 w 9579686"/>
            <a:gd name="connsiteY199" fmla="*/ 609600 h 6177280"/>
            <a:gd name="connsiteX200" fmla="*/ 8900160 w 9579686"/>
            <a:gd name="connsiteY200" fmla="*/ 406400 h 6177280"/>
            <a:gd name="connsiteX201" fmla="*/ 9062720 w 9579686"/>
            <a:gd name="connsiteY201" fmla="*/ 345440 h 6177280"/>
            <a:gd name="connsiteX202" fmla="*/ 9245600 w 9579686"/>
            <a:gd name="connsiteY202" fmla="*/ 264160 h 6177280"/>
            <a:gd name="connsiteX203" fmla="*/ 9306560 w 9579686"/>
            <a:gd name="connsiteY203" fmla="*/ 142240 h 6177280"/>
            <a:gd name="connsiteX204" fmla="*/ 9245600 w 9579686"/>
            <a:gd name="connsiteY204" fmla="*/ 101600 h 6177280"/>
            <a:gd name="connsiteX205" fmla="*/ 9164320 w 9579686"/>
            <a:gd name="connsiteY205" fmla="*/ 121920 h 6177280"/>
            <a:gd name="connsiteX206" fmla="*/ 9042400 w 9579686"/>
            <a:gd name="connsiteY206" fmla="*/ 142240 h 6177280"/>
            <a:gd name="connsiteX207" fmla="*/ 8859520 w 9579686"/>
            <a:gd name="connsiteY207" fmla="*/ 223520 h 6177280"/>
            <a:gd name="connsiteX208" fmla="*/ 8798560 w 9579686"/>
            <a:gd name="connsiteY208" fmla="*/ 243840 h 6177280"/>
            <a:gd name="connsiteX209" fmla="*/ 8737600 w 9579686"/>
            <a:gd name="connsiteY209" fmla="*/ 284480 h 6177280"/>
            <a:gd name="connsiteX210" fmla="*/ 8676640 w 9579686"/>
            <a:gd name="connsiteY210" fmla="*/ 345440 h 6177280"/>
            <a:gd name="connsiteX211" fmla="*/ 8554720 w 9579686"/>
            <a:gd name="connsiteY211" fmla="*/ 386080 h 6177280"/>
            <a:gd name="connsiteX212" fmla="*/ 8432800 w 9579686"/>
            <a:gd name="connsiteY212" fmla="*/ 345440 h 6177280"/>
            <a:gd name="connsiteX213" fmla="*/ 8453120 w 9579686"/>
            <a:gd name="connsiteY213" fmla="*/ 223520 h 6177280"/>
            <a:gd name="connsiteX214" fmla="*/ 8575040 w 9579686"/>
            <a:gd name="connsiteY214" fmla="*/ 142240 h 6177280"/>
            <a:gd name="connsiteX215" fmla="*/ 8595360 w 9579686"/>
            <a:gd name="connsiteY215" fmla="*/ 81280 h 6177280"/>
            <a:gd name="connsiteX216" fmla="*/ 8636000 w 9579686"/>
            <a:gd name="connsiteY216" fmla="*/ 20320 h 6177280"/>
            <a:gd name="connsiteX217" fmla="*/ 8575040 w 9579686"/>
            <a:gd name="connsiteY217" fmla="*/ 0 h 6177280"/>
            <a:gd name="connsiteX218" fmla="*/ 8310880 w 9579686"/>
            <a:gd name="connsiteY218" fmla="*/ 20320 h 6177280"/>
            <a:gd name="connsiteX219" fmla="*/ 8168640 w 9579686"/>
            <a:gd name="connsiteY219" fmla="*/ 182880 h 6177280"/>
            <a:gd name="connsiteX220" fmla="*/ 8128000 w 9579686"/>
            <a:gd name="connsiteY220" fmla="*/ 243840 h 6177280"/>
            <a:gd name="connsiteX221" fmla="*/ 8087360 w 9579686"/>
            <a:gd name="connsiteY221" fmla="*/ 386080 h 6177280"/>
            <a:gd name="connsiteX222" fmla="*/ 7884160 w 9579686"/>
            <a:gd name="connsiteY222" fmla="*/ 365760 h 6177280"/>
            <a:gd name="connsiteX223" fmla="*/ 7823200 w 9579686"/>
            <a:gd name="connsiteY223" fmla="*/ 345440 h 6177280"/>
            <a:gd name="connsiteX224" fmla="*/ 7416800 w 9579686"/>
            <a:gd name="connsiteY224" fmla="*/ 365760 h 6177280"/>
            <a:gd name="connsiteX225" fmla="*/ 7355840 w 9579686"/>
            <a:gd name="connsiteY225" fmla="*/ 386080 h 6177280"/>
            <a:gd name="connsiteX226" fmla="*/ 7335520 w 9579686"/>
            <a:gd name="connsiteY226" fmla="*/ 447040 h 6177280"/>
            <a:gd name="connsiteX227" fmla="*/ 7315200 w 9579686"/>
            <a:gd name="connsiteY227" fmla="*/ 609600 h 6177280"/>
            <a:gd name="connsiteX228" fmla="*/ 7254240 w 9579686"/>
            <a:gd name="connsiteY228" fmla="*/ 629920 h 6177280"/>
            <a:gd name="connsiteX229" fmla="*/ 7112000 w 9579686"/>
            <a:gd name="connsiteY229" fmla="*/ 650240 h 6177280"/>
            <a:gd name="connsiteX230" fmla="*/ 6664960 w 9579686"/>
            <a:gd name="connsiteY230" fmla="*/ 629920 h 6177280"/>
            <a:gd name="connsiteX231" fmla="*/ 6522720 w 9579686"/>
            <a:gd name="connsiteY231" fmla="*/ 568960 h 6177280"/>
            <a:gd name="connsiteX232" fmla="*/ 6421120 w 9579686"/>
            <a:gd name="connsiteY232" fmla="*/ 548640 h 6177280"/>
            <a:gd name="connsiteX233" fmla="*/ 6339840 w 9579686"/>
            <a:gd name="connsiteY233" fmla="*/ 528320 h 6177280"/>
            <a:gd name="connsiteX234" fmla="*/ 6278880 w 9579686"/>
            <a:gd name="connsiteY234" fmla="*/ 508000 h 6177280"/>
            <a:gd name="connsiteX235" fmla="*/ 5770880 w 9579686"/>
            <a:gd name="connsiteY235" fmla="*/ 487680 h 6177280"/>
            <a:gd name="connsiteX236" fmla="*/ 5547360 w 9579686"/>
            <a:gd name="connsiteY236" fmla="*/ 508000 h 6177280"/>
            <a:gd name="connsiteX237" fmla="*/ 5384800 w 9579686"/>
            <a:gd name="connsiteY237" fmla="*/ 568960 h 6177280"/>
            <a:gd name="connsiteX238" fmla="*/ 4978400 w 9579686"/>
            <a:gd name="connsiteY238" fmla="*/ 589280 h 6177280"/>
            <a:gd name="connsiteX239" fmla="*/ 4897120 w 9579686"/>
            <a:gd name="connsiteY239" fmla="*/ 609600 h 6177280"/>
            <a:gd name="connsiteX240" fmla="*/ 4612640 w 9579686"/>
            <a:gd name="connsiteY240" fmla="*/ 650240 h 6177280"/>
            <a:gd name="connsiteX241" fmla="*/ 4490720 w 9579686"/>
            <a:gd name="connsiteY241" fmla="*/ 690880 h 6177280"/>
            <a:gd name="connsiteX242" fmla="*/ 4287520 w 9579686"/>
            <a:gd name="connsiteY242" fmla="*/ 731520 h 6177280"/>
            <a:gd name="connsiteX243" fmla="*/ 4226560 w 9579686"/>
            <a:gd name="connsiteY243" fmla="*/ 751840 h 617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Lst>
          <a:rect l="l" t="t" r="r" b="b"/>
          <a:pathLst>
            <a:path w="9579686" h="6177280">
              <a:moveTo>
                <a:pt x="4531360" y="711200"/>
              </a:moveTo>
              <a:cubicBezTo>
                <a:pt x="3679735" y="733037"/>
                <a:pt x="3644815" y="745990"/>
                <a:pt x="2722880" y="711200"/>
              </a:cubicBezTo>
              <a:cubicBezTo>
                <a:pt x="2701476" y="710392"/>
                <a:pt x="2682829" y="695526"/>
                <a:pt x="2661920" y="690880"/>
              </a:cubicBezTo>
              <a:cubicBezTo>
                <a:pt x="2621701" y="681942"/>
                <a:pt x="2580219" y="679498"/>
                <a:pt x="2540000" y="670560"/>
              </a:cubicBezTo>
              <a:cubicBezTo>
                <a:pt x="2519091" y="665914"/>
                <a:pt x="2500114" y="654072"/>
                <a:pt x="2479040" y="650240"/>
              </a:cubicBezTo>
              <a:cubicBezTo>
                <a:pt x="2425312" y="640471"/>
                <a:pt x="2370345" y="638898"/>
                <a:pt x="2316480" y="629920"/>
              </a:cubicBezTo>
              <a:cubicBezTo>
                <a:pt x="2248345" y="618564"/>
                <a:pt x="2182259" y="592910"/>
                <a:pt x="2113280" y="589280"/>
              </a:cubicBezTo>
              <a:lnTo>
                <a:pt x="1341120" y="548640"/>
              </a:lnTo>
              <a:cubicBezTo>
                <a:pt x="1253067" y="555413"/>
                <a:pt x="1163761" y="552685"/>
                <a:pt x="1076960" y="568960"/>
              </a:cubicBezTo>
              <a:cubicBezTo>
                <a:pt x="1052957" y="573461"/>
                <a:pt x="1037843" y="598678"/>
                <a:pt x="1016000" y="609600"/>
              </a:cubicBezTo>
              <a:cubicBezTo>
                <a:pt x="996842" y="619179"/>
                <a:pt x="973764" y="619518"/>
                <a:pt x="955040" y="629920"/>
              </a:cubicBezTo>
              <a:cubicBezTo>
                <a:pt x="912343" y="653640"/>
                <a:pt x="873760" y="684107"/>
                <a:pt x="833120" y="711200"/>
              </a:cubicBezTo>
              <a:lnTo>
                <a:pt x="711200" y="792480"/>
              </a:lnTo>
              <a:lnTo>
                <a:pt x="650240" y="833120"/>
              </a:lnTo>
              <a:cubicBezTo>
                <a:pt x="559350" y="969454"/>
                <a:pt x="666420" y="835880"/>
                <a:pt x="548640" y="914400"/>
              </a:cubicBezTo>
              <a:cubicBezTo>
                <a:pt x="524730" y="930340"/>
                <a:pt x="509756" y="956963"/>
                <a:pt x="487680" y="975360"/>
              </a:cubicBezTo>
              <a:cubicBezTo>
                <a:pt x="468919" y="990994"/>
                <a:pt x="447040" y="1002453"/>
                <a:pt x="426720" y="1016000"/>
              </a:cubicBezTo>
              <a:cubicBezTo>
                <a:pt x="324691" y="1169044"/>
                <a:pt x="444489" y="974538"/>
                <a:pt x="365760" y="1158240"/>
              </a:cubicBezTo>
              <a:cubicBezTo>
                <a:pt x="356140" y="1180687"/>
                <a:pt x="336042" y="1197357"/>
                <a:pt x="325120" y="1219200"/>
              </a:cubicBezTo>
              <a:cubicBezTo>
                <a:pt x="240992" y="1387457"/>
                <a:pt x="380629" y="1166417"/>
                <a:pt x="264160" y="1341120"/>
              </a:cubicBezTo>
              <a:cubicBezTo>
                <a:pt x="210408" y="1556130"/>
                <a:pt x="283387" y="1302938"/>
                <a:pt x="203200" y="1483360"/>
              </a:cubicBezTo>
              <a:cubicBezTo>
                <a:pt x="185802" y="1522506"/>
                <a:pt x="162560" y="1605280"/>
                <a:pt x="162560" y="1605280"/>
              </a:cubicBezTo>
              <a:cubicBezTo>
                <a:pt x="169333" y="1686560"/>
                <a:pt x="172764" y="1768188"/>
                <a:pt x="182880" y="1849120"/>
              </a:cubicBezTo>
              <a:cubicBezTo>
                <a:pt x="186344" y="1876832"/>
                <a:pt x="197723" y="1903015"/>
                <a:pt x="203200" y="1930400"/>
              </a:cubicBezTo>
              <a:cubicBezTo>
                <a:pt x="211280" y="1970800"/>
                <a:pt x="216150" y="2011784"/>
                <a:pt x="223520" y="2052320"/>
              </a:cubicBezTo>
              <a:cubicBezTo>
                <a:pt x="229698" y="2086300"/>
                <a:pt x="237067" y="2120053"/>
                <a:pt x="243840" y="2153920"/>
              </a:cubicBezTo>
              <a:cubicBezTo>
                <a:pt x="219966" y="2440410"/>
                <a:pt x="205199" y="2489590"/>
                <a:pt x="243840" y="2824480"/>
              </a:cubicBezTo>
              <a:cubicBezTo>
                <a:pt x="248021" y="2860715"/>
                <a:pt x="270933" y="2892213"/>
                <a:pt x="284480" y="2926080"/>
              </a:cubicBezTo>
              <a:cubicBezTo>
                <a:pt x="277707" y="3034453"/>
                <a:pt x="278831" y="3143611"/>
                <a:pt x="264160" y="3251200"/>
              </a:cubicBezTo>
              <a:cubicBezTo>
                <a:pt x="246743" y="3378926"/>
                <a:pt x="222069" y="3339737"/>
                <a:pt x="203200" y="3434080"/>
              </a:cubicBezTo>
              <a:cubicBezTo>
                <a:pt x="196427" y="3467947"/>
                <a:pt x="191967" y="3502360"/>
                <a:pt x="182880" y="3535680"/>
              </a:cubicBezTo>
              <a:cubicBezTo>
                <a:pt x="171608" y="3577009"/>
                <a:pt x="150641" y="3615594"/>
                <a:pt x="142240" y="3657600"/>
              </a:cubicBezTo>
              <a:cubicBezTo>
                <a:pt x="135467" y="3691467"/>
                <a:pt x="131007" y="3725880"/>
                <a:pt x="121920" y="3759200"/>
              </a:cubicBezTo>
              <a:cubicBezTo>
                <a:pt x="110648" y="3800529"/>
                <a:pt x="94827" y="3840480"/>
                <a:pt x="81280" y="3881120"/>
              </a:cubicBezTo>
              <a:lnTo>
                <a:pt x="40640" y="4003040"/>
              </a:lnTo>
              <a:cubicBezTo>
                <a:pt x="33867" y="4023360"/>
                <a:pt x="25515" y="4043220"/>
                <a:pt x="20320" y="4064000"/>
              </a:cubicBezTo>
              <a:lnTo>
                <a:pt x="0" y="4145280"/>
              </a:lnTo>
              <a:cubicBezTo>
                <a:pt x="10610" y="4251378"/>
                <a:pt x="-13084" y="4335396"/>
                <a:pt x="60960" y="4409440"/>
              </a:cubicBezTo>
              <a:cubicBezTo>
                <a:pt x="78229" y="4426709"/>
                <a:pt x="101600" y="4436533"/>
                <a:pt x="121920" y="4450080"/>
              </a:cubicBezTo>
              <a:cubicBezTo>
                <a:pt x="135467" y="4429760"/>
                <a:pt x="152641" y="4411437"/>
                <a:pt x="162560" y="4389120"/>
              </a:cubicBezTo>
              <a:cubicBezTo>
                <a:pt x="179958" y="4349974"/>
                <a:pt x="203200" y="4267200"/>
                <a:pt x="203200" y="4267200"/>
              </a:cubicBezTo>
              <a:cubicBezTo>
                <a:pt x="212986" y="4169342"/>
                <a:pt x="217259" y="4059865"/>
                <a:pt x="243840" y="3962400"/>
              </a:cubicBezTo>
              <a:cubicBezTo>
                <a:pt x="255112" y="3921071"/>
                <a:pt x="276079" y="3882486"/>
                <a:pt x="284480" y="3840480"/>
              </a:cubicBezTo>
              <a:cubicBezTo>
                <a:pt x="291253" y="3806613"/>
                <a:pt x="295713" y="3772200"/>
                <a:pt x="304800" y="3738880"/>
              </a:cubicBezTo>
              <a:cubicBezTo>
                <a:pt x="316072" y="3697551"/>
                <a:pt x="345440" y="3616960"/>
                <a:pt x="345440" y="3616960"/>
              </a:cubicBezTo>
              <a:cubicBezTo>
                <a:pt x="352213" y="3556000"/>
                <a:pt x="355677" y="3494581"/>
                <a:pt x="365760" y="3434080"/>
              </a:cubicBezTo>
              <a:cubicBezTo>
                <a:pt x="369281" y="3412952"/>
                <a:pt x="380885" y="3393900"/>
                <a:pt x="386080" y="3373120"/>
              </a:cubicBezTo>
              <a:cubicBezTo>
                <a:pt x="394457" y="3339614"/>
                <a:pt x="397313" y="3304840"/>
                <a:pt x="406400" y="3271520"/>
              </a:cubicBezTo>
              <a:cubicBezTo>
                <a:pt x="417672" y="3230191"/>
                <a:pt x="447040" y="3149600"/>
                <a:pt x="447040" y="3149600"/>
              </a:cubicBezTo>
              <a:cubicBezTo>
                <a:pt x="505961" y="2737151"/>
                <a:pt x="431292" y="3251960"/>
                <a:pt x="487680" y="2885440"/>
              </a:cubicBezTo>
              <a:cubicBezTo>
                <a:pt x="539973" y="2545534"/>
                <a:pt x="477634" y="2925396"/>
                <a:pt x="528320" y="2621280"/>
              </a:cubicBezTo>
              <a:cubicBezTo>
                <a:pt x="577787" y="2695480"/>
                <a:pt x="619506" y="2752598"/>
                <a:pt x="650240" y="2844800"/>
              </a:cubicBezTo>
              <a:cubicBezTo>
                <a:pt x="663787" y="2885440"/>
                <a:pt x="680490" y="2925161"/>
                <a:pt x="690880" y="2966720"/>
              </a:cubicBezTo>
              <a:cubicBezTo>
                <a:pt x="697653" y="2993813"/>
                <a:pt x="700199" y="3022331"/>
                <a:pt x="711200" y="3048000"/>
              </a:cubicBezTo>
              <a:cubicBezTo>
                <a:pt x="720820" y="3070447"/>
                <a:pt x="741921" y="3086643"/>
                <a:pt x="751840" y="3108960"/>
              </a:cubicBezTo>
              <a:cubicBezTo>
                <a:pt x="769238" y="3148106"/>
                <a:pt x="778933" y="3190240"/>
                <a:pt x="792480" y="3230880"/>
              </a:cubicBezTo>
              <a:lnTo>
                <a:pt x="812800" y="3291840"/>
              </a:lnTo>
              <a:cubicBezTo>
                <a:pt x="819573" y="3312160"/>
                <a:pt x="828474" y="3331891"/>
                <a:pt x="833120" y="3352800"/>
              </a:cubicBezTo>
              <a:lnTo>
                <a:pt x="873760" y="3535680"/>
              </a:lnTo>
              <a:cubicBezTo>
                <a:pt x="872745" y="3555977"/>
                <a:pt x="889559" y="3948862"/>
                <a:pt x="812800" y="4064000"/>
              </a:cubicBezTo>
              <a:cubicBezTo>
                <a:pt x="799253" y="4084320"/>
                <a:pt x="782079" y="4102643"/>
                <a:pt x="772160" y="4124960"/>
              </a:cubicBezTo>
              <a:cubicBezTo>
                <a:pt x="754762" y="4164106"/>
                <a:pt x="731520" y="4246880"/>
                <a:pt x="731520" y="4246880"/>
              </a:cubicBezTo>
              <a:cubicBezTo>
                <a:pt x="738293" y="4328160"/>
                <a:pt x="738431" y="4410268"/>
                <a:pt x="751840" y="4490720"/>
              </a:cubicBezTo>
              <a:cubicBezTo>
                <a:pt x="758883" y="4532975"/>
                <a:pt x="784079" y="4570634"/>
                <a:pt x="792480" y="4612640"/>
              </a:cubicBezTo>
              <a:cubicBezTo>
                <a:pt x="822193" y="4761205"/>
                <a:pt x="807916" y="4680050"/>
                <a:pt x="833120" y="4856480"/>
              </a:cubicBezTo>
              <a:cubicBezTo>
                <a:pt x="839893" y="5093547"/>
                <a:pt x="841597" y="5330812"/>
                <a:pt x="853440" y="5567680"/>
              </a:cubicBezTo>
              <a:cubicBezTo>
                <a:pt x="863224" y="5763360"/>
                <a:pt x="883049" y="5575227"/>
                <a:pt x="955040" y="5791200"/>
              </a:cubicBezTo>
              <a:cubicBezTo>
                <a:pt x="961813" y="5811520"/>
                <a:pt x="954451" y="5847514"/>
                <a:pt x="975360" y="5852160"/>
              </a:cubicBezTo>
              <a:cubicBezTo>
                <a:pt x="1087959" y="5877182"/>
                <a:pt x="1205653" y="5865707"/>
                <a:pt x="1320800" y="5872480"/>
              </a:cubicBezTo>
              <a:cubicBezTo>
                <a:pt x="1347893" y="5879253"/>
                <a:pt x="1375227" y="5885128"/>
                <a:pt x="1402080" y="5892800"/>
              </a:cubicBezTo>
              <a:cubicBezTo>
                <a:pt x="1422675" y="5898684"/>
                <a:pt x="1441621" y="5913120"/>
                <a:pt x="1463040" y="5913120"/>
              </a:cubicBezTo>
              <a:cubicBezTo>
                <a:pt x="1504241" y="5913120"/>
                <a:pt x="1544320" y="5899573"/>
                <a:pt x="1584960" y="5892800"/>
              </a:cubicBezTo>
              <a:cubicBezTo>
                <a:pt x="1605280" y="5879253"/>
                <a:pt x="1642891" y="5876393"/>
                <a:pt x="1645920" y="5852160"/>
              </a:cubicBezTo>
              <a:cubicBezTo>
                <a:pt x="1651233" y="5809652"/>
                <a:pt x="1605280" y="5730240"/>
                <a:pt x="1605280" y="5730240"/>
              </a:cubicBezTo>
              <a:cubicBezTo>
                <a:pt x="1578902" y="5545592"/>
                <a:pt x="1600106" y="5633437"/>
                <a:pt x="1544320" y="5466080"/>
              </a:cubicBezTo>
              <a:cubicBezTo>
                <a:pt x="1537547" y="5445760"/>
                <a:pt x="1541822" y="5417001"/>
                <a:pt x="1524000" y="5405120"/>
              </a:cubicBezTo>
              <a:cubicBezTo>
                <a:pt x="1483360" y="5378027"/>
                <a:pt x="1436617" y="5358377"/>
                <a:pt x="1402080" y="5323840"/>
              </a:cubicBezTo>
              <a:cubicBezTo>
                <a:pt x="1323851" y="5245611"/>
                <a:pt x="1365030" y="5278820"/>
                <a:pt x="1280160" y="5222240"/>
              </a:cubicBezTo>
              <a:cubicBezTo>
                <a:pt x="1266613" y="5181600"/>
                <a:pt x="1263282" y="5135964"/>
                <a:pt x="1239520" y="5100320"/>
              </a:cubicBezTo>
              <a:cubicBezTo>
                <a:pt x="1146359" y="4960578"/>
                <a:pt x="1173686" y="5024737"/>
                <a:pt x="1137920" y="4917440"/>
              </a:cubicBezTo>
              <a:cubicBezTo>
                <a:pt x="1144693" y="4856480"/>
                <a:pt x="1148157" y="4795061"/>
                <a:pt x="1158240" y="4734560"/>
              </a:cubicBezTo>
              <a:cubicBezTo>
                <a:pt x="1164008" y="4699953"/>
                <a:pt x="1203108" y="4614849"/>
                <a:pt x="1219200" y="4592320"/>
              </a:cubicBezTo>
              <a:cubicBezTo>
                <a:pt x="1235903" y="4568936"/>
                <a:pt x="1259840" y="4551680"/>
                <a:pt x="1280160" y="4531360"/>
              </a:cubicBezTo>
              <a:cubicBezTo>
                <a:pt x="1286933" y="4470400"/>
                <a:pt x="1262164" y="4396375"/>
                <a:pt x="1300480" y="4348480"/>
              </a:cubicBezTo>
              <a:cubicBezTo>
                <a:pt x="1321636" y="4322035"/>
                <a:pt x="1346294" y="4399469"/>
                <a:pt x="1361440" y="4429760"/>
              </a:cubicBezTo>
              <a:cubicBezTo>
                <a:pt x="1506528" y="4719937"/>
                <a:pt x="1323176" y="4433323"/>
                <a:pt x="1442720" y="4612640"/>
              </a:cubicBezTo>
              <a:cubicBezTo>
                <a:pt x="1453748" y="4899355"/>
                <a:pt x="1423922" y="5064245"/>
                <a:pt x="1503680" y="5303520"/>
              </a:cubicBezTo>
              <a:cubicBezTo>
                <a:pt x="1510453" y="5323840"/>
                <a:pt x="1512119" y="5346658"/>
                <a:pt x="1524000" y="5364480"/>
              </a:cubicBezTo>
              <a:cubicBezTo>
                <a:pt x="1539940" y="5388390"/>
                <a:pt x="1564640" y="5405120"/>
                <a:pt x="1584960" y="5425440"/>
              </a:cubicBezTo>
              <a:cubicBezTo>
                <a:pt x="1591733" y="5459307"/>
                <a:pt x="1596193" y="5493720"/>
                <a:pt x="1605280" y="5527040"/>
              </a:cubicBezTo>
              <a:cubicBezTo>
                <a:pt x="1616552" y="5568369"/>
                <a:pt x="1637519" y="5606954"/>
                <a:pt x="1645920" y="5648960"/>
              </a:cubicBezTo>
              <a:cubicBezTo>
                <a:pt x="1652693" y="5682827"/>
                <a:pt x="1649105" y="5720573"/>
                <a:pt x="1666240" y="5750560"/>
              </a:cubicBezTo>
              <a:cubicBezTo>
                <a:pt x="1678357" y="5771764"/>
                <a:pt x="1706880" y="5777653"/>
                <a:pt x="1727200" y="5791200"/>
              </a:cubicBezTo>
              <a:cubicBezTo>
                <a:pt x="1815253" y="5784427"/>
                <a:pt x="1903532" y="5780125"/>
                <a:pt x="1991360" y="5770880"/>
              </a:cubicBezTo>
              <a:cubicBezTo>
                <a:pt x="2032334" y="5766567"/>
                <a:pt x="2086904" y="5782211"/>
                <a:pt x="2113280" y="5750560"/>
              </a:cubicBezTo>
              <a:cubicBezTo>
                <a:pt x="2135390" y="5724028"/>
                <a:pt x="2102047" y="5682280"/>
                <a:pt x="2092960" y="5648960"/>
              </a:cubicBezTo>
              <a:cubicBezTo>
                <a:pt x="2054132" y="5506589"/>
                <a:pt x="2056406" y="5533169"/>
                <a:pt x="1971040" y="5405120"/>
              </a:cubicBezTo>
              <a:lnTo>
                <a:pt x="1971040" y="5405120"/>
              </a:lnTo>
              <a:cubicBezTo>
                <a:pt x="1922677" y="5260032"/>
                <a:pt x="1954162" y="5318844"/>
                <a:pt x="1889760" y="5222240"/>
              </a:cubicBezTo>
              <a:cubicBezTo>
                <a:pt x="1882987" y="5195147"/>
                <a:pt x="1877112" y="5167813"/>
                <a:pt x="1869440" y="5140960"/>
              </a:cubicBezTo>
              <a:cubicBezTo>
                <a:pt x="1863556" y="5120365"/>
                <a:pt x="1853936" y="5100871"/>
                <a:pt x="1849120" y="5080000"/>
              </a:cubicBezTo>
              <a:cubicBezTo>
                <a:pt x="1811595" y="4917393"/>
                <a:pt x="1809576" y="4884470"/>
                <a:pt x="1788160" y="4734560"/>
              </a:cubicBezTo>
              <a:cubicBezTo>
                <a:pt x="1819069" y="3869099"/>
                <a:pt x="1761041" y="4389234"/>
                <a:pt x="1828800" y="4084320"/>
              </a:cubicBezTo>
              <a:cubicBezTo>
                <a:pt x="1836292" y="4050605"/>
                <a:pt x="1834828" y="4014162"/>
                <a:pt x="1849120" y="3982720"/>
              </a:cubicBezTo>
              <a:cubicBezTo>
                <a:pt x="1869331" y="3938255"/>
                <a:pt x="1889760" y="3887893"/>
                <a:pt x="1930400" y="3860800"/>
              </a:cubicBezTo>
              <a:lnTo>
                <a:pt x="2052320" y="3779520"/>
              </a:lnTo>
              <a:cubicBezTo>
                <a:pt x="2072640" y="3765973"/>
                <a:pt x="2096011" y="3756149"/>
                <a:pt x="2113280" y="3738880"/>
              </a:cubicBezTo>
              <a:cubicBezTo>
                <a:pt x="2158220" y="3693940"/>
                <a:pt x="2178620" y="3665570"/>
                <a:pt x="2235200" y="3637280"/>
              </a:cubicBezTo>
              <a:cubicBezTo>
                <a:pt x="2254358" y="3627701"/>
                <a:pt x="2275840" y="3623733"/>
                <a:pt x="2296160" y="3616960"/>
              </a:cubicBezTo>
              <a:cubicBezTo>
                <a:pt x="2402477" y="3626625"/>
                <a:pt x="2516303" y="3628970"/>
                <a:pt x="2621280" y="3657600"/>
              </a:cubicBezTo>
              <a:cubicBezTo>
                <a:pt x="2662609" y="3668872"/>
                <a:pt x="2702560" y="3684693"/>
                <a:pt x="2743200" y="3698240"/>
              </a:cubicBezTo>
              <a:cubicBezTo>
                <a:pt x="2763520" y="3705013"/>
                <a:pt x="2786338" y="3706679"/>
                <a:pt x="2804160" y="3718560"/>
              </a:cubicBezTo>
              <a:cubicBezTo>
                <a:pt x="2824480" y="3732107"/>
                <a:pt x="2842803" y="3749281"/>
                <a:pt x="2865120" y="3759200"/>
              </a:cubicBezTo>
              <a:cubicBezTo>
                <a:pt x="2904266" y="3776598"/>
                <a:pt x="2946400" y="3786293"/>
                <a:pt x="2987040" y="3799840"/>
              </a:cubicBezTo>
              <a:lnTo>
                <a:pt x="3108960" y="3840480"/>
              </a:lnTo>
              <a:cubicBezTo>
                <a:pt x="3129280" y="3847253"/>
                <a:pt x="3148917" y="3856599"/>
                <a:pt x="3169920" y="3860800"/>
              </a:cubicBezTo>
              <a:lnTo>
                <a:pt x="3271520" y="3881120"/>
              </a:lnTo>
              <a:cubicBezTo>
                <a:pt x="3417350" y="3978340"/>
                <a:pt x="3358903" y="3927863"/>
                <a:pt x="3454400" y="4023360"/>
              </a:cubicBezTo>
              <a:cubicBezTo>
                <a:pt x="3474720" y="4009813"/>
                <a:pt x="3506290" y="4005395"/>
                <a:pt x="3515360" y="3982720"/>
              </a:cubicBezTo>
              <a:cubicBezTo>
                <a:pt x="3522965" y="3963707"/>
                <a:pt x="3453568" y="3879813"/>
                <a:pt x="3515360" y="3860800"/>
              </a:cubicBezTo>
              <a:cubicBezTo>
                <a:pt x="3593315" y="3836814"/>
                <a:pt x="3677920" y="3847253"/>
                <a:pt x="3759200" y="3840480"/>
              </a:cubicBezTo>
              <a:cubicBezTo>
                <a:pt x="3779520" y="3833707"/>
                <a:pt x="3798750" y="3819530"/>
                <a:pt x="3820160" y="3820160"/>
              </a:cubicBezTo>
              <a:cubicBezTo>
                <a:pt x="4030479" y="3826346"/>
                <a:pt x="4450080" y="3860800"/>
                <a:pt x="4450080" y="3860800"/>
              </a:cubicBezTo>
              <a:cubicBezTo>
                <a:pt x="4531360" y="3854027"/>
                <a:pt x="4613106" y="3851500"/>
                <a:pt x="4693920" y="3840480"/>
              </a:cubicBezTo>
              <a:cubicBezTo>
                <a:pt x="4762361" y="3831147"/>
                <a:pt x="4828329" y="3806094"/>
                <a:pt x="4897120" y="3799840"/>
              </a:cubicBezTo>
              <a:lnTo>
                <a:pt x="5120640" y="3779520"/>
              </a:lnTo>
              <a:cubicBezTo>
                <a:pt x="5128575" y="3795391"/>
                <a:pt x="5181600" y="3891861"/>
                <a:pt x="5181600" y="3921760"/>
              </a:cubicBezTo>
              <a:cubicBezTo>
                <a:pt x="5181600" y="4207239"/>
                <a:pt x="5183939" y="4176566"/>
                <a:pt x="5140960" y="4348480"/>
              </a:cubicBezTo>
              <a:cubicBezTo>
                <a:pt x="5126393" y="4479583"/>
                <a:pt x="5099809" y="4602878"/>
                <a:pt x="5140960" y="4734560"/>
              </a:cubicBezTo>
              <a:cubicBezTo>
                <a:pt x="5155529" y="4781180"/>
                <a:pt x="5222240" y="4856480"/>
                <a:pt x="5222240" y="4856480"/>
              </a:cubicBezTo>
              <a:cubicBezTo>
                <a:pt x="5208693" y="4978400"/>
                <a:pt x="5196216" y="5100444"/>
                <a:pt x="5181600" y="5222240"/>
              </a:cubicBezTo>
              <a:cubicBezTo>
                <a:pt x="5175894" y="5269794"/>
                <a:pt x="5161280" y="5316585"/>
                <a:pt x="5161280" y="5364480"/>
              </a:cubicBezTo>
              <a:cubicBezTo>
                <a:pt x="5161280" y="5687102"/>
                <a:pt x="5146759" y="5625716"/>
                <a:pt x="5201920" y="5791200"/>
              </a:cubicBezTo>
              <a:cubicBezTo>
                <a:pt x="5192338" y="5819947"/>
                <a:pt x="5161280" y="5907925"/>
                <a:pt x="5161280" y="5933440"/>
              </a:cubicBezTo>
              <a:cubicBezTo>
                <a:pt x="5161280" y="5954859"/>
                <a:pt x="5171198" y="5975676"/>
                <a:pt x="5181600" y="5994400"/>
              </a:cubicBezTo>
              <a:cubicBezTo>
                <a:pt x="5227644" y="6077278"/>
                <a:pt x="5237206" y="6125811"/>
                <a:pt x="5323840" y="6136640"/>
              </a:cubicBezTo>
              <a:cubicBezTo>
                <a:pt x="5411471" y="6147594"/>
                <a:pt x="5500125" y="6148172"/>
                <a:pt x="5588000" y="6156960"/>
              </a:cubicBezTo>
              <a:cubicBezTo>
                <a:pt x="5635657" y="6161726"/>
                <a:pt x="5682827" y="6170507"/>
                <a:pt x="5730240" y="6177280"/>
              </a:cubicBezTo>
              <a:cubicBezTo>
                <a:pt x="5764107" y="6170507"/>
                <a:pt x="5803103" y="6176118"/>
                <a:pt x="5831840" y="6156960"/>
              </a:cubicBezTo>
              <a:cubicBezTo>
                <a:pt x="5849662" y="6145079"/>
                <a:pt x="5847959" y="6117003"/>
                <a:pt x="5852160" y="6096000"/>
              </a:cubicBezTo>
              <a:cubicBezTo>
                <a:pt x="5861553" y="6049035"/>
                <a:pt x="5851061" y="5996598"/>
                <a:pt x="5872480" y="5953760"/>
              </a:cubicBezTo>
              <a:cubicBezTo>
                <a:pt x="5882059" y="5934602"/>
                <a:pt x="5913120" y="5940213"/>
                <a:pt x="5933440" y="5933440"/>
              </a:cubicBezTo>
              <a:cubicBezTo>
                <a:pt x="5946987" y="5913120"/>
                <a:pt x="5971051" y="5896713"/>
                <a:pt x="5974080" y="5872480"/>
              </a:cubicBezTo>
              <a:cubicBezTo>
                <a:pt x="5981694" y="5811571"/>
                <a:pt x="5949779" y="5753911"/>
                <a:pt x="5913120" y="5709920"/>
              </a:cubicBezTo>
              <a:cubicBezTo>
                <a:pt x="5894723" y="5687844"/>
                <a:pt x="5868863" y="5672344"/>
                <a:pt x="5852160" y="5648960"/>
              </a:cubicBezTo>
              <a:cubicBezTo>
                <a:pt x="5834554" y="5624311"/>
                <a:pt x="5825067" y="5594773"/>
                <a:pt x="5811520" y="5567680"/>
              </a:cubicBezTo>
              <a:cubicBezTo>
                <a:pt x="5797210" y="5438890"/>
                <a:pt x="5801935" y="5407038"/>
                <a:pt x="5770880" y="5303520"/>
              </a:cubicBezTo>
              <a:cubicBezTo>
                <a:pt x="5758570" y="5262488"/>
                <a:pt x="5730240" y="5181600"/>
                <a:pt x="5730240" y="5181600"/>
              </a:cubicBezTo>
              <a:cubicBezTo>
                <a:pt x="5770058" y="4942693"/>
                <a:pt x="5730463" y="5160276"/>
                <a:pt x="5770880" y="4978400"/>
              </a:cubicBezTo>
              <a:cubicBezTo>
                <a:pt x="5778372" y="4944685"/>
                <a:pt x="5782113" y="4910120"/>
                <a:pt x="5791200" y="4876800"/>
              </a:cubicBezTo>
              <a:cubicBezTo>
                <a:pt x="5802472" y="4835471"/>
                <a:pt x="5808078" y="4790524"/>
                <a:pt x="5831840" y="4754880"/>
              </a:cubicBezTo>
              <a:cubicBezTo>
                <a:pt x="5845387" y="4734560"/>
                <a:pt x="5862561" y="4716237"/>
                <a:pt x="5872480" y="4693920"/>
              </a:cubicBezTo>
              <a:cubicBezTo>
                <a:pt x="5889878" y="4654774"/>
                <a:pt x="5899573" y="4612640"/>
                <a:pt x="5913120" y="4572000"/>
              </a:cubicBezTo>
              <a:cubicBezTo>
                <a:pt x="5941320" y="4487399"/>
                <a:pt x="5934143" y="4517331"/>
                <a:pt x="5953760" y="4409440"/>
              </a:cubicBezTo>
              <a:cubicBezTo>
                <a:pt x="5965187" y="4346594"/>
                <a:pt x="5977621" y="4221249"/>
                <a:pt x="6014720" y="4165600"/>
              </a:cubicBezTo>
              <a:cubicBezTo>
                <a:pt x="6028267" y="4145280"/>
                <a:pt x="6034651" y="4117583"/>
                <a:pt x="6055360" y="4104640"/>
              </a:cubicBezTo>
              <a:cubicBezTo>
                <a:pt x="6107859" y="4071828"/>
                <a:pt x="6217658" y="4057285"/>
                <a:pt x="6278880" y="4043680"/>
              </a:cubicBezTo>
              <a:cubicBezTo>
                <a:pt x="6306142" y="4037622"/>
                <a:pt x="6332775" y="4028837"/>
                <a:pt x="6360160" y="4023360"/>
              </a:cubicBezTo>
              <a:cubicBezTo>
                <a:pt x="6538970" y="3987598"/>
                <a:pt x="6424402" y="4022266"/>
                <a:pt x="6543040" y="3982720"/>
              </a:cubicBezTo>
              <a:cubicBezTo>
                <a:pt x="6678327" y="3847433"/>
                <a:pt x="6550802" y="3993133"/>
                <a:pt x="6624320" y="3860800"/>
              </a:cubicBezTo>
              <a:cubicBezTo>
                <a:pt x="6648040" y="3818103"/>
                <a:pt x="6678507" y="3779520"/>
                <a:pt x="6705600" y="3738880"/>
              </a:cubicBezTo>
              <a:cubicBezTo>
                <a:pt x="6719147" y="3718560"/>
                <a:pt x="6738517" y="3701088"/>
                <a:pt x="6746240" y="3677920"/>
              </a:cubicBezTo>
              <a:cubicBezTo>
                <a:pt x="6759787" y="3637280"/>
                <a:pt x="6763118" y="3591644"/>
                <a:pt x="6786880" y="3556000"/>
              </a:cubicBezTo>
              <a:cubicBezTo>
                <a:pt x="6800427" y="3535680"/>
                <a:pt x="6816598" y="3516883"/>
                <a:pt x="6827520" y="3495040"/>
              </a:cubicBezTo>
              <a:cubicBezTo>
                <a:pt x="6837099" y="3475882"/>
                <a:pt x="6838261" y="3453238"/>
                <a:pt x="6847840" y="3434080"/>
              </a:cubicBezTo>
              <a:cubicBezTo>
                <a:pt x="6858762" y="3412237"/>
                <a:pt x="6877558" y="3394963"/>
                <a:pt x="6888480" y="3373120"/>
              </a:cubicBezTo>
              <a:cubicBezTo>
                <a:pt x="6898059" y="3353962"/>
                <a:pt x="6891371" y="3324610"/>
                <a:pt x="6908800" y="3312160"/>
              </a:cubicBezTo>
              <a:cubicBezTo>
                <a:pt x="6943659" y="3287261"/>
                <a:pt x="7030720" y="3271520"/>
                <a:pt x="7030720" y="3271520"/>
              </a:cubicBezTo>
              <a:cubicBezTo>
                <a:pt x="7137251" y="3164989"/>
                <a:pt x="7068109" y="3258515"/>
                <a:pt x="7112000" y="3068320"/>
              </a:cubicBezTo>
              <a:cubicBezTo>
                <a:pt x="7149250" y="2906905"/>
                <a:pt x="7130719" y="2984897"/>
                <a:pt x="7213600" y="2885440"/>
              </a:cubicBezTo>
              <a:cubicBezTo>
                <a:pt x="7229234" y="2866679"/>
                <a:pt x="7235861" y="2840562"/>
                <a:pt x="7254240" y="2824480"/>
              </a:cubicBezTo>
              <a:lnTo>
                <a:pt x="7437120" y="2702560"/>
              </a:lnTo>
              <a:cubicBezTo>
                <a:pt x="7457440" y="2689013"/>
                <a:pt x="7474912" y="2669643"/>
                <a:pt x="7498080" y="2661920"/>
              </a:cubicBezTo>
              <a:lnTo>
                <a:pt x="7620000" y="2621280"/>
              </a:lnTo>
              <a:cubicBezTo>
                <a:pt x="7647093" y="2600960"/>
                <a:pt x="7673535" y="2579741"/>
                <a:pt x="7701280" y="2560320"/>
              </a:cubicBezTo>
              <a:cubicBezTo>
                <a:pt x="7741294" y="2532310"/>
                <a:pt x="7788663" y="2513577"/>
                <a:pt x="7823200" y="2479040"/>
              </a:cubicBezTo>
              <a:lnTo>
                <a:pt x="7884160" y="2418080"/>
              </a:lnTo>
              <a:cubicBezTo>
                <a:pt x="8073813" y="2424853"/>
                <a:pt x="8263739" y="2426182"/>
                <a:pt x="8453120" y="2438400"/>
              </a:cubicBezTo>
              <a:cubicBezTo>
                <a:pt x="8474495" y="2439779"/>
                <a:pt x="8494922" y="2449141"/>
                <a:pt x="8514080" y="2458720"/>
              </a:cubicBezTo>
              <a:cubicBezTo>
                <a:pt x="8535923" y="2469642"/>
                <a:pt x="8554720" y="2485813"/>
                <a:pt x="8575040" y="2499360"/>
              </a:cubicBezTo>
              <a:cubicBezTo>
                <a:pt x="8678574" y="2430337"/>
                <a:pt x="8632974" y="2441859"/>
                <a:pt x="8818880" y="2479040"/>
              </a:cubicBezTo>
              <a:cubicBezTo>
                <a:pt x="8860886" y="2487441"/>
                <a:pt x="8940800" y="2519680"/>
                <a:pt x="8940800" y="2519680"/>
              </a:cubicBezTo>
              <a:cubicBezTo>
                <a:pt x="9059544" y="2502717"/>
                <a:pt x="9077673" y="2502810"/>
                <a:pt x="9184640" y="2479040"/>
              </a:cubicBezTo>
              <a:cubicBezTo>
                <a:pt x="9327568" y="2447278"/>
                <a:pt x="9208081" y="2472342"/>
                <a:pt x="9326880" y="2438400"/>
              </a:cubicBezTo>
              <a:cubicBezTo>
                <a:pt x="9353733" y="2430728"/>
                <a:pt x="9381067" y="2424853"/>
                <a:pt x="9408160" y="2418080"/>
              </a:cubicBezTo>
              <a:cubicBezTo>
                <a:pt x="9414933" y="2363893"/>
                <a:pt x="9392200" y="2296335"/>
                <a:pt x="9428480" y="2255520"/>
              </a:cubicBezTo>
              <a:cubicBezTo>
                <a:pt x="9460300" y="2219723"/>
                <a:pt x="9539551" y="2271564"/>
                <a:pt x="9570720" y="2235200"/>
              </a:cubicBezTo>
              <a:cubicBezTo>
                <a:pt x="9597533" y="2203918"/>
                <a:pt x="9556227" y="2154066"/>
                <a:pt x="9550400" y="2113280"/>
              </a:cubicBezTo>
              <a:cubicBezTo>
                <a:pt x="9542677" y="2059220"/>
                <a:pt x="9539849" y="2004448"/>
                <a:pt x="9530080" y="1950720"/>
              </a:cubicBezTo>
              <a:cubicBezTo>
                <a:pt x="9516668" y="1876953"/>
                <a:pt x="9470667" y="1831121"/>
                <a:pt x="9428480" y="1767840"/>
              </a:cubicBezTo>
              <a:lnTo>
                <a:pt x="9387840" y="1706880"/>
              </a:lnTo>
              <a:cubicBezTo>
                <a:pt x="9374293" y="1686560"/>
                <a:pt x="9354923" y="1669088"/>
                <a:pt x="9347200" y="1645920"/>
              </a:cubicBezTo>
              <a:cubicBezTo>
                <a:pt x="9340427" y="1625600"/>
                <a:pt x="9337282" y="1603684"/>
                <a:pt x="9326880" y="1584960"/>
              </a:cubicBezTo>
              <a:cubicBezTo>
                <a:pt x="9266117" y="1475587"/>
                <a:pt x="9258688" y="1476128"/>
                <a:pt x="9184640" y="1402080"/>
              </a:cubicBezTo>
              <a:cubicBezTo>
                <a:pt x="9124401" y="1161124"/>
                <a:pt x="9216808" y="1542602"/>
                <a:pt x="9144000" y="1178560"/>
              </a:cubicBezTo>
              <a:cubicBezTo>
                <a:pt x="9139799" y="1157557"/>
                <a:pt x="9129564" y="1138195"/>
                <a:pt x="9123680" y="1117600"/>
              </a:cubicBezTo>
              <a:cubicBezTo>
                <a:pt x="9116008" y="1090747"/>
                <a:pt x="9114361" y="1061989"/>
                <a:pt x="9103360" y="1036320"/>
              </a:cubicBezTo>
              <a:cubicBezTo>
                <a:pt x="9073655" y="967009"/>
                <a:pt x="9048364" y="974320"/>
                <a:pt x="9001760" y="914400"/>
              </a:cubicBezTo>
              <a:cubicBezTo>
                <a:pt x="8909848" y="796227"/>
                <a:pt x="8924410" y="804269"/>
                <a:pt x="8879840" y="670560"/>
              </a:cubicBezTo>
              <a:lnTo>
                <a:pt x="8859520" y="609600"/>
              </a:lnTo>
              <a:cubicBezTo>
                <a:pt x="8873067" y="541867"/>
                <a:pt x="8834630" y="428243"/>
                <a:pt x="8900160" y="406400"/>
              </a:cubicBezTo>
              <a:cubicBezTo>
                <a:pt x="9081331" y="346010"/>
                <a:pt x="8795448" y="442630"/>
                <a:pt x="9062720" y="345440"/>
              </a:cubicBezTo>
              <a:cubicBezTo>
                <a:pt x="9222317" y="287405"/>
                <a:pt x="9140725" y="334077"/>
                <a:pt x="9245600" y="264160"/>
              </a:cubicBezTo>
              <a:cubicBezTo>
                <a:pt x="9254157" y="251324"/>
                <a:pt x="9317076" y="168530"/>
                <a:pt x="9306560" y="142240"/>
              </a:cubicBezTo>
              <a:cubicBezTo>
                <a:pt x="9297490" y="119565"/>
                <a:pt x="9265920" y="115147"/>
                <a:pt x="9245600" y="101600"/>
              </a:cubicBezTo>
              <a:cubicBezTo>
                <a:pt x="9218507" y="108373"/>
                <a:pt x="9191705" y="116443"/>
                <a:pt x="9164320" y="121920"/>
              </a:cubicBezTo>
              <a:cubicBezTo>
                <a:pt x="9123920" y="130000"/>
                <a:pt x="9082370" y="132247"/>
                <a:pt x="9042400" y="142240"/>
              </a:cubicBezTo>
              <a:cubicBezTo>
                <a:pt x="8832705" y="194664"/>
                <a:pt x="8992955" y="156802"/>
                <a:pt x="8859520" y="223520"/>
              </a:cubicBezTo>
              <a:cubicBezTo>
                <a:pt x="8840362" y="233099"/>
                <a:pt x="8817718" y="234261"/>
                <a:pt x="8798560" y="243840"/>
              </a:cubicBezTo>
              <a:cubicBezTo>
                <a:pt x="8776717" y="254762"/>
                <a:pt x="8756361" y="268846"/>
                <a:pt x="8737600" y="284480"/>
              </a:cubicBezTo>
              <a:cubicBezTo>
                <a:pt x="8715524" y="302877"/>
                <a:pt x="8701760" y="331484"/>
                <a:pt x="8676640" y="345440"/>
              </a:cubicBezTo>
              <a:cubicBezTo>
                <a:pt x="8639193" y="366244"/>
                <a:pt x="8554720" y="386080"/>
                <a:pt x="8554720" y="386080"/>
              </a:cubicBezTo>
              <a:cubicBezTo>
                <a:pt x="8514080" y="372533"/>
                <a:pt x="8425757" y="387695"/>
                <a:pt x="8432800" y="345440"/>
              </a:cubicBezTo>
              <a:cubicBezTo>
                <a:pt x="8439573" y="304800"/>
                <a:pt x="8429493" y="257273"/>
                <a:pt x="8453120" y="223520"/>
              </a:cubicBezTo>
              <a:cubicBezTo>
                <a:pt x="8481130" y="183506"/>
                <a:pt x="8575040" y="142240"/>
                <a:pt x="8575040" y="142240"/>
              </a:cubicBezTo>
              <a:cubicBezTo>
                <a:pt x="8581813" y="121920"/>
                <a:pt x="8585781" y="100438"/>
                <a:pt x="8595360" y="81280"/>
              </a:cubicBezTo>
              <a:cubicBezTo>
                <a:pt x="8606282" y="59437"/>
                <a:pt x="8641923" y="44012"/>
                <a:pt x="8636000" y="20320"/>
              </a:cubicBezTo>
              <a:cubicBezTo>
                <a:pt x="8630805" y="-460"/>
                <a:pt x="8595360" y="6773"/>
                <a:pt x="8575040" y="0"/>
              </a:cubicBezTo>
              <a:cubicBezTo>
                <a:pt x="8486987" y="6773"/>
                <a:pt x="8397681" y="4045"/>
                <a:pt x="8310880" y="20320"/>
              </a:cubicBezTo>
              <a:cubicBezTo>
                <a:pt x="8246372" y="32415"/>
                <a:pt x="8189283" y="151916"/>
                <a:pt x="8168640" y="182880"/>
              </a:cubicBezTo>
              <a:cubicBezTo>
                <a:pt x="8155093" y="203200"/>
                <a:pt x="8135723" y="220672"/>
                <a:pt x="8128000" y="243840"/>
              </a:cubicBezTo>
              <a:cubicBezTo>
                <a:pt x="8098849" y="331294"/>
                <a:pt x="8112875" y="284020"/>
                <a:pt x="8087360" y="386080"/>
              </a:cubicBezTo>
              <a:cubicBezTo>
                <a:pt x="8019627" y="379307"/>
                <a:pt x="7951440" y="376111"/>
                <a:pt x="7884160" y="365760"/>
              </a:cubicBezTo>
              <a:cubicBezTo>
                <a:pt x="7862990" y="362503"/>
                <a:pt x="7844619" y="345440"/>
                <a:pt x="7823200" y="345440"/>
              </a:cubicBezTo>
              <a:cubicBezTo>
                <a:pt x="7687564" y="345440"/>
                <a:pt x="7552267" y="358987"/>
                <a:pt x="7416800" y="365760"/>
              </a:cubicBezTo>
              <a:cubicBezTo>
                <a:pt x="7396480" y="372533"/>
                <a:pt x="7370986" y="370934"/>
                <a:pt x="7355840" y="386080"/>
              </a:cubicBezTo>
              <a:cubicBezTo>
                <a:pt x="7340694" y="401226"/>
                <a:pt x="7339352" y="425966"/>
                <a:pt x="7335520" y="447040"/>
              </a:cubicBezTo>
              <a:cubicBezTo>
                <a:pt x="7325751" y="500768"/>
                <a:pt x="7337379" y="559698"/>
                <a:pt x="7315200" y="609600"/>
              </a:cubicBezTo>
              <a:cubicBezTo>
                <a:pt x="7306501" y="629173"/>
                <a:pt x="7275243" y="625719"/>
                <a:pt x="7254240" y="629920"/>
              </a:cubicBezTo>
              <a:cubicBezTo>
                <a:pt x="7207275" y="639313"/>
                <a:pt x="7159413" y="643467"/>
                <a:pt x="7112000" y="650240"/>
              </a:cubicBezTo>
              <a:cubicBezTo>
                <a:pt x="6962987" y="643467"/>
                <a:pt x="6813652" y="641815"/>
                <a:pt x="6664960" y="629920"/>
              </a:cubicBezTo>
              <a:cubicBezTo>
                <a:pt x="6618236" y="626182"/>
                <a:pt x="6562385" y="582182"/>
                <a:pt x="6522720" y="568960"/>
              </a:cubicBezTo>
              <a:cubicBezTo>
                <a:pt x="6489955" y="558038"/>
                <a:pt x="6454835" y="556132"/>
                <a:pt x="6421120" y="548640"/>
              </a:cubicBezTo>
              <a:cubicBezTo>
                <a:pt x="6393858" y="542582"/>
                <a:pt x="6366693" y="535992"/>
                <a:pt x="6339840" y="528320"/>
              </a:cubicBezTo>
              <a:cubicBezTo>
                <a:pt x="6319245" y="522436"/>
                <a:pt x="6300245" y="509526"/>
                <a:pt x="6278880" y="508000"/>
              </a:cubicBezTo>
              <a:cubicBezTo>
                <a:pt x="6109842" y="495926"/>
                <a:pt x="5940213" y="494453"/>
                <a:pt x="5770880" y="487680"/>
              </a:cubicBezTo>
              <a:cubicBezTo>
                <a:pt x="5696373" y="494453"/>
                <a:pt x="5620721" y="493328"/>
                <a:pt x="5547360" y="508000"/>
              </a:cubicBezTo>
              <a:cubicBezTo>
                <a:pt x="5339343" y="549603"/>
                <a:pt x="5589283" y="551920"/>
                <a:pt x="5384800" y="568960"/>
              </a:cubicBezTo>
              <a:cubicBezTo>
                <a:pt x="5249633" y="580224"/>
                <a:pt x="5113867" y="582507"/>
                <a:pt x="4978400" y="589280"/>
              </a:cubicBezTo>
              <a:cubicBezTo>
                <a:pt x="4951307" y="596053"/>
                <a:pt x="4924667" y="605009"/>
                <a:pt x="4897120" y="609600"/>
              </a:cubicBezTo>
              <a:cubicBezTo>
                <a:pt x="4824947" y="621629"/>
                <a:pt x="4689386" y="631054"/>
                <a:pt x="4612640" y="650240"/>
              </a:cubicBezTo>
              <a:cubicBezTo>
                <a:pt x="4571081" y="660630"/>
                <a:pt x="4532726" y="682479"/>
                <a:pt x="4490720" y="690880"/>
              </a:cubicBezTo>
              <a:cubicBezTo>
                <a:pt x="4422987" y="704427"/>
                <a:pt x="4353050" y="709677"/>
                <a:pt x="4287520" y="731520"/>
              </a:cubicBezTo>
              <a:lnTo>
                <a:pt x="4226560" y="751840"/>
              </a:lnTo>
            </a:path>
          </a:pathLst>
        </a:custGeom>
        <a:solidFill>
          <a:sysClr val="windowText" lastClr="000000"/>
        </a:solidFill>
        <a:ln w="25400" cap="flat" cmpd="sng" algn="ctr">
          <a:noFill/>
          <a:prstDash val="solid"/>
        </a:ln>
        <a:effectLst/>
        <a:scene3d>
          <a:camera prst="orthographicFront">
            <a:rot lat="0" lon="10800000" rev="0"/>
          </a:camera>
          <a:lightRig rig="threePt" dir="t"/>
        </a:scene3d>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defRPr/>
          </a:pPr>
          <a:endParaRPr kumimoji="0" lang="ja-JP" altLang="en-US" sz="2000" kern="0">
            <a:solidFill>
              <a:prstClr val="white"/>
            </a:solidFill>
            <a:latin typeface="Calibri"/>
            <a:ea typeface="ＭＳ Ｐゴシック"/>
          </a:endParaRPr>
        </a:p>
      </xdr:txBody>
    </xdr:sp>
    <xdr:clientData/>
  </xdr:twoCellAnchor>
  <xdr:twoCellAnchor>
    <xdr:from>
      <xdr:col>3</xdr:col>
      <xdr:colOff>628650</xdr:colOff>
      <xdr:row>19</xdr:row>
      <xdr:rowOff>19050</xdr:rowOff>
    </xdr:from>
    <xdr:to>
      <xdr:col>4</xdr:col>
      <xdr:colOff>314325</xdr:colOff>
      <xdr:row>19</xdr:row>
      <xdr:rowOff>161925</xdr:rowOff>
    </xdr:to>
    <xdr:cxnSp macro="">
      <xdr:nvCxnSpPr>
        <xdr:cNvPr id="30" name="直線矢印コネクタ 29"/>
        <xdr:cNvCxnSpPr/>
      </xdr:nvCxnSpPr>
      <xdr:spPr bwMode="auto">
        <a:xfrm flipV="1">
          <a:off x="2686050" y="3276600"/>
          <a:ext cx="371475" cy="142875"/>
        </a:xfrm>
        <a:prstGeom prst="straightConnector1">
          <a:avLst/>
        </a:prstGeom>
        <a:solidFill>
          <a:srgbClr val="FFFFFF"/>
        </a:solidFill>
        <a:ln w="9525" cap="flat" cmpd="sng" algn="ctr">
          <a:solidFill>
            <a:srgbClr val="000000"/>
          </a:solidFill>
          <a:prstDash val="solid"/>
          <a:round/>
          <a:headEnd type="arrow"/>
          <a:tailEnd type="arrow"/>
        </a:ln>
        <a:effectLst/>
      </xdr:spPr>
    </xdr:cxnSp>
    <xdr:clientData/>
  </xdr:twoCellAnchor>
  <xdr:twoCellAnchor>
    <xdr:from>
      <xdr:col>3</xdr:col>
      <xdr:colOff>142876</xdr:colOff>
      <xdr:row>18</xdr:row>
      <xdr:rowOff>76200</xdr:rowOff>
    </xdr:from>
    <xdr:to>
      <xdr:col>3</xdr:col>
      <xdr:colOff>666750</xdr:colOff>
      <xdr:row>19</xdr:row>
      <xdr:rowOff>85725</xdr:rowOff>
    </xdr:to>
    <xdr:sp macro="" textlink="">
      <xdr:nvSpPr>
        <xdr:cNvPr id="31" name="テキスト ボックス 30"/>
        <xdr:cNvSpPr txBox="1"/>
      </xdr:nvSpPr>
      <xdr:spPr>
        <a:xfrm>
          <a:off x="2200276" y="3162300"/>
          <a:ext cx="523874"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t>出入自由</a:t>
          </a:r>
        </a:p>
      </xdr:txBody>
    </xdr:sp>
    <xdr:clientData/>
  </xdr:twoCellAnchor>
  <xdr:twoCellAnchor>
    <xdr:from>
      <xdr:col>2</xdr:col>
      <xdr:colOff>476250</xdr:colOff>
      <xdr:row>1</xdr:row>
      <xdr:rowOff>142873</xdr:rowOff>
    </xdr:from>
    <xdr:to>
      <xdr:col>4</xdr:col>
      <xdr:colOff>271463</xdr:colOff>
      <xdr:row>5</xdr:row>
      <xdr:rowOff>123823</xdr:rowOff>
    </xdr:to>
    <xdr:sp macro="" textlink="">
      <xdr:nvSpPr>
        <xdr:cNvPr id="32" name="左矢印 31"/>
        <xdr:cNvSpPr/>
      </xdr:nvSpPr>
      <xdr:spPr bwMode="auto">
        <a:xfrm rot="5400000">
          <a:off x="2097882" y="64291"/>
          <a:ext cx="666750" cy="1166813"/>
        </a:xfrm>
        <a:prstGeom prst="lef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76200</xdr:colOff>
      <xdr:row>31</xdr:row>
      <xdr:rowOff>0</xdr:rowOff>
    </xdr:from>
    <xdr:to>
      <xdr:col>3</xdr:col>
      <xdr:colOff>581025</xdr:colOff>
      <xdr:row>32</xdr:row>
      <xdr:rowOff>57150</xdr:rowOff>
    </xdr:to>
    <xdr:sp macro="" textlink="">
      <xdr:nvSpPr>
        <xdr:cNvPr id="33" name="テキスト ボックス 32"/>
        <xdr:cNvSpPr txBox="1"/>
      </xdr:nvSpPr>
      <xdr:spPr>
        <a:xfrm>
          <a:off x="2133600" y="5314950"/>
          <a:ext cx="50482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出入口</a:t>
          </a:r>
        </a:p>
      </xdr:txBody>
    </xdr:sp>
    <xdr:clientData/>
  </xdr:twoCellAnchor>
  <xdr:twoCellAnchor>
    <xdr:from>
      <xdr:col>3</xdr:col>
      <xdr:colOff>133350</xdr:colOff>
      <xdr:row>3</xdr:row>
      <xdr:rowOff>66675</xdr:rowOff>
    </xdr:from>
    <xdr:to>
      <xdr:col>3</xdr:col>
      <xdr:colOff>638175</xdr:colOff>
      <xdr:row>4</xdr:row>
      <xdr:rowOff>123825</xdr:rowOff>
    </xdr:to>
    <xdr:sp macro="" textlink="">
      <xdr:nvSpPr>
        <xdr:cNvPr id="34" name="テキスト ボックス 33"/>
        <xdr:cNvSpPr txBox="1"/>
      </xdr:nvSpPr>
      <xdr:spPr>
        <a:xfrm>
          <a:off x="2190750" y="581025"/>
          <a:ext cx="50482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出入口</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12488;&#12510;&#12488;&#22799;&#31179;&#20316;Ver1_2&#65288;&#26368;&#3206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7&#65295;&#20307;&#31995;10_&#32905;&#29992;&#29275;_&#32321;&#27542;_&#25918;&#29287;_H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60620%20&#26368;&#32066;&#29256;/(&#40778;&#34276;&#20462;&#29983;&#29256;2)007_&#65295;&#20307;&#31995;07_&#20908;&#26149;&#12488;&#12510;&#12488;_H27_&#20462;&#27491;&#29256;_&#32076;&#21942;&#21454;&#25903;_-z-bf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経営収支"/>
      <sheetName val="技術体系入力"/>
      <sheetName val="償却資産"/>
      <sheetName val="収支入力"/>
      <sheetName val="労働時間"/>
      <sheetName val="作業体系"/>
      <sheetName val="損益分岐点グラフ"/>
      <sheetName val="科目集計用"/>
      <sheetName val="機械必要台数試算表"/>
      <sheetName val="育成費計算"/>
      <sheetName val="作業可能日数率"/>
      <sheetName val="科目設定"/>
    </sheetNames>
    <sheetDataSet>
      <sheetData sheetId="0"/>
      <sheetData sheetId="1">
        <row r="2">
          <cell r="B2" t="str">
            <v>トマト（雨よけ）</v>
          </cell>
        </row>
      </sheetData>
      <sheetData sheetId="2">
        <row r="1">
          <cell r="E1">
            <v>30</v>
          </cell>
        </row>
      </sheetData>
      <sheetData sheetId="3"/>
      <sheetData sheetId="4"/>
      <sheetData sheetId="5">
        <row r="4">
          <cell r="A4" t="str">
            <v>育苗管理</v>
          </cell>
        </row>
      </sheetData>
      <sheetData sheetId="6" refreshError="1"/>
      <sheetData sheetId="7">
        <row r="3">
          <cell r="H3">
            <v>10000</v>
          </cell>
        </row>
        <row r="7">
          <cell r="I7">
            <v>2736160</v>
          </cell>
        </row>
        <row r="110">
          <cell r="I110">
            <v>1763304.7797959184</v>
          </cell>
        </row>
        <row r="111">
          <cell r="I111">
            <v>395003.06060606061</v>
          </cell>
        </row>
      </sheetData>
      <sheetData sheetId="8" refreshError="1"/>
      <sheetData sheetId="9" refreshError="1"/>
      <sheetData sheetId="10" refreshError="1"/>
      <sheetData sheetId="11">
        <row r="1">
          <cell r="C1" t="str">
            <v>粗収益</v>
          </cell>
          <cell r="D1" t="str">
            <v>種苗費</v>
          </cell>
          <cell r="E1" t="str">
            <v>肥料費</v>
          </cell>
          <cell r="F1" t="str">
            <v>農業薬剤費</v>
          </cell>
          <cell r="G1" t="str">
            <v>動力・光熱費</v>
          </cell>
          <cell r="H1" t="str">
            <v>諸材料費</v>
          </cell>
          <cell r="I1" t="str">
            <v>農具費</v>
          </cell>
          <cell r="J1" t="str">
            <v>土地改良・水利費</v>
          </cell>
          <cell r="K1" t="str">
            <v>賃借料・利用料</v>
          </cell>
          <cell r="L1" t="str">
            <v>雇用労働費</v>
          </cell>
          <cell r="M1" t="str">
            <v>販売費用</v>
          </cell>
          <cell r="N1" t="str">
            <v>管理費用</v>
          </cell>
        </row>
        <row r="2">
          <cell r="P2" t="str">
            <v>1月上旬</v>
          </cell>
          <cell r="Q2" t="str">
            <v>Kg</v>
          </cell>
          <cell r="S2" t="str">
            <v>ガソリン</v>
          </cell>
          <cell r="U2" t="str">
            <v>固定</v>
          </cell>
          <cell r="W2" t="str">
            <v>01岩国</v>
          </cell>
        </row>
        <row r="3">
          <cell r="P3" t="str">
            <v>1月中旬</v>
          </cell>
          <cell r="Q3" t="str">
            <v>t</v>
          </cell>
          <cell r="S3" t="str">
            <v>軽油</v>
          </cell>
          <cell r="U3" t="str">
            <v>変動</v>
          </cell>
          <cell r="W3" t="str">
            <v>02柳井</v>
          </cell>
        </row>
        <row r="4">
          <cell r="P4" t="str">
            <v>1月下旬</v>
          </cell>
          <cell r="Q4" t="str">
            <v>g</v>
          </cell>
          <cell r="S4" t="str">
            <v>混合油</v>
          </cell>
          <cell r="U4" t="str">
            <v>不明</v>
          </cell>
          <cell r="W4" t="str">
            <v>03玖珂</v>
          </cell>
        </row>
        <row r="5">
          <cell r="P5" t="str">
            <v>2月上旬</v>
          </cell>
          <cell r="Q5" t="str">
            <v>ml</v>
          </cell>
          <cell r="S5" t="str">
            <v>Ａ重油</v>
          </cell>
          <cell r="W5" t="str">
            <v>04下松</v>
          </cell>
        </row>
        <row r="6">
          <cell r="P6" t="str">
            <v>2月中旬</v>
          </cell>
          <cell r="Q6" t="str">
            <v>ﾘｯﾄﾙ</v>
          </cell>
          <cell r="S6" t="str">
            <v>電気料</v>
          </cell>
          <cell r="W6" t="str">
            <v>05防府</v>
          </cell>
        </row>
        <row r="7">
          <cell r="P7" t="str">
            <v>2月下旬</v>
          </cell>
          <cell r="Q7" t="str">
            <v>錠</v>
          </cell>
          <cell r="S7" t="str">
            <v>畑潅水使用料</v>
          </cell>
          <cell r="W7" t="str">
            <v>06山口</v>
          </cell>
        </row>
        <row r="8">
          <cell r="P8" t="str">
            <v>3月上旬</v>
          </cell>
          <cell r="Q8" t="str">
            <v>m</v>
          </cell>
          <cell r="S8" t="str">
            <v>灯油</v>
          </cell>
          <cell r="W8" t="str">
            <v>07秋吉台</v>
          </cell>
        </row>
        <row r="9">
          <cell r="P9" t="str">
            <v>3月中旬</v>
          </cell>
          <cell r="Q9" t="str">
            <v>cc</v>
          </cell>
          <cell r="W9" t="str">
            <v>08宇部</v>
          </cell>
        </row>
        <row r="10">
          <cell r="P10" t="str">
            <v>3月下旬</v>
          </cell>
          <cell r="Q10" t="str">
            <v>mg</v>
          </cell>
          <cell r="W10" t="str">
            <v>09下関</v>
          </cell>
        </row>
        <row r="11">
          <cell r="P11" t="str">
            <v>4月上旬</v>
          </cell>
          <cell r="Q11" t="str">
            <v>本</v>
          </cell>
          <cell r="W11" t="str">
            <v>10豊田</v>
          </cell>
        </row>
        <row r="12">
          <cell r="P12" t="str">
            <v>4月中旬</v>
          </cell>
          <cell r="Q12" t="str">
            <v>個</v>
          </cell>
          <cell r="W12" t="str">
            <v>11油谷</v>
          </cell>
        </row>
        <row r="13">
          <cell r="P13" t="str">
            <v>4月下旬</v>
          </cell>
          <cell r="Q13" t="str">
            <v>kw</v>
          </cell>
          <cell r="W13" t="str">
            <v>12萩</v>
          </cell>
        </row>
        <row r="14">
          <cell r="P14" t="str">
            <v>5月上旬</v>
          </cell>
          <cell r="Q14" t="str">
            <v>袋</v>
          </cell>
          <cell r="W14" t="str">
            <v>13徳佐</v>
          </cell>
        </row>
        <row r="15">
          <cell r="P15" t="str">
            <v>5月中旬</v>
          </cell>
          <cell r="Q15" t="str">
            <v>箱</v>
          </cell>
          <cell r="W15" t="str">
            <v>14須佐</v>
          </cell>
        </row>
        <row r="16">
          <cell r="P16" t="str">
            <v>5月下旬</v>
          </cell>
          <cell r="Q16" t="str">
            <v>円</v>
          </cell>
        </row>
        <row r="17">
          <cell r="P17" t="str">
            <v>6月上旬</v>
          </cell>
          <cell r="Q17" t="str">
            <v>枚</v>
          </cell>
        </row>
        <row r="18">
          <cell r="P18" t="str">
            <v>6月中旬</v>
          </cell>
          <cell r="Q18" t="str">
            <v>組</v>
          </cell>
        </row>
        <row r="19">
          <cell r="P19" t="str">
            <v>6月下旬</v>
          </cell>
          <cell r="Q19" t="str">
            <v>台</v>
          </cell>
        </row>
        <row r="20">
          <cell r="P20" t="str">
            <v>7月上旬</v>
          </cell>
          <cell r="Q20" t="str">
            <v>巻</v>
          </cell>
        </row>
        <row r="21">
          <cell r="P21" t="str">
            <v>7月中旬</v>
          </cell>
          <cell r="Q21" t="str">
            <v>時間</v>
          </cell>
        </row>
        <row r="22">
          <cell r="P22" t="str">
            <v>7月下旬</v>
          </cell>
          <cell r="Q22" t="str">
            <v>回</v>
          </cell>
        </row>
        <row r="23">
          <cell r="P23" t="str">
            <v>8月上旬</v>
          </cell>
          <cell r="Q23" t="str">
            <v>年間</v>
          </cell>
        </row>
        <row r="24">
          <cell r="P24" t="str">
            <v>8月中旬</v>
          </cell>
          <cell r="Q24" t="str">
            <v>Kg（本鉢・個）／10a</v>
          </cell>
        </row>
        <row r="25">
          <cell r="P25" t="str">
            <v>8月下旬</v>
          </cell>
          <cell r="Q25" t="str">
            <v>箱／10a</v>
          </cell>
        </row>
        <row r="26">
          <cell r="P26" t="str">
            <v>9月上旬</v>
          </cell>
          <cell r="Q26" t="str">
            <v>円／10a</v>
          </cell>
        </row>
        <row r="27">
          <cell r="P27" t="str">
            <v>9月中旬</v>
          </cell>
          <cell r="Q27" t="str">
            <v>円／10a</v>
          </cell>
        </row>
        <row r="28">
          <cell r="P28" t="str">
            <v>9月下旬</v>
          </cell>
          <cell r="Q28" t="str">
            <v>円／Kg（本鉢・個）</v>
          </cell>
        </row>
        <row r="29">
          <cell r="P29" t="str">
            <v>10月上旬</v>
          </cell>
          <cell r="Q29" t="str">
            <v>円／箱</v>
          </cell>
        </row>
        <row r="30">
          <cell r="P30" t="str">
            <v>10月中旬</v>
          </cell>
          <cell r="Q30" t="str">
            <v>円／10a</v>
          </cell>
        </row>
        <row r="31">
          <cell r="P31" t="str">
            <v>10月下旬</v>
          </cell>
          <cell r="Q31" t="str">
            <v>円／10a</v>
          </cell>
        </row>
        <row r="32">
          <cell r="P32" t="str">
            <v>11月上旬</v>
          </cell>
          <cell r="Q32" t="str">
            <v>単位</v>
          </cell>
        </row>
        <row r="33">
          <cell r="P33" t="str">
            <v>11月中旬</v>
          </cell>
        </row>
        <row r="34">
          <cell r="P34" t="str">
            <v>11月下旬</v>
          </cell>
        </row>
        <row r="35">
          <cell r="P35" t="str">
            <v>12月上旬</v>
          </cell>
        </row>
        <row r="36">
          <cell r="P36" t="str">
            <v>12月中旬</v>
          </cell>
        </row>
        <row r="37">
          <cell r="P37" t="str">
            <v>12月下旬</v>
          </cell>
        </row>
        <row r="38">
          <cell r="P38" t="str">
            <v>通年</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経営収支"/>
      <sheetName val="前提条件"/>
      <sheetName val="技術体系入力"/>
      <sheetName val="償却資産"/>
      <sheetName val="収支入力"/>
      <sheetName val="作業体系"/>
      <sheetName val="労働時間"/>
      <sheetName val="科目集計用"/>
      <sheetName val="科目設定"/>
      <sheetName val="ｲﾒｰｼﾞ"/>
      <sheetName val="牛購入根基"/>
      <sheetName val="共済掛金算出"/>
      <sheetName val="簡易牛舎算出根基"/>
      <sheetName val="たちすずかWCS関係"/>
      <sheetName val="餌代根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経営指標"/>
      <sheetName val="労働時間表"/>
      <sheetName val="前提条件"/>
      <sheetName val="算出根基１（粗収益・物財費）"/>
      <sheetName val="算出根基２（労働時間他）"/>
      <sheetName val="算出根基３（減価償却費等）"/>
      <sheetName val="Z-BFM(指標編集)"/>
      <sheetName val="シート設計"/>
    </sheetNames>
    <sheetDataSet>
      <sheetData sheetId="0" refreshError="1"/>
      <sheetData sheetId="1" refreshError="1"/>
      <sheetData sheetId="2">
        <row r="23">
          <cell r="A23" t="str">
            <v>育苗管理</v>
          </cell>
        </row>
        <row r="24">
          <cell r="A24" t="str">
            <v>定植準備</v>
          </cell>
        </row>
        <row r="25">
          <cell r="A25" t="str">
            <v>ハウス管理</v>
          </cell>
        </row>
        <row r="26">
          <cell r="A26" t="str">
            <v>肥培管理</v>
          </cell>
        </row>
        <row r="27">
          <cell r="A27" t="str">
            <v>定植</v>
          </cell>
        </row>
        <row r="28">
          <cell r="A28" t="str">
            <v>誘引</v>
          </cell>
        </row>
        <row r="29">
          <cell r="A29" t="str">
            <v>芽かぎ、葉かぎ</v>
          </cell>
        </row>
        <row r="30">
          <cell r="A30" t="str">
            <v>交配処理</v>
          </cell>
        </row>
        <row r="31">
          <cell r="A31" t="str">
            <v>摘果</v>
          </cell>
        </row>
        <row r="32">
          <cell r="A32" t="str">
            <v>薬剤散布</v>
          </cell>
        </row>
        <row r="33">
          <cell r="A33" t="str">
            <v>収穫</v>
          </cell>
        </row>
        <row r="34">
          <cell r="A34" t="str">
            <v>選果、出荷</v>
          </cell>
        </row>
        <row r="35">
          <cell r="A35" t="str">
            <v>後片付け</v>
          </cell>
        </row>
      </sheetData>
      <sheetData sheetId="3">
        <row r="22">
          <cell r="P22" t="str">
            <v>ガソリン</v>
          </cell>
        </row>
        <row r="23">
          <cell r="P23" t="str">
            <v>軽油</v>
          </cell>
        </row>
        <row r="24">
          <cell r="P24" t="str">
            <v>重油</v>
          </cell>
        </row>
        <row r="25">
          <cell r="P25" t="str">
            <v>灯油</v>
          </cell>
        </row>
        <row r="26">
          <cell r="P26" t="str">
            <v>電気代</v>
          </cell>
        </row>
      </sheetData>
      <sheetData sheetId="4">
        <row r="5">
          <cell r="T5" t="str">
            <v>1月上旬</v>
          </cell>
        </row>
        <row r="6">
          <cell r="T6" t="str">
            <v>1月中旬</v>
          </cell>
        </row>
        <row r="7">
          <cell r="T7" t="str">
            <v>1月下旬</v>
          </cell>
        </row>
        <row r="8">
          <cell r="T8" t="str">
            <v>2月上旬</v>
          </cell>
        </row>
        <row r="9">
          <cell r="T9" t="str">
            <v>2月中旬</v>
          </cell>
        </row>
        <row r="10">
          <cell r="T10" t="str">
            <v>2月下旬</v>
          </cell>
        </row>
        <row r="11">
          <cell r="T11" t="str">
            <v>3月上旬</v>
          </cell>
        </row>
        <row r="12">
          <cell r="T12" t="str">
            <v>3月中旬</v>
          </cell>
        </row>
        <row r="13">
          <cell r="T13" t="str">
            <v>3月下旬</v>
          </cell>
        </row>
        <row r="14">
          <cell r="T14" t="str">
            <v>4月上旬</v>
          </cell>
        </row>
        <row r="15">
          <cell r="T15" t="str">
            <v>4月中旬</v>
          </cell>
        </row>
        <row r="16">
          <cell r="T16" t="str">
            <v>4月下旬</v>
          </cell>
        </row>
        <row r="17">
          <cell r="T17" t="str">
            <v>5月上旬</v>
          </cell>
        </row>
        <row r="18">
          <cell r="T18" t="str">
            <v>5月中旬</v>
          </cell>
        </row>
        <row r="19">
          <cell r="T19" t="str">
            <v>5月下旬</v>
          </cell>
        </row>
        <row r="20">
          <cell r="T20" t="str">
            <v>6月上旬</v>
          </cell>
        </row>
        <row r="21">
          <cell r="T21" t="str">
            <v>6月中旬</v>
          </cell>
        </row>
        <row r="22">
          <cell r="T22" t="str">
            <v>6月下旬</v>
          </cell>
        </row>
        <row r="23">
          <cell r="T23" t="str">
            <v>7月上旬</v>
          </cell>
        </row>
        <row r="24">
          <cell r="T24" t="str">
            <v>7月中旬</v>
          </cell>
        </row>
        <row r="25">
          <cell r="T25" t="str">
            <v>7月下旬</v>
          </cell>
        </row>
        <row r="26">
          <cell r="T26" t="str">
            <v>8月上旬</v>
          </cell>
        </row>
        <row r="27">
          <cell r="T27" t="str">
            <v>8月中旬</v>
          </cell>
        </row>
        <row r="28">
          <cell r="T28" t="str">
            <v>8月下旬</v>
          </cell>
        </row>
        <row r="29">
          <cell r="T29" t="str">
            <v>9月上旬</v>
          </cell>
        </row>
        <row r="30">
          <cell r="T30" t="str">
            <v>9月中旬</v>
          </cell>
        </row>
        <row r="31">
          <cell r="T31" t="str">
            <v>9月下旬</v>
          </cell>
        </row>
        <row r="32">
          <cell r="T32" t="str">
            <v>10月上旬</v>
          </cell>
        </row>
        <row r="33">
          <cell r="T33" t="str">
            <v>10月中旬</v>
          </cell>
        </row>
        <row r="34">
          <cell r="T34" t="str">
            <v>10月下旬</v>
          </cell>
        </row>
        <row r="35">
          <cell r="T35" t="str">
            <v>11月上旬</v>
          </cell>
        </row>
        <row r="36">
          <cell r="T36" t="str">
            <v>11月中旬</v>
          </cell>
        </row>
        <row r="37">
          <cell r="T37" t="str">
            <v>11月下旬</v>
          </cell>
        </row>
        <row r="38">
          <cell r="T38" t="str">
            <v>11月中旬</v>
          </cell>
        </row>
        <row r="39">
          <cell r="T39" t="str">
            <v>11月下旬</v>
          </cell>
        </row>
        <row r="40">
          <cell r="T40" t="str">
            <v>12月上旬</v>
          </cell>
        </row>
        <row r="41">
          <cell r="T41" t="str">
            <v>12月中旬</v>
          </cell>
        </row>
        <row r="42">
          <cell r="T42" t="str">
            <v>12月下旬</v>
          </cell>
        </row>
      </sheetData>
      <sheetData sheetId="5">
        <row r="14">
          <cell r="C14" t="str">
            <v>動力噴霧器</v>
          </cell>
          <cell r="D14" t="str">
            <v>セット動噴5MPa</v>
          </cell>
        </row>
        <row r="15">
          <cell r="C15" t="str">
            <v>軽トラック</v>
          </cell>
          <cell r="D15" t="str">
            <v>660ｃｃ、4WD</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1">
    <tabColor rgb="FFFFC000"/>
    <pageSetUpPr fitToPage="1"/>
  </sheetPr>
  <dimension ref="A1:J120"/>
  <sheetViews>
    <sheetView showGridLines="0" tabSelected="1" workbookViewId="0">
      <pane xSplit="4" ySplit="3" topLeftCell="E4" activePane="bottomRight" state="frozen"/>
      <selection pane="topRight" activeCell="E1" sqref="E1"/>
      <selection pane="bottomLeft" activeCell="A3" sqref="A3"/>
      <selection pane="bottomRight" activeCell="G6" sqref="G6:I6"/>
    </sheetView>
  </sheetViews>
  <sheetFormatPr defaultRowHeight="12" zeroHeight="1"/>
  <cols>
    <col min="1" max="3" width="3.625" style="493" customWidth="1"/>
    <col min="4" max="4" width="21.625" style="495" customWidth="1"/>
    <col min="5" max="5" width="12.125" style="493" customWidth="1"/>
    <col min="6" max="6" width="14.25" style="493" customWidth="1"/>
    <col min="7" max="7" width="27.75" style="493" bestFit="1" customWidth="1"/>
    <col min="8" max="8" width="14.125" style="493" customWidth="1"/>
    <col min="9" max="9" width="12" style="493" customWidth="1"/>
    <col min="10" max="10" width="5.375" style="493" customWidth="1"/>
    <col min="11" max="16384" width="9" style="493"/>
  </cols>
  <sheetData>
    <row r="1" spans="1:9"/>
    <row r="2" spans="1:9" ht="21" customHeight="1">
      <c r="A2" s="48" t="s">
        <v>255</v>
      </c>
      <c r="B2" s="48"/>
      <c r="C2" s="48"/>
      <c r="D2" s="48"/>
      <c r="E2" s="490"/>
      <c r="F2" s="490"/>
      <c r="G2" s="491"/>
      <c r="H2" s="490" t="str">
        <f>①技術体系!A2</f>
        <v>黒毛和種子牛</v>
      </c>
      <c r="I2" s="492"/>
    </row>
    <row r="3" spans="1:9" ht="21" customHeight="1">
      <c r="A3" s="767" t="s">
        <v>139</v>
      </c>
      <c r="B3" s="767"/>
      <c r="C3" s="767"/>
      <c r="D3" s="767"/>
      <c r="E3" s="49" t="s">
        <v>140</v>
      </c>
      <c r="F3" s="50">
        <f>想定面積</f>
        <v>200</v>
      </c>
      <c r="G3" s="783" t="s">
        <v>141</v>
      </c>
      <c r="H3" s="783"/>
      <c r="I3" s="783"/>
    </row>
    <row r="4" spans="1:9" ht="21" customHeight="1">
      <c r="A4" s="784" t="s">
        <v>112</v>
      </c>
      <c r="B4" s="786" t="s">
        <v>142</v>
      </c>
      <c r="C4" s="786"/>
      <c r="D4" s="786"/>
      <c r="E4" s="51">
        <f>④収入!D22</f>
        <v>74600</v>
      </c>
      <c r="F4" s="51">
        <f>E4*$F$3/10</f>
        <v>1492000</v>
      </c>
      <c r="G4" s="787" t="s">
        <v>409</v>
      </c>
      <c r="H4" s="787"/>
      <c r="I4" s="787"/>
    </row>
    <row r="5" spans="1:9" ht="21" customHeight="1">
      <c r="A5" s="784"/>
      <c r="B5" s="755" t="s">
        <v>143</v>
      </c>
      <c r="C5" s="755"/>
      <c r="D5" s="755"/>
      <c r="E5" s="52">
        <f>④収入!E22</f>
        <v>0</v>
      </c>
      <c r="F5" s="52">
        <f>E5*$F$3/10</f>
        <v>0</v>
      </c>
      <c r="G5" s="756" t="s">
        <v>410</v>
      </c>
      <c r="H5" s="756"/>
      <c r="I5" s="756"/>
    </row>
    <row r="6" spans="1:9" ht="21" customHeight="1">
      <c r="A6" s="785"/>
      <c r="B6" s="760" t="s">
        <v>408</v>
      </c>
      <c r="C6" s="755"/>
      <c r="D6" s="755"/>
      <c r="E6" s="52">
        <f>④収入!F22</f>
        <v>40000</v>
      </c>
      <c r="F6" s="52">
        <f>E6*$F$3/10</f>
        <v>800000</v>
      </c>
      <c r="G6" s="756" t="s">
        <v>411</v>
      </c>
      <c r="H6" s="756"/>
      <c r="I6" s="756"/>
    </row>
    <row r="7" spans="1:9" ht="21" customHeight="1">
      <c r="A7" s="784"/>
      <c r="B7" s="757" t="s">
        <v>144</v>
      </c>
      <c r="C7" s="758"/>
      <c r="D7" s="758"/>
      <c r="E7" s="51">
        <f>SUM(E4:E6)</f>
        <v>114600</v>
      </c>
      <c r="F7" s="51">
        <f>SUM(F4:F6)</f>
        <v>2292000</v>
      </c>
      <c r="G7" s="759"/>
      <c r="H7" s="759"/>
      <c r="I7" s="759"/>
    </row>
    <row r="8" spans="1:9" ht="21" customHeight="1">
      <c r="A8" s="768" t="s">
        <v>256</v>
      </c>
      <c r="B8" s="772" t="s">
        <v>145</v>
      </c>
      <c r="C8" s="470"/>
      <c r="D8" s="467" t="s">
        <v>98</v>
      </c>
      <c r="E8" s="306">
        <f>⑤支出!J8</f>
        <v>2022</v>
      </c>
      <c r="F8" s="307">
        <f>E8*$F$3/10</f>
        <v>40440</v>
      </c>
      <c r="G8" s="304" t="s">
        <v>412</v>
      </c>
      <c r="H8" s="54"/>
      <c r="I8" s="55"/>
    </row>
    <row r="9" spans="1:9" ht="21" customHeight="1">
      <c r="A9" s="769"/>
      <c r="B9" s="770"/>
      <c r="C9" s="471"/>
      <c r="D9" s="468" t="s">
        <v>95</v>
      </c>
      <c r="E9" s="409">
        <f>⑤支出!J20</f>
        <v>7314</v>
      </c>
      <c r="F9" s="410">
        <f>E9*$F$3/10</f>
        <v>146280</v>
      </c>
      <c r="G9" s="56" t="s">
        <v>413</v>
      </c>
      <c r="H9" s="56"/>
      <c r="I9" s="57"/>
    </row>
    <row r="10" spans="1:9" ht="21" customHeight="1">
      <c r="A10" s="769"/>
      <c r="B10" s="770"/>
      <c r="C10" s="471"/>
      <c r="D10" s="468" t="s">
        <v>146</v>
      </c>
      <c r="E10" s="409">
        <f>⑤支出!J61</f>
        <v>4040</v>
      </c>
      <c r="F10" s="410">
        <f>E10*$F$3/10</f>
        <v>80800</v>
      </c>
      <c r="G10" s="56" t="s">
        <v>414</v>
      </c>
      <c r="H10" s="56"/>
      <c r="I10" s="57"/>
    </row>
    <row r="11" spans="1:9" ht="21" customHeight="1">
      <c r="A11" s="769"/>
      <c r="B11" s="770"/>
      <c r="C11" s="471"/>
      <c r="D11" s="468" t="s">
        <v>147</v>
      </c>
      <c r="E11" s="409">
        <f>⑤支出!J71</f>
        <v>965</v>
      </c>
      <c r="F11" s="410">
        <f>E11*$F$3/10</f>
        <v>19300</v>
      </c>
      <c r="G11" s="56" t="s">
        <v>415</v>
      </c>
      <c r="H11" s="56"/>
      <c r="I11" s="57"/>
    </row>
    <row r="12" spans="1:9" ht="21" customHeight="1">
      <c r="A12" s="769"/>
      <c r="B12" s="770"/>
      <c r="C12" s="471"/>
      <c r="D12" s="468" t="s">
        <v>115</v>
      </c>
      <c r="E12" s="409">
        <f>⑤支出!J109</f>
        <v>15989</v>
      </c>
      <c r="F12" s="410">
        <f>E12*$F$3/10</f>
        <v>319780</v>
      </c>
      <c r="G12" s="56" t="s">
        <v>416</v>
      </c>
      <c r="H12" s="56"/>
      <c r="I12" s="57"/>
    </row>
    <row r="13" spans="1:9" ht="21" customHeight="1">
      <c r="A13" s="769"/>
      <c r="B13" s="770"/>
      <c r="C13" s="471"/>
      <c r="D13" s="468" t="s">
        <v>148</v>
      </c>
      <c r="E13" s="52">
        <f>⑤支出!J116</f>
        <v>0</v>
      </c>
      <c r="F13" s="410">
        <f t="shared" ref="F13:F22" si="0">E13*$F$3/10</f>
        <v>0</v>
      </c>
      <c r="G13" s="56" t="s">
        <v>417</v>
      </c>
      <c r="H13" s="59"/>
      <c r="I13" s="60"/>
    </row>
    <row r="14" spans="1:9" ht="21" customHeight="1">
      <c r="A14" s="769"/>
      <c r="B14" s="770"/>
      <c r="C14" s="471"/>
      <c r="D14" s="469" t="s">
        <v>419</v>
      </c>
      <c r="E14" s="52">
        <f>⑤支出!J121</f>
        <v>850</v>
      </c>
      <c r="F14" s="410">
        <f t="shared" si="0"/>
        <v>17000</v>
      </c>
      <c r="G14" s="56" t="s">
        <v>420</v>
      </c>
      <c r="H14" s="59"/>
      <c r="I14" s="60"/>
    </row>
    <row r="15" spans="1:9" ht="21" customHeight="1">
      <c r="A15" s="769"/>
      <c r="B15" s="770"/>
      <c r="C15" s="472"/>
      <c r="D15" s="469" t="s">
        <v>398</v>
      </c>
      <c r="E15" s="52">
        <f>⑤支出!J128</f>
        <v>9810</v>
      </c>
      <c r="F15" s="410">
        <f t="shared" si="0"/>
        <v>196200</v>
      </c>
      <c r="G15" s="56" t="s">
        <v>418</v>
      </c>
      <c r="H15" s="62"/>
      <c r="I15" s="61"/>
    </row>
    <row r="16" spans="1:9" ht="21" customHeight="1">
      <c r="A16" s="769"/>
      <c r="B16" s="769"/>
      <c r="C16" s="775" t="s">
        <v>387</v>
      </c>
      <c r="D16" s="411" t="s">
        <v>400</v>
      </c>
      <c r="E16" s="51">
        <f>②償却資産!S8</f>
        <v>124.62</v>
      </c>
      <c r="F16" s="410">
        <f t="shared" si="0"/>
        <v>2492.4</v>
      </c>
      <c r="G16" s="63" t="s">
        <v>383</v>
      </c>
      <c r="H16" s="63"/>
      <c r="I16" s="305"/>
    </row>
    <row r="17" spans="1:9" ht="21" customHeight="1">
      <c r="A17" s="769"/>
      <c r="B17" s="769"/>
      <c r="C17" s="776"/>
      <c r="D17" s="309" t="s">
        <v>384</v>
      </c>
      <c r="E17" s="52">
        <f>②償却資産!S19</f>
        <v>107.40599999999999</v>
      </c>
      <c r="F17" s="410">
        <f>E17*$F$3/10</f>
        <v>2148.12</v>
      </c>
      <c r="G17" s="63" t="s">
        <v>385</v>
      </c>
      <c r="H17" s="63"/>
      <c r="I17" s="305"/>
    </row>
    <row r="18" spans="1:9" ht="21" customHeight="1">
      <c r="A18" s="769"/>
      <c r="B18" s="769"/>
      <c r="C18" s="777"/>
      <c r="D18" s="308" t="s">
        <v>149</v>
      </c>
      <c r="E18" s="52">
        <f>②償却資産!S34</f>
        <v>1692.9812000000002</v>
      </c>
      <c r="F18" s="410">
        <f t="shared" si="0"/>
        <v>33859.624000000003</v>
      </c>
      <c r="G18" s="63" t="s">
        <v>386</v>
      </c>
      <c r="H18" s="63"/>
      <c r="I18" s="305"/>
    </row>
    <row r="19" spans="1:9" ht="21" customHeight="1">
      <c r="A19" s="769"/>
      <c r="B19" s="769"/>
      <c r="C19" s="778" t="s">
        <v>388</v>
      </c>
      <c r="D19" s="411" t="s">
        <v>401</v>
      </c>
      <c r="E19" s="52">
        <f>②償却資産!R8</f>
        <v>519</v>
      </c>
      <c r="F19" s="410">
        <f t="shared" si="0"/>
        <v>10380</v>
      </c>
      <c r="G19" s="63" t="s">
        <v>392</v>
      </c>
      <c r="H19" s="63"/>
      <c r="I19" s="305"/>
    </row>
    <row r="20" spans="1:9" ht="21" customHeight="1">
      <c r="A20" s="769"/>
      <c r="B20" s="769"/>
      <c r="C20" s="776"/>
      <c r="D20" s="309" t="s">
        <v>389</v>
      </c>
      <c r="E20" s="51">
        <f>②償却資産!R19</f>
        <v>1074</v>
      </c>
      <c r="F20" s="410">
        <f t="shared" si="0"/>
        <v>21480</v>
      </c>
      <c r="G20" s="63" t="s">
        <v>687</v>
      </c>
      <c r="H20" s="63"/>
      <c r="I20" s="305"/>
    </row>
    <row r="21" spans="1:9" ht="21" customHeight="1">
      <c r="A21" s="769"/>
      <c r="B21" s="769"/>
      <c r="C21" s="776"/>
      <c r="D21" s="309" t="s">
        <v>390</v>
      </c>
      <c r="E21" s="52">
        <f>②償却資産!R34</f>
        <v>5967</v>
      </c>
      <c r="F21" s="410">
        <f t="shared" si="0"/>
        <v>119340</v>
      </c>
      <c r="G21" s="63" t="s">
        <v>688</v>
      </c>
      <c r="H21" s="63"/>
      <c r="I21" s="305"/>
    </row>
    <row r="22" spans="1:9" ht="21" customHeight="1">
      <c r="A22" s="769"/>
      <c r="B22" s="769"/>
      <c r="C22" s="777"/>
      <c r="D22" s="309" t="s">
        <v>391</v>
      </c>
      <c r="E22" s="52">
        <f>②償却資産!R37</f>
        <v>4815</v>
      </c>
      <c r="F22" s="410">
        <f t="shared" si="0"/>
        <v>96300</v>
      </c>
      <c r="G22" s="63" t="s">
        <v>689</v>
      </c>
      <c r="H22" s="63"/>
      <c r="I22" s="64"/>
    </row>
    <row r="23" spans="1:9" ht="21" customHeight="1">
      <c r="A23" s="769"/>
      <c r="B23" s="773"/>
      <c r="C23" s="478"/>
      <c r="D23" s="473" t="s">
        <v>251</v>
      </c>
      <c r="E23" s="65">
        <f>⑤支出!J134</f>
        <v>23023</v>
      </c>
      <c r="F23" s="310">
        <f>(作業体系表!AN46-作業体系表!AN48)*⑤支出!F129+作業体系表!AN48*⑤支出!F130</f>
        <v>460456.06064241932</v>
      </c>
      <c r="G23" s="761" t="str">
        <f>"⑤支出　労働費　※基幹労働(時給"&amp;⑤支出!F129&amp;"円、自家労賃含む)、補助労働(時給"&amp;⑤支出!F130&amp;"円)"</f>
        <v>⑤支出　労働費　※基幹労働(時給962円、自家労賃含む)、補助労働(時給753円)</v>
      </c>
      <c r="H23" s="762"/>
      <c r="I23" s="763"/>
    </row>
    <row r="24" spans="1:9" ht="21" customHeight="1">
      <c r="A24" s="769"/>
      <c r="B24" s="774"/>
      <c r="C24" s="485"/>
      <c r="D24" s="486" t="s">
        <v>150</v>
      </c>
      <c r="E24" s="66">
        <f>SUM(E8:E23)</f>
        <v>78313.007200000007</v>
      </c>
      <c r="F24" s="311">
        <f>SUM(F8:F23)</f>
        <v>1566256.2046424192</v>
      </c>
      <c r="G24" s="67"/>
      <c r="H24" s="67"/>
      <c r="I24" s="68"/>
    </row>
    <row r="25" spans="1:9" ht="21" customHeight="1">
      <c r="A25" s="769"/>
      <c r="B25" s="781" t="s">
        <v>125</v>
      </c>
      <c r="C25" s="478"/>
      <c r="D25" s="487" t="s">
        <v>151</v>
      </c>
      <c r="E25" s="69">
        <f>⑤支出!J138+⑤支出!J139+⑤支出!J140</f>
        <v>2504</v>
      </c>
      <c r="F25" s="312">
        <f>E25*$F$3/10</f>
        <v>50080</v>
      </c>
      <c r="G25" s="753" t="str">
        <f>"⑤支出　"&amp;⑤支出!B135&amp;"　"&amp;⑤支出!C138&amp;"、"&amp;⑤支出!C139&amp;"、"&amp;⑤支出!C140</f>
        <v>⑤支出　販売費用　ＪＡ手数料、全農手数料、市場手数料</v>
      </c>
      <c r="H25" s="754"/>
      <c r="I25" s="754"/>
    </row>
    <row r="26" spans="1:9" ht="21" customHeight="1">
      <c r="A26" s="769"/>
      <c r="B26" s="773"/>
      <c r="C26" s="479"/>
      <c r="D26" s="474" t="s">
        <v>126</v>
      </c>
      <c r="E26" s="52">
        <f>⑤支出!J136</f>
        <v>500</v>
      </c>
      <c r="F26" s="410">
        <f>E26*$F$3/10</f>
        <v>10000</v>
      </c>
      <c r="G26" s="70" t="str">
        <f>"⑤支出　"&amp;⑤支出!B135&amp;"　"&amp;⑤支出!C136</f>
        <v>⑤支出　販売費用　出荷運賃</v>
      </c>
      <c r="H26" s="70"/>
      <c r="I26" s="71"/>
    </row>
    <row r="27" spans="1:9" ht="21" customHeight="1">
      <c r="A27" s="769"/>
      <c r="B27" s="773"/>
      <c r="C27" s="479"/>
      <c r="D27" s="482" t="s">
        <v>152</v>
      </c>
      <c r="E27" s="51">
        <f>⑤支出!J135</f>
        <v>0</v>
      </c>
      <c r="F27" s="313">
        <f>E27*$F$3/10</f>
        <v>0</v>
      </c>
      <c r="G27" s="70" t="str">
        <f>"⑤支出　"&amp;⑤支出!B135&amp;"　"&amp;⑤支出!C135</f>
        <v>⑤支出　販売費用　出荷袋</v>
      </c>
      <c r="H27" s="58"/>
      <c r="I27" s="72"/>
    </row>
    <row r="28" spans="1:9" ht="21" customHeight="1">
      <c r="A28" s="769"/>
      <c r="B28" s="773"/>
      <c r="C28" s="479"/>
      <c r="D28" s="474" t="s">
        <v>153</v>
      </c>
      <c r="E28" s="52">
        <f>⑤支出!J137</f>
        <v>0</v>
      </c>
      <c r="F28" s="410">
        <f>E28*$F$3/10</f>
        <v>0</v>
      </c>
      <c r="G28" s="70" t="str">
        <f>"⑤支出　"&amp;⑤支出!B135&amp;"　"&amp;⑤支出!C137</f>
        <v>⑤支出　販売費用　選果料</v>
      </c>
      <c r="H28" s="63"/>
      <c r="I28" s="305"/>
    </row>
    <row r="29" spans="1:9" ht="21" customHeight="1">
      <c r="A29" s="769"/>
      <c r="B29" s="773"/>
      <c r="C29" s="479"/>
      <c r="D29" s="483" t="s">
        <v>154</v>
      </c>
      <c r="E29" s="65">
        <f>⑤支出!J145-⑤支出!J135-⑤支出!J136-⑤支出!J137-⑤支出!J138-⑤支出!J139-⑤支出!J140</f>
        <v>0</v>
      </c>
      <c r="F29" s="310">
        <f>E29*$F$3/10</f>
        <v>0</v>
      </c>
      <c r="G29" s="70" t="str">
        <f>"⑤支出　"&amp;⑤支出!B135</f>
        <v>⑤支出　販売費用</v>
      </c>
      <c r="H29" s="317"/>
      <c r="I29" s="318"/>
    </row>
    <row r="30" spans="1:9" ht="21" customHeight="1">
      <c r="A30" s="769"/>
      <c r="B30" s="774"/>
      <c r="C30" s="484"/>
      <c r="D30" s="477" t="s">
        <v>150</v>
      </c>
      <c r="E30" s="66">
        <f>SUM(E25:E29)</f>
        <v>3004</v>
      </c>
      <c r="F30" s="311">
        <f>SUM(F25:F29)</f>
        <v>60080</v>
      </c>
      <c r="G30" s="67"/>
      <c r="H30" s="67"/>
      <c r="I30" s="68"/>
    </row>
    <row r="31" spans="1:9" ht="21" customHeight="1">
      <c r="A31" s="769"/>
      <c r="B31" s="781" t="s">
        <v>108</v>
      </c>
      <c r="C31" s="481"/>
      <c r="D31" s="475" t="s">
        <v>272</v>
      </c>
      <c r="E31" s="51">
        <f>②償却資産!L47</f>
        <v>448</v>
      </c>
      <c r="F31" s="313">
        <f t="shared" ref="F31:F36" si="1">E31*$F$3/10</f>
        <v>8960</v>
      </c>
      <c r="G31" s="751" t="str">
        <f>CONCATENATE("償却資産取得額の",FIXED(②償却資産!$L$43*100,0),"%を利率",FIXED(②償却資産!$L$46*100,0),"%で借入")</f>
        <v>償却資産取得額の50%を利率2%で借入</v>
      </c>
      <c r="H31" s="752"/>
      <c r="I31" s="752"/>
    </row>
    <row r="32" spans="1:9" ht="21" customHeight="1">
      <c r="A32" s="769"/>
      <c r="B32" s="773"/>
      <c r="C32" s="479"/>
      <c r="D32" s="502" t="s">
        <v>252</v>
      </c>
      <c r="E32" s="52">
        <f>⑤支出!J150</f>
        <v>0</v>
      </c>
      <c r="F32" s="410">
        <f t="shared" si="1"/>
        <v>0</v>
      </c>
      <c r="G32" s="748" t="s">
        <v>431</v>
      </c>
      <c r="H32" s="749"/>
      <c r="I32" s="750"/>
    </row>
    <row r="33" spans="1:10" ht="21" customHeight="1">
      <c r="A33" s="769"/>
      <c r="B33" s="773"/>
      <c r="C33" s="479"/>
      <c r="D33" s="476" t="s">
        <v>424</v>
      </c>
      <c r="E33" s="65">
        <f>⑤支出!J155</f>
        <v>1444</v>
      </c>
      <c r="F33" s="310">
        <f t="shared" si="1"/>
        <v>28880</v>
      </c>
      <c r="G33" s="748" t="s">
        <v>432</v>
      </c>
      <c r="H33" s="749"/>
      <c r="I33" s="750"/>
    </row>
    <row r="34" spans="1:10" ht="21" customHeight="1">
      <c r="A34" s="769"/>
      <c r="B34" s="773"/>
      <c r="C34" s="479"/>
      <c r="D34" s="476" t="s">
        <v>426</v>
      </c>
      <c r="E34" s="65">
        <f>⑤支出!J160</f>
        <v>0</v>
      </c>
      <c r="F34" s="310">
        <f t="shared" si="1"/>
        <v>0</v>
      </c>
      <c r="G34" s="748" t="s">
        <v>433</v>
      </c>
      <c r="H34" s="749"/>
      <c r="I34" s="750"/>
    </row>
    <row r="35" spans="1:10" ht="21" customHeight="1">
      <c r="A35" s="770"/>
      <c r="B35" s="782"/>
      <c r="C35" s="479"/>
      <c r="D35" s="476" t="s">
        <v>428</v>
      </c>
      <c r="E35" s="65">
        <f>⑤支出!J165</f>
        <v>0</v>
      </c>
      <c r="F35" s="310">
        <f t="shared" si="1"/>
        <v>0</v>
      </c>
      <c r="G35" s="748" t="s">
        <v>434</v>
      </c>
      <c r="H35" s="749"/>
      <c r="I35" s="750"/>
    </row>
    <row r="36" spans="1:10" ht="21" customHeight="1">
      <c r="A36" s="769"/>
      <c r="B36" s="773"/>
      <c r="C36" s="479"/>
      <c r="D36" s="476" t="s">
        <v>435</v>
      </c>
      <c r="E36" s="65">
        <f>⑤支出!J177</f>
        <v>0</v>
      </c>
      <c r="F36" s="310">
        <f t="shared" si="1"/>
        <v>0</v>
      </c>
      <c r="G36" s="748" t="s">
        <v>436</v>
      </c>
      <c r="H36" s="749"/>
      <c r="I36" s="750"/>
    </row>
    <row r="37" spans="1:10" ht="21" customHeight="1">
      <c r="A37" s="769"/>
      <c r="B37" s="774"/>
      <c r="C37" s="480"/>
      <c r="D37" s="477" t="s">
        <v>150</v>
      </c>
      <c r="E37" s="314">
        <f>SUM(E31:E36)</f>
        <v>1892</v>
      </c>
      <c r="F37" s="315">
        <f>SUM(F31:F36)</f>
        <v>37840</v>
      </c>
      <c r="G37" s="67"/>
      <c r="H37" s="67"/>
      <c r="I37" s="68"/>
    </row>
    <row r="38" spans="1:10" ht="21" customHeight="1">
      <c r="A38" s="771"/>
      <c r="B38" s="779" t="s">
        <v>156</v>
      </c>
      <c r="C38" s="779"/>
      <c r="D38" s="780"/>
      <c r="E38" s="53">
        <f>E24+E30+E37</f>
        <v>83209.007200000007</v>
      </c>
      <c r="F38" s="53">
        <f>F24+F30+F37</f>
        <v>1664176.2046424192</v>
      </c>
      <c r="G38" s="73"/>
      <c r="H38" s="74"/>
      <c r="I38" s="72"/>
    </row>
    <row r="39" spans="1:10" ht="21" customHeight="1">
      <c r="A39" s="75"/>
      <c r="B39" s="76" t="s">
        <v>253</v>
      </c>
      <c r="C39" s="76"/>
      <c r="D39" s="76"/>
      <c r="E39" s="77">
        <f>E7-E38</f>
        <v>31390.992799999993</v>
      </c>
      <c r="F39" s="77">
        <f>F7-F38</f>
        <v>627823.79535758076</v>
      </c>
      <c r="G39" s="78" t="str">
        <f>IF(E7=0,"",CONCATENATE("所得率",FIXED($E$39/$E$7*100,0),"%"))</f>
        <v>所得率27%</v>
      </c>
      <c r="H39" s="79"/>
      <c r="I39" s="80"/>
    </row>
    <row r="40" spans="1:10" ht="21" customHeight="1">
      <c r="A40" s="764" t="s">
        <v>254</v>
      </c>
      <c r="B40" s="765"/>
      <c r="C40" s="765"/>
      <c r="D40" s="766"/>
      <c r="E40" s="81">
        <f>E23+E32+E39</f>
        <v>54413.992799999993</v>
      </c>
      <c r="F40" s="82">
        <f>F23+F32+F39</f>
        <v>1088279.8560000001</v>
      </c>
      <c r="G40" s="83"/>
      <c r="H40" s="83"/>
      <c r="I40" s="84"/>
    </row>
    <row r="41" spans="1:10" ht="21" customHeight="1">
      <c r="A41" s="100"/>
      <c r="B41" s="100"/>
      <c r="C41" s="100"/>
      <c r="D41" s="494"/>
      <c r="E41" s="100"/>
      <c r="F41" s="100"/>
      <c r="G41" s="100"/>
      <c r="H41" s="100"/>
      <c r="I41" s="100"/>
      <c r="J41" s="100"/>
    </row>
    <row r="42" spans="1:10" ht="21" customHeight="1">
      <c r="A42" s="100"/>
      <c r="B42" s="100"/>
      <c r="C42" s="100"/>
      <c r="D42" s="494"/>
      <c r="E42" s="100"/>
      <c r="F42" s="100"/>
      <c r="G42" s="100"/>
      <c r="H42" s="100"/>
      <c r="I42" s="100"/>
      <c r="J42" s="100"/>
    </row>
    <row r="43" spans="1:10" ht="21" customHeight="1">
      <c r="A43" s="100"/>
      <c r="B43" s="100"/>
      <c r="C43" s="100"/>
      <c r="D43" s="494"/>
      <c r="E43" s="100"/>
      <c r="F43" s="100"/>
      <c r="G43" s="100"/>
      <c r="H43" s="100"/>
      <c r="I43" s="100"/>
      <c r="J43" s="100"/>
    </row>
    <row r="44" spans="1:10" ht="21" customHeight="1">
      <c r="A44" s="100"/>
      <c r="B44" s="100"/>
      <c r="C44" s="100"/>
      <c r="D44" s="494"/>
      <c r="E44" s="100"/>
      <c r="F44" s="100"/>
      <c r="G44" s="100"/>
      <c r="H44" s="100"/>
      <c r="I44" s="100"/>
      <c r="J44" s="100"/>
    </row>
    <row r="45" spans="1:10" ht="21" customHeight="1">
      <c r="A45" s="100"/>
      <c r="B45" s="100"/>
      <c r="C45" s="100"/>
      <c r="D45" s="494"/>
      <c r="E45" s="100"/>
      <c r="F45" s="100"/>
      <c r="G45" s="100"/>
      <c r="H45" s="100"/>
      <c r="I45" s="100"/>
      <c r="J45" s="100"/>
    </row>
    <row r="46" spans="1:10" ht="21" customHeight="1">
      <c r="A46" s="100"/>
      <c r="B46" s="100"/>
      <c r="C46" s="100"/>
      <c r="D46" s="494"/>
      <c r="E46" s="100"/>
      <c r="F46" s="100"/>
      <c r="G46" s="100"/>
      <c r="H46" s="100"/>
      <c r="I46" s="100"/>
      <c r="J46" s="100"/>
    </row>
    <row r="47" spans="1:10" ht="16.899999999999999" customHeight="1">
      <c r="A47" s="100"/>
      <c r="B47" s="100"/>
      <c r="C47" s="100"/>
      <c r="D47" s="494"/>
      <c r="E47" s="100"/>
      <c r="F47" s="100"/>
      <c r="G47" s="100"/>
      <c r="H47" s="100"/>
      <c r="I47" s="100"/>
      <c r="J47" s="100"/>
    </row>
    <row r="48" spans="1:10" ht="16.899999999999999" customHeight="1">
      <c r="A48" s="100"/>
      <c r="B48" s="100"/>
      <c r="C48" s="100"/>
      <c r="D48" s="494"/>
      <c r="E48" s="100"/>
      <c r="F48" s="100"/>
      <c r="G48" s="100"/>
      <c r="H48" s="100"/>
      <c r="I48" s="100"/>
      <c r="J48" s="100"/>
    </row>
    <row r="49" spans="1:10" ht="16.899999999999999" customHeight="1">
      <c r="A49" s="100"/>
      <c r="B49" s="100"/>
      <c r="C49" s="100"/>
      <c r="D49" s="494"/>
      <c r="E49" s="100"/>
      <c r="F49" s="100"/>
      <c r="G49" s="100"/>
      <c r="H49" s="100"/>
      <c r="I49" s="100"/>
      <c r="J49" s="100"/>
    </row>
    <row r="50" spans="1:10" ht="16.899999999999999" customHeight="1">
      <c r="A50" s="100"/>
      <c r="B50" s="100"/>
      <c r="C50" s="100"/>
      <c r="D50" s="494"/>
      <c r="E50" s="100"/>
      <c r="F50" s="100"/>
      <c r="G50" s="100"/>
      <c r="H50" s="100"/>
      <c r="I50" s="100"/>
      <c r="J50" s="100"/>
    </row>
    <row r="51" spans="1:10" ht="16.899999999999999" customHeight="1">
      <c r="A51" s="100"/>
      <c r="B51" s="100"/>
      <c r="C51" s="100"/>
      <c r="D51" s="494"/>
      <c r="E51" s="100"/>
      <c r="F51" s="100"/>
      <c r="G51" s="100"/>
      <c r="H51" s="100"/>
      <c r="I51" s="100"/>
      <c r="J51" s="100"/>
    </row>
    <row r="52" spans="1:10" ht="16.899999999999999" customHeight="1">
      <c r="A52" s="100"/>
      <c r="B52" s="100"/>
      <c r="C52" s="100"/>
      <c r="D52" s="494"/>
      <c r="E52" s="100"/>
      <c r="F52" s="100"/>
      <c r="G52" s="100"/>
      <c r="H52" s="100"/>
      <c r="I52" s="100"/>
      <c r="J52" s="100"/>
    </row>
    <row r="53" spans="1:10" ht="16.899999999999999" customHeight="1">
      <c r="A53" s="100"/>
      <c r="B53" s="100"/>
      <c r="C53" s="100"/>
      <c r="D53" s="494"/>
      <c r="E53" s="100"/>
      <c r="F53" s="100"/>
      <c r="G53" s="100"/>
      <c r="H53" s="100"/>
      <c r="I53" s="100"/>
      <c r="J53" s="100"/>
    </row>
    <row r="54" spans="1:10" ht="16.899999999999999" customHeight="1">
      <c r="A54" s="100"/>
      <c r="B54" s="100"/>
      <c r="C54" s="100"/>
      <c r="D54" s="494"/>
      <c r="E54" s="100"/>
      <c r="F54" s="100"/>
      <c r="G54" s="100"/>
      <c r="H54" s="100"/>
      <c r="I54" s="100"/>
      <c r="J54" s="100"/>
    </row>
    <row r="55" spans="1:10" ht="16.899999999999999" customHeight="1">
      <c r="A55" s="100"/>
      <c r="B55" s="100"/>
      <c r="C55" s="100"/>
      <c r="D55" s="494"/>
      <c r="E55" s="100"/>
      <c r="F55" s="100"/>
      <c r="G55" s="100"/>
      <c r="H55" s="100"/>
      <c r="I55" s="100"/>
      <c r="J55" s="100"/>
    </row>
    <row r="56" spans="1:10" ht="16.899999999999999" customHeight="1">
      <c r="A56" s="100"/>
      <c r="B56" s="100"/>
      <c r="C56" s="100"/>
      <c r="D56" s="494"/>
      <c r="E56" s="100"/>
      <c r="F56" s="100"/>
      <c r="G56" s="100"/>
      <c r="H56" s="100"/>
      <c r="I56" s="100"/>
      <c r="J56" s="100"/>
    </row>
    <row r="57" spans="1:10" ht="16.899999999999999" customHeight="1">
      <c r="A57" s="100"/>
      <c r="B57" s="100"/>
      <c r="C57" s="100"/>
      <c r="D57" s="494"/>
      <c r="E57" s="100"/>
      <c r="F57" s="100"/>
      <c r="G57" s="100"/>
      <c r="H57" s="100"/>
      <c r="I57" s="100"/>
      <c r="J57" s="100"/>
    </row>
    <row r="58" spans="1:10" ht="16.899999999999999" customHeight="1">
      <c r="A58" s="100"/>
      <c r="B58" s="100"/>
      <c r="C58" s="100"/>
      <c r="D58" s="494"/>
      <c r="E58" s="100"/>
      <c r="F58" s="100"/>
      <c r="G58" s="100"/>
      <c r="H58" s="100"/>
      <c r="I58" s="100"/>
      <c r="J58" s="100"/>
    </row>
    <row r="59" spans="1:10" ht="16.899999999999999" customHeight="1">
      <c r="A59" s="100"/>
      <c r="B59" s="100"/>
      <c r="C59" s="100"/>
      <c r="D59" s="494"/>
      <c r="E59" s="100"/>
      <c r="F59" s="100"/>
      <c r="G59" s="100"/>
      <c r="H59" s="100"/>
      <c r="I59" s="100"/>
      <c r="J59" s="100"/>
    </row>
    <row r="60" spans="1:10" ht="16.899999999999999" customHeight="1">
      <c r="A60" s="100"/>
      <c r="B60" s="100"/>
      <c r="C60" s="100"/>
      <c r="D60" s="494"/>
      <c r="E60" s="100"/>
      <c r="F60" s="100"/>
      <c r="G60" s="100"/>
      <c r="H60" s="100"/>
      <c r="I60" s="100"/>
      <c r="J60" s="100"/>
    </row>
    <row r="61" spans="1:10" ht="16.899999999999999" customHeight="1">
      <c r="A61" s="100"/>
      <c r="B61" s="100"/>
      <c r="C61" s="100"/>
      <c r="D61" s="494"/>
      <c r="E61" s="100"/>
      <c r="F61" s="100"/>
      <c r="G61" s="100"/>
      <c r="H61" s="100"/>
      <c r="I61" s="100"/>
      <c r="J61" s="100"/>
    </row>
    <row r="62" spans="1:10" ht="16.899999999999999" customHeight="1">
      <c r="A62" s="100"/>
      <c r="B62" s="100"/>
      <c r="C62" s="100"/>
      <c r="D62" s="494"/>
      <c r="E62" s="100"/>
      <c r="F62" s="100"/>
      <c r="G62" s="100"/>
      <c r="H62" s="100"/>
      <c r="I62" s="100"/>
      <c r="J62" s="100"/>
    </row>
    <row r="63" spans="1:10" ht="16.899999999999999" customHeight="1">
      <c r="A63" s="100"/>
      <c r="B63" s="100"/>
      <c r="C63" s="100"/>
      <c r="D63" s="494"/>
      <c r="E63" s="100"/>
      <c r="F63" s="100"/>
      <c r="G63" s="100"/>
      <c r="H63" s="100"/>
      <c r="I63" s="100"/>
      <c r="J63" s="100"/>
    </row>
    <row r="64" spans="1:10" ht="16.899999999999999" customHeight="1">
      <c r="A64" s="100"/>
      <c r="B64" s="100"/>
      <c r="C64" s="100"/>
      <c r="D64" s="494"/>
      <c r="E64" s="100"/>
      <c r="F64" s="100"/>
      <c r="G64" s="100"/>
      <c r="H64" s="100"/>
      <c r="I64" s="100"/>
      <c r="J64" s="100"/>
    </row>
    <row r="65" spans="1:10" ht="16.899999999999999" customHeight="1">
      <c r="A65" s="100"/>
      <c r="B65" s="100"/>
      <c r="C65" s="100"/>
      <c r="D65" s="494"/>
      <c r="E65" s="100"/>
      <c r="F65" s="100"/>
      <c r="G65" s="100"/>
      <c r="H65" s="100"/>
      <c r="I65" s="100"/>
      <c r="J65" s="100"/>
    </row>
    <row r="66" spans="1:10" ht="16.899999999999999" customHeight="1">
      <c r="A66" s="100"/>
      <c r="B66" s="100"/>
      <c r="C66" s="100"/>
      <c r="D66" s="494"/>
      <c r="E66" s="100"/>
      <c r="F66" s="100"/>
      <c r="G66" s="100"/>
      <c r="H66" s="100"/>
      <c r="I66" s="100"/>
      <c r="J66" s="100"/>
    </row>
    <row r="67" spans="1:10" ht="16.899999999999999" customHeight="1">
      <c r="A67" s="100"/>
      <c r="B67" s="100"/>
      <c r="C67" s="100"/>
      <c r="D67" s="494"/>
      <c r="E67" s="100"/>
      <c r="F67" s="100"/>
      <c r="G67" s="100"/>
      <c r="H67" s="100"/>
      <c r="I67" s="100"/>
      <c r="J67" s="100"/>
    </row>
    <row r="68" spans="1:10" ht="16.899999999999999" customHeight="1">
      <c r="A68" s="100"/>
      <c r="B68" s="100"/>
      <c r="C68" s="100"/>
      <c r="D68" s="494"/>
      <c r="E68" s="100"/>
      <c r="F68" s="100"/>
      <c r="G68" s="100"/>
      <c r="H68" s="100"/>
      <c r="I68" s="100"/>
      <c r="J68" s="100"/>
    </row>
    <row r="69" spans="1:10" ht="16.899999999999999" customHeight="1">
      <c r="A69" s="100"/>
      <c r="B69" s="100"/>
      <c r="C69" s="100"/>
      <c r="D69" s="494"/>
      <c r="E69" s="100"/>
      <c r="F69" s="100"/>
      <c r="G69" s="100"/>
      <c r="H69" s="100"/>
      <c r="I69" s="100"/>
      <c r="J69" s="100"/>
    </row>
    <row r="70" spans="1:10" ht="16.899999999999999" customHeight="1">
      <c r="A70" s="100"/>
      <c r="B70" s="100"/>
      <c r="C70" s="100"/>
      <c r="D70" s="494"/>
      <c r="E70" s="100"/>
      <c r="F70" s="100"/>
      <c r="G70" s="100"/>
      <c r="H70" s="100"/>
      <c r="I70" s="100"/>
      <c r="J70" s="100"/>
    </row>
    <row r="71" spans="1:10" ht="16.899999999999999" customHeight="1">
      <c r="A71" s="100"/>
      <c r="B71" s="100"/>
      <c r="C71" s="100"/>
      <c r="D71" s="494"/>
      <c r="E71" s="100"/>
      <c r="F71" s="100"/>
      <c r="G71" s="100"/>
      <c r="H71" s="100"/>
      <c r="I71" s="100"/>
      <c r="J71" s="100"/>
    </row>
    <row r="72" spans="1:10" ht="16.899999999999999" customHeight="1">
      <c r="A72" s="100"/>
      <c r="B72" s="100"/>
      <c r="C72" s="100"/>
      <c r="D72" s="494"/>
      <c r="E72" s="100"/>
      <c r="F72" s="100"/>
      <c r="G72" s="100"/>
      <c r="H72" s="100"/>
      <c r="I72" s="100"/>
      <c r="J72" s="100"/>
    </row>
    <row r="73" spans="1:10" ht="16.899999999999999" customHeight="1">
      <c r="A73" s="100"/>
      <c r="B73" s="100"/>
      <c r="C73" s="100"/>
      <c r="D73" s="494"/>
      <c r="E73" s="100"/>
      <c r="F73" s="100"/>
      <c r="G73" s="100"/>
      <c r="H73" s="100"/>
      <c r="I73" s="100"/>
      <c r="J73" s="100"/>
    </row>
    <row r="74" spans="1:10" ht="16.899999999999999" customHeight="1">
      <c r="A74" s="100"/>
      <c r="B74" s="100"/>
      <c r="C74" s="100"/>
      <c r="D74" s="494"/>
      <c r="E74" s="100"/>
      <c r="F74" s="100"/>
      <c r="G74" s="100"/>
      <c r="H74" s="100"/>
      <c r="I74" s="100"/>
      <c r="J74" s="100"/>
    </row>
    <row r="75" spans="1:10" ht="16.899999999999999" customHeight="1">
      <c r="A75" s="100"/>
      <c r="B75" s="100"/>
      <c r="C75" s="100"/>
      <c r="D75" s="494"/>
      <c r="E75" s="100"/>
      <c r="F75" s="100"/>
      <c r="G75" s="100"/>
      <c r="H75" s="100"/>
      <c r="I75" s="100"/>
      <c r="J75" s="100"/>
    </row>
    <row r="76" spans="1:10" ht="16.899999999999999" customHeight="1">
      <c r="A76" s="100"/>
      <c r="B76" s="100"/>
      <c r="C76" s="100"/>
      <c r="D76" s="494"/>
      <c r="E76" s="100"/>
      <c r="F76" s="100"/>
      <c r="G76" s="100"/>
      <c r="H76" s="100"/>
      <c r="I76" s="100"/>
      <c r="J76" s="100"/>
    </row>
    <row r="77" spans="1:10" ht="12.75" hidden="1" customHeight="1">
      <c r="A77" s="100"/>
      <c r="B77" s="100"/>
      <c r="C77" s="100"/>
      <c r="D77" s="494"/>
      <c r="E77" s="100"/>
      <c r="F77" s="100"/>
      <c r="G77" s="100"/>
      <c r="H77" s="100"/>
      <c r="I77" s="100"/>
      <c r="J77" s="100"/>
    </row>
    <row r="78" spans="1:10" ht="12.75" hidden="1" customHeight="1">
      <c r="A78" s="100"/>
      <c r="B78" s="100"/>
      <c r="C78" s="100"/>
      <c r="D78" s="494"/>
      <c r="E78" s="100"/>
      <c r="F78" s="100"/>
      <c r="G78" s="100"/>
      <c r="H78" s="100"/>
      <c r="I78" s="100"/>
      <c r="J78" s="100"/>
    </row>
    <row r="79" spans="1:10" ht="12.75" hidden="1" customHeight="1">
      <c r="A79" s="100"/>
      <c r="B79" s="100"/>
      <c r="C79" s="100"/>
      <c r="D79" s="494"/>
      <c r="E79" s="100"/>
      <c r="F79" s="100"/>
      <c r="G79" s="100"/>
      <c r="H79" s="100"/>
      <c r="I79" s="100"/>
      <c r="J79" s="100"/>
    </row>
    <row r="80" spans="1:10" ht="13.5" hidden="1">
      <c r="A80" s="100"/>
      <c r="B80" s="100"/>
      <c r="C80" s="100"/>
      <c r="D80" s="494"/>
      <c r="E80" s="100"/>
      <c r="F80" s="100"/>
      <c r="G80" s="100"/>
      <c r="H80" s="100"/>
      <c r="I80" s="100"/>
      <c r="J80" s="100"/>
    </row>
    <row r="81" spans="1:10" ht="13.5" hidden="1">
      <c r="A81" s="100"/>
      <c r="B81" s="100"/>
      <c r="C81" s="100"/>
      <c r="D81" s="494"/>
      <c r="E81" s="100"/>
      <c r="F81" s="100"/>
      <c r="G81" s="100"/>
      <c r="H81" s="100"/>
      <c r="I81" s="100"/>
      <c r="J81" s="100"/>
    </row>
    <row r="82" spans="1:10" ht="13.5" hidden="1">
      <c r="A82" s="100"/>
      <c r="B82" s="100"/>
      <c r="C82" s="100"/>
      <c r="D82" s="494"/>
      <c r="E82" s="100"/>
      <c r="F82" s="100"/>
      <c r="G82" s="100"/>
      <c r="H82" s="100"/>
      <c r="I82" s="100"/>
      <c r="J82" s="100"/>
    </row>
    <row r="83" spans="1:10" ht="13.5" hidden="1">
      <c r="A83" s="100"/>
      <c r="B83" s="100"/>
      <c r="C83" s="100"/>
      <c r="D83" s="494"/>
      <c r="E83" s="100"/>
      <c r="F83" s="100"/>
      <c r="G83" s="100"/>
      <c r="H83" s="100"/>
      <c r="I83" s="100"/>
      <c r="J83" s="100"/>
    </row>
    <row r="84" spans="1:10" ht="13.5">
      <c r="A84" s="100"/>
      <c r="B84" s="100"/>
      <c r="C84" s="100"/>
      <c r="D84" s="494"/>
      <c r="E84" s="100"/>
      <c r="F84" s="100"/>
      <c r="G84" s="100"/>
      <c r="H84" s="100"/>
      <c r="I84" s="100"/>
      <c r="J84" s="100"/>
    </row>
    <row r="85" spans="1:10" ht="13.5">
      <c r="A85" s="100"/>
      <c r="B85" s="100"/>
      <c r="C85" s="100"/>
      <c r="D85" s="494"/>
      <c r="E85" s="100"/>
      <c r="F85" s="100"/>
      <c r="G85" s="100"/>
      <c r="H85" s="100"/>
      <c r="I85" s="100"/>
      <c r="J85" s="100"/>
    </row>
    <row r="86" spans="1:10" ht="13.5">
      <c r="A86" s="100"/>
      <c r="B86" s="100"/>
      <c r="C86" s="100"/>
      <c r="D86" s="494"/>
      <c r="E86" s="100"/>
      <c r="F86" s="100"/>
      <c r="G86" s="100"/>
      <c r="H86" s="100"/>
      <c r="I86" s="100"/>
      <c r="J86" s="100"/>
    </row>
    <row r="87" spans="1:10" ht="13.5">
      <c r="A87" s="100"/>
      <c r="B87" s="100"/>
      <c r="C87" s="100"/>
      <c r="D87" s="494"/>
      <c r="E87" s="100"/>
      <c r="F87" s="100"/>
      <c r="G87" s="100"/>
      <c r="H87" s="100"/>
      <c r="I87" s="100"/>
      <c r="J87" s="100"/>
    </row>
    <row r="88" spans="1:10" ht="13.5">
      <c r="A88" s="100"/>
      <c r="B88" s="100"/>
      <c r="C88" s="100"/>
      <c r="D88" s="494"/>
      <c r="E88" s="100"/>
      <c r="F88" s="100"/>
      <c r="G88" s="100"/>
      <c r="H88" s="100"/>
      <c r="I88" s="100"/>
      <c r="J88" s="100"/>
    </row>
    <row r="89" spans="1:10" ht="13.5">
      <c r="A89" s="100"/>
      <c r="B89" s="100"/>
      <c r="C89" s="100"/>
      <c r="D89" s="494"/>
      <c r="E89" s="100"/>
      <c r="F89" s="100"/>
      <c r="G89" s="100"/>
      <c r="H89" s="100"/>
      <c r="I89" s="100"/>
      <c r="J89" s="100"/>
    </row>
    <row r="90" spans="1:10" ht="13.5">
      <c r="A90" s="100"/>
      <c r="B90" s="100"/>
      <c r="C90" s="100"/>
      <c r="D90" s="494"/>
      <c r="E90" s="100"/>
      <c r="F90" s="100"/>
      <c r="G90" s="100"/>
      <c r="H90" s="100"/>
      <c r="I90" s="100"/>
      <c r="J90" s="100"/>
    </row>
    <row r="91" spans="1:10" ht="13.5">
      <c r="A91" s="100"/>
      <c r="B91" s="100"/>
      <c r="C91" s="100"/>
      <c r="D91" s="494"/>
      <c r="E91" s="100"/>
      <c r="F91" s="100"/>
      <c r="G91" s="100"/>
      <c r="H91" s="100"/>
      <c r="I91" s="100"/>
      <c r="J91" s="100"/>
    </row>
    <row r="92" spans="1:10" ht="13.5">
      <c r="A92" s="100"/>
      <c r="B92" s="100"/>
      <c r="C92" s="100"/>
      <c r="D92" s="494"/>
      <c r="E92" s="100"/>
      <c r="F92" s="100"/>
      <c r="G92" s="100"/>
      <c r="H92" s="100"/>
      <c r="I92" s="100"/>
      <c r="J92" s="100"/>
    </row>
    <row r="93" spans="1:10" ht="13.5">
      <c r="A93" s="100"/>
      <c r="B93" s="100"/>
      <c r="C93" s="100"/>
      <c r="D93" s="494"/>
      <c r="E93" s="100"/>
      <c r="F93" s="100"/>
      <c r="G93" s="100"/>
      <c r="H93" s="100"/>
      <c r="I93" s="100"/>
      <c r="J93" s="100"/>
    </row>
    <row r="94" spans="1:10" ht="13.5" hidden="1">
      <c r="A94" s="100"/>
      <c r="B94" s="100"/>
      <c r="C94" s="100"/>
      <c r="D94" s="494"/>
      <c r="E94" s="100"/>
      <c r="F94" s="100"/>
      <c r="G94" s="100"/>
      <c r="H94" s="100"/>
      <c r="I94" s="100"/>
    </row>
    <row r="95" spans="1:10" ht="13.5">
      <c r="D95" s="494"/>
    </row>
    <row r="96" spans="1:10"/>
    <row r="97"/>
    <row r="105"/>
    <row r="106"/>
    <row r="107"/>
    <row r="108"/>
    <row r="109"/>
    <row r="110"/>
    <row r="111"/>
    <row r="112"/>
    <row r="113"/>
    <row r="114"/>
    <row r="115"/>
    <row r="116"/>
    <row r="117"/>
    <row r="118"/>
    <row r="119"/>
    <row r="120"/>
  </sheetData>
  <sheetProtection selectLockedCells="1"/>
  <mergeCells count="27">
    <mergeCell ref="G34:I34"/>
    <mergeCell ref="G35:I35"/>
    <mergeCell ref="G36:I36"/>
    <mergeCell ref="A40:D40"/>
    <mergeCell ref="A3:D3"/>
    <mergeCell ref="A8:A38"/>
    <mergeCell ref="B8:B24"/>
    <mergeCell ref="C16:C18"/>
    <mergeCell ref="C19:C22"/>
    <mergeCell ref="B38:D38"/>
    <mergeCell ref="B25:B30"/>
    <mergeCell ref="B31:B37"/>
    <mergeCell ref="G3:I3"/>
    <mergeCell ref="A4:A7"/>
    <mergeCell ref="B4:D4"/>
    <mergeCell ref="G4:I4"/>
    <mergeCell ref="G33:I33"/>
    <mergeCell ref="G31:I31"/>
    <mergeCell ref="G25:I25"/>
    <mergeCell ref="B5:D5"/>
    <mergeCell ref="G5:I5"/>
    <mergeCell ref="B7:D7"/>
    <mergeCell ref="G7:I7"/>
    <mergeCell ref="G32:I32"/>
    <mergeCell ref="B6:D6"/>
    <mergeCell ref="G6:I6"/>
    <mergeCell ref="G23:I23"/>
  </mergeCells>
  <phoneticPr fontId="14"/>
  <printOptions horizontalCentered="1"/>
  <pageMargins left="0.82677165354330717" right="0.82677165354330717" top="1.3385826771653544" bottom="0.74803149606299213" header="0.9055118110236221" footer="0.31496062992125984"/>
  <pageSetup paperSize="9" scale="76" firstPageNumber="0" orientation="portrait" cellComments="asDisplayed" horizontalDpi="4294967293" verticalDpi="300" r:id="rId1"/>
  <headerFooter alignWithMargins="0">
    <oddHeader>&amp;L肉用牛（繁殖）耕作放棄地親子放牧（全域）</oddHeader>
  </headerFooter>
  <legacyDrawing r:id="rId2"/>
</worksheet>
</file>

<file path=xl/worksheets/sheet10.xml><?xml version="1.0" encoding="utf-8"?>
<worksheet xmlns="http://schemas.openxmlformats.org/spreadsheetml/2006/main" xmlns:r="http://schemas.openxmlformats.org/officeDocument/2006/relationships">
  <sheetPr>
    <tabColor rgb="FFFFFF00"/>
    <pageSetUpPr fitToPage="1"/>
  </sheetPr>
  <dimension ref="A1:Z38"/>
  <sheetViews>
    <sheetView showGridLines="0" workbookViewId="0">
      <selection activeCell="Q35" sqref="Q35"/>
    </sheetView>
  </sheetViews>
  <sheetFormatPr defaultColWidth="10.5" defaultRowHeight="13.5"/>
  <cols>
    <col min="1" max="1" width="16.25" customWidth="1"/>
  </cols>
  <sheetData>
    <row r="1" spans="1:26" s="12" customFormat="1">
      <c r="B1" s="13"/>
      <c r="C1" s="14" t="s">
        <v>112</v>
      </c>
      <c r="D1" s="14" t="s">
        <v>98</v>
      </c>
      <c r="E1" s="14" t="s">
        <v>95</v>
      </c>
      <c r="F1" s="14" t="s">
        <v>101</v>
      </c>
      <c r="G1" s="14" t="s">
        <v>147</v>
      </c>
      <c r="H1" s="14" t="s">
        <v>115</v>
      </c>
      <c r="I1" s="14" t="s">
        <v>148</v>
      </c>
      <c r="J1" s="14" t="s">
        <v>121</v>
      </c>
      <c r="K1" s="14" t="s">
        <v>118</v>
      </c>
      <c r="L1" s="14" t="s">
        <v>127</v>
      </c>
      <c r="M1" s="14" t="s">
        <v>125</v>
      </c>
      <c r="N1" s="14" t="s">
        <v>108</v>
      </c>
      <c r="P1" s="15" t="s">
        <v>194</v>
      </c>
      <c r="Q1" s="15" t="s">
        <v>80</v>
      </c>
      <c r="S1" s="15" t="s">
        <v>195</v>
      </c>
      <c r="U1" s="15" t="s">
        <v>158</v>
      </c>
      <c r="W1" s="15" t="s">
        <v>257</v>
      </c>
      <c r="Y1" s="654" t="s">
        <v>694</v>
      </c>
      <c r="Z1" s="654" t="s">
        <v>695</v>
      </c>
    </row>
    <row r="2" spans="1:26">
      <c r="A2" s="459" t="s">
        <v>112</v>
      </c>
      <c r="B2" s="460">
        <v>1</v>
      </c>
      <c r="C2" s="461" t="s">
        <v>113</v>
      </c>
      <c r="D2" s="461" t="s">
        <v>99</v>
      </c>
      <c r="E2" s="461" t="s">
        <v>164</v>
      </c>
      <c r="F2" s="461" t="s">
        <v>104</v>
      </c>
      <c r="G2" s="461" t="s">
        <v>71</v>
      </c>
      <c r="H2" s="461" t="s">
        <v>177</v>
      </c>
      <c r="I2" s="461" t="s">
        <v>181</v>
      </c>
      <c r="J2" s="461" t="s">
        <v>184</v>
      </c>
      <c r="K2" s="461" t="s">
        <v>119</v>
      </c>
      <c r="L2" s="461" t="s">
        <v>249</v>
      </c>
      <c r="M2" s="461" t="s">
        <v>151</v>
      </c>
      <c r="N2" s="461" t="s">
        <v>155</v>
      </c>
      <c r="P2" s="16" t="s">
        <v>196</v>
      </c>
      <c r="Q2" s="16" t="s">
        <v>114</v>
      </c>
      <c r="S2" t="s">
        <v>71</v>
      </c>
      <c r="U2" t="s">
        <v>188</v>
      </c>
      <c r="W2" s="19" t="s">
        <v>258</v>
      </c>
      <c r="Y2" t="s">
        <v>696</v>
      </c>
      <c r="Z2" t="s">
        <v>697</v>
      </c>
    </row>
    <row r="3" spans="1:26">
      <c r="A3" s="460" t="s">
        <v>98</v>
      </c>
      <c r="B3" s="460">
        <v>2</v>
      </c>
      <c r="C3" s="461" t="s">
        <v>159</v>
      </c>
      <c r="D3" s="461" t="s">
        <v>161</v>
      </c>
      <c r="E3" s="461" t="s">
        <v>96</v>
      </c>
      <c r="F3" s="461" t="s">
        <v>106</v>
      </c>
      <c r="G3" s="461" t="s">
        <v>69</v>
      </c>
      <c r="H3" s="461" t="s">
        <v>178</v>
      </c>
      <c r="I3" s="461" t="s">
        <v>182</v>
      </c>
      <c r="J3" s="461" t="s">
        <v>122</v>
      </c>
      <c r="K3" s="461" t="s">
        <v>185</v>
      </c>
      <c r="L3" s="461" t="s">
        <v>250</v>
      </c>
      <c r="M3" s="461" t="s">
        <v>126</v>
      </c>
      <c r="N3" s="461" t="s">
        <v>123</v>
      </c>
      <c r="P3" s="16" t="s">
        <v>197</v>
      </c>
      <c r="Q3" s="16" t="s">
        <v>198</v>
      </c>
      <c r="S3" t="s">
        <v>69</v>
      </c>
      <c r="U3" t="s">
        <v>163</v>
      </c>
      <c r="W3" s="19" t="s">
        <v>259</v>
      </c>
      <c r="Y3" t="s">
        <v>698</v>
      </c>
      <c r="Z3" t="s">
        <v>699</v>
      </c>
    </row>
    <row r="4" spans="1:26">
      <c r="A4" s="460" t="s">
        <v>95</v>
      </c>
      <c r="B4" s="460">
        <v>3</v>
      </c>
      <c r="C4" s="461" t="s">
        <v>160</v>
      </c>
      <c r="D4" s="461" t="s">
        <v>162</v>
      </c>
      <c r="E4" s="461" t="s">
        <v>97</v>
      </c>
      <c r="F4" s="461" t="s">
        <v>168</v>
      </c>
      <c r="G4" s="461" t="s">
        <v>171</v>
      </c>
      <c r="H4" s="461" t="s">
        <v>179</v>
      </c>
      <c r="I4" s="461" t="s">
        <v>183</v>
      </c>
      <c r="J4" s="461"/>
      <c r="K4" s="461" t="s">
        <v>186</v>
      </c>
      <c r="L4" s="461"/>
      <c r="M4" s="461" t="s">
        <v>152</v>
      </c>
      <c r="N4" s="462" t="s">
        <v>109</v>
      </c>
      <c r="P4" s="16" t="s">
        <v>199</v>
      </c>
      <c r="Q4" s="16" t="s">
        <v>105</v>
      </c>
      <c r="S4" t="s">
        <v>174</v>
      </c>
      <c r="U4" t="s">
        <v>200</v>
      </c>
      <c r="W4" s="19" t="s">
        <v>260</v>
      </c>
      <c r="Y4" t="s">
        <v>700</v>
      </c>
      <c r="Z4" t="s">
        <v>577</v>
      </c>
    </row>
    <row r="5" spans="1:26">
      <c r="A5" s="460" t="s">
        <v>101</v>
      </c>
      <c r="B5" s="460">
        <v>4</v>
      </c>
      <c r="C5" s="461"/>
      <c r="D5" s="461"/>
      <c r="E5" s="461" t="s">
        <v>165</v>
      </c>
      <c r="F5" s="461" t="s">
        <v>169</v>
      </c>
      <c r="G5" s="461" t="s">
        <v>172</v>
      </c>
      <c r="H5" s="461" t="s">
        <v>180</v>
      </c>
      <c r="I5" s="461"/>
      <c r="J5" s="461"/>
      <c r="K5" s="461" t="s">
        <v>187</v>
      </c>
      <c r="L5" s="461"/>
      <c r="M5" s="461" t="s">
        <v>153</v>
      </c>
      <c r="N5" s="461" t="s">
        <v>190</v>
      </c>
      <c r="P5" s="16" t="s">
        <v>201</v>
      </c>
      <c r="Q5" s="16" t="s">
        <v>103</v>
      </c>
      <c r="S5" t="s">
        <v>171</v>
      </c>
      <c r="W5" s="19" t="s">
        <v>261</v>
      </c>
    </row>
    <row r="6" spans="1:26">
      <c r="A6" s="460" t="s">
        <v>115</v>
      </c>
      <c r="B6" s="460">
        <v>5</v>
      </c>
      <c r="C6" s="461"/>
      <c r="D6" s="461"/>
      <c r="E6" s="461" t="s">
        <v>166</v>
      </c>
      <c r="F6" s="461" t="s">
        <v>102</v>
      </c>
      <c r="G6" s="461" t="s">
        <v>176</v>
      </c>
      <c r="H6" s="461" t="s">
        <v>116</v>
      </c>
      <c r="I6" s="461"/>
      <c r="J6" s="461"/>
      <c r="K6" s="461"/>
      <c r="L6" s="461"/>
      <c r="M6" s="461" t="s">
        <v>189</v>
      </c>
      <c r="N6" s="461" t="s">
        <v>124</v>
      </c>
      <c r="P6" s="16" t="s">
        <v>202</v>
      </c>
      <c r="Q6" s="16" t="s">
        <v>203</v>
      </c>
      <c r="S6" t="s">
        <v>172</v>
      </c>
      <c r="W6" s="19" t="s">
        <v>262</v>
      </c>
    </row>
    <row r="7" spans="1:26">
      <c r="A7" s="460" t="s">
        <v>204</v>
      </c>
      <c r="B7" s="460">
        <v>6</v>
      </c>
      <c r="C7" s="461"/>
      <c r="D7" s="461"/>
      <c r="E7" s="461" t="s">
        <v>167</v>
      </c>
      <c r="F7" s="461" t="s">
        <v>170</v>
      </c>
      <c r="G7" s="461" t="s">
        <v>295</v>
      </c>
      <c r="H7" s="463" t="s">
        <v>278</v>
      </c>
      <c r="I7" s="461"/>
      <c r="J7" s="461"/>
      <c r="K7" s="461"/>
      <c r="L7" s="461"/>
      <c r="M7" s="461"/>
      <c r="N7" s="461" t="s">
        <v>191</v>
      </c>
      <c r="P7" s="16" t="s">
        <v>205</v>
      </c>
      <c r="Q7" s="16" t="s">
        <v>206</v>
      </c>
      <c r="S7" t="s">
        <v>173</v>
      </c>
      <c r="W7" s="19" t="s">
        <v>263</v>
      </c>
    </row>
    <row r="8" spans="1:26">
      <c r="A8" s="460" t="s">
        <v>148</v>
      </c>
      <c r="B8" s="460">
        <v>7</v>
      </c>
      <c r="C8" s="461"/>
      <c r="D8" s="461"/>
      <c r="E8" s="461"/>
      <c r="F8" s="461"/>
      <c r="G8" s="461" t="s">
        <v>690</v>
      </c>
      <c r="H8" s="463" t="s">
        <v>277</v>
      </c>
      <c r="I8" s="461"/>
      <c r="J8" s="461"/>
      <c r="K8" s="461"/>
      <c r="L8" s="461"/>
      <c r="M8" s="461"/>
      <c r="N8" s="461" t="s">
        <v>192</v>
      </c>
      <c r="P8" s="16" t="s">
        <v>207</v>
      </c>
      <c r="Q8" s="16" t="s">
        <v>208</v>
      </c>
      <c r="S8" t="s">
        <v>175</v>
      </c>
      <c r="W8" s="19" t="s">
        <v>264</v>
      </c>
    </row>
    <row r="9" spans="1:26">
      <c r="A9" s="460" t="s">
        <v>127</v>
      </c>
      <c r="B9" s="460">
        <v>8</v>
      </c>
      <c r="C9" s="461"/>
      <c r="D9" s="461"/>
      <c r="E9" s="461"/>
      <c r="F9" s="461"/>
      <c r="G9" s="461" t="s">
        <v>803</v>
      </c>
      <c r="H9" s="463" t="s">
        <v>279</v>
      </c>
      <c r="I9" s="461"/>
      <c r="J9" s="461"/>
      <c r="K9" s="461"/>
      <c r="L9" s="461"/>
      <c r="M9" s="461"/>
      <c r="N9" s="461" t="s">
        <v>111</v>
      </c>
      <c r="P9" s="16" t="s">
        <v>209</v>
      </c>
      <c r="Q9" s="16" t="s">
        <v>210</v>
      </c>
      <c r="W9" s="19" t="s">
        <v>266</v>
      </c>
    </row>
    <row r="10" spans="1:26">
      <c r="A10" s="460" t="s">
        <v>118</v>
      </c>
      <c r="B10" s="460">
        <v>9</v>
      </c>
      <c r="C10" s="461"/>
      <c r="D10" s="461"/>
      <c r="E10" s="461"/>
      <c r="F10" s="461"/>
      <c r="G10" s="461" t="s">
        <v>294</v>
      </c>
      <c r="H10" s="463" t="s">
        <v>280</v>
      </c>
      <c r="I10" s="461"/>
      <c r="J10" s="461"/>
      <c r="K10" s="461"/>
      <c r="L10" s="461"/>
      <c r="M10" s="461"/>
      <c r="N10" s="461" t="s">
        <v>193</v>
      </c>
      <c r="P10" s="16" t="s">
        <v>211</v>
      </c>
      <c r="Q10" s="16" t="s">
        <v>212</v>
      </c>
      <c r="W10" s="19" t="s">
        <v>271</v>
      </c>
    </row>
    <row r="11" spans="1:26">
      <c r="A11" s="460" t="s">
        <v>121</v>
      </c>
      <c r="B11" s="460">
        <v>10</v>
      </c>
      <c r="C11" s="461"/>
      <c r="D11" s="461"/>
      <c r="E11" s="461"/>
      <c r="F11" s="461"/>
      <c r="G11" s="461"/>
      <c r="H11" s="463" t="s">
        <v>281</v>
      </c>
      <c r="I11" s="461"/>
      <c r="J11" s="461"/>
      <c r="K11" s="461"/>
      <c r="L11" s="461"/>
      <c r="M11" s="461"/>
      <c r="N11" s="461"/>
      <c r="P11" s="16" t="s">
        <v>213</v>
      </c>
      <c r="Q11" s="16" t="s">
        <v>214</v>
      </c>
      <c r="W11" s="19" t="s">
        <v>270</v>
      </c>
    </row>
    <row r="12" spans="1:26">
      <c r="A12" s="460" t="s">
        <v>215</v>
      </c>
      <c r="B12" s="460">
        <v>11</v>
      </c>
      <c r="C12" s="461"/>
      <c r="D12" s="461"/>
      <c r="E12" s="461"/>
      <c r="F12" s="461"/>
      <c r="G12" s="461"/>
      <c r="H12" s="461"/>
      <c r="I12" s="461"/>
      <c r="J12" s="461"/>
      <c r="K12" s="461"/>
      <c r="L12" s="461"/>
      <c r="M12" s="461"/>
      <c r="N12" s="461"/>
      <c r="P12" s="16" t="s">
        <v>216</v>
      </c>
      <c r="Q12" s="16" t="s">
        <v>117</v>
      </c>
      <c r="W12" s="19" t="s">
        <v>269</v>
      </c>
    </row>
    <row r="13" spans="1:26">
      <c r="A13" s="460" t="s">
        <v>109</v>
      </c>
      <c r="B13" s="460">
        <v>12</v>
      </c>
      <c r="C13" s="461"/>
      <c r="D13" s="461"/>
      <c r="E13" s="461"/>
      <c r="F13" s="461"/>
      <c r="G13" s="461"/>
      <c r="H13" s="461"/>
      <c r="I13" s="461"/>
      <c r="J13" s="461"/>
      <c r="K13" s="461"/>
      <c r="L13" s="461"/>
      <c r="M13" s="461"/>
      <c r="N13" s="461"/>
      <c r="P13" s="16" t="s">
        <v>217</v>
      </c>
      <c r="Q13" s="16" t="s">
        <v>218</v>
      </c>
      <c r="W13" s="19" t="s">
        <v>268</v>
      </c>
    </row>
    <row r="14" spans="1:26">
      <c r="A14" s="460" t="s">
        <v>219</v>
      </c>
      <c r="B14" s="460">
        <v>13</v>
      </c>
      <c r="C14" s="461"/>
      <c r="D14" s="461"/>
      <c r="E14" s="461"/>
      <c r="F14" s="461"/>
      <c r="G14" s="461"/>
      <c r="H14" s="461"/>
      <c r="I14" s="461"/>
      <c r="J14" s="461"/>
      <c r="K14" s="461"/>
      <c r="L14" s="461"/>
      <c r="M14" s="461"/>
      <c r="N14" s="461"/>
      <c r="P14" s="16" t="s">
        <v>220</v>
      </c>
      <c r="Q14" s="16" t="s">
        <v>100</v>
      </c>
      <c r="W14" s="19" t="s">
        <v>267</v>
      </c>
    </row>
    <row r="15" spans="1:26">
      <c r="A15" s="460" t="s">
        <v>221</v>
      </c>
      <c r="B15" s="460">
        <v>14</v>
      </c>
      <c r="C15" s="461"/>
      <c r="D15" s="461"/>
      <c r="E15" s="461"/>
      <c r="F15" s="461"/>
      <c r="G15" s="461"/>
      <c r="H15" s="461"/>
      <c r="I15" s="461"/>
      <c r="J15" s="461"/>
      <c r="K15" s="461"/>
      <c r="L15" s="461"/>
      <c r="M15" s="461"/>
      <c r="N15" s="461"/>
      <c r="P15" s="16" t="s">
        <v>222</v>
      </c>
      <c r="Q15" s="16" t="s">
        <v>223</v>
      </c>
      <c r="W15" s="19" t="s">
        <v>265</v>
      </c>
    </row>
    <row r="16" spans="1:26">
      <c r="A16" s="461"/>
      <c r="B16" s="461"/>
      <c r="C16" s="461"/>
      <c r="D16" s="461"/>
      <c r="E16" s="461"/>
      <c r="F16" s="461"/>
      <c r="G16" s="461"/>
      <c r="H16" s="461"/>
      <c r="I16" s="461"/>
      <c r="J16" s="461"/>
      <c r="K16" s="461"/>
      <c r="L16" s="461"/>
      <c r="M16" s="461"/>
      <c r="N16" s="461"/>
      <c r="P16" s="16" t="s">
        <v>224</v>
      </c>
      <c r="Q16" s="16" t="s">
        <v>225</v>
      </c>
    </row>
    <row r="17" spans="1:17">
      <c r="A17" s="461"/>
      <c r="B17" s="461"/>
      <c r="C17" s="461"/>
      <c r="D17" s="461"/>
      <c r="E17" s="461"/>
      <c r="F17" s="461"/>
      <c r="G17" s="461"/>
      <c r="H17" s="461"/>
      <c r="I17" s="461"/>
      <c r="J17" s="461"/>
      <c r="K17" s="461"/>
      <c r="L17" s="461"/>
      <c r="M17" s="461"/>
      <c r="N17" s="461"/>
      <c r="P17" s="16" t="s">
        <v>226</v>
      </c>
      <c r="Q17" s="16" t="s">
        <v>227</v>
      </c>
    </row>
    <row r="18" spans="1:17">
      <c r="A18" s="461"/>
      <c r="B18" s="461"/>
      <c r="C18" s="461"/>
      <c r="D18" s="461"/>
      <c r="E18" s="461"/>
      <c r="F18" s="461"/>
      <c r="G18" s="461"/>
      <c r="H18" s="461"/>
      <c r="I18" s="461"/>
      <c r="J18" s="461"/>
      <c r="K18" s="461"/>
      <c r="L18" s="461"/>
      <c r="M18" s="461"/>
      <c r="N18" s="461"/>
      <c r="P18" s="16" t="s">
        <v>228</v>
      </c>
      <c r="Q18" s="16" t="s">
        <v>229</v>
      </c>
    </row>
    <row r="19" spans="1:17">
      <c r="A19" s="461"/>
      <c r="B19" s="461"/>
      <c r="C19" s="461"/>
      <c r="D19" s="461"/>
      <c r="E19" s="461"/>
      <c r="F19" s="461"/>
      <c r="G19" s="461"/>
      <c r="H19" s="461"/>
      <c r="I19" s="461"/>
      <c r="J19" s="461"/>
      <c r="K19" s="461"/>
      <c r="L19" s="461"/>
      <c r="M19" s="461"/>
      <c r="N19" s="461"/>
      <c r="P19" s="16" t="s">
        <v>230</v>
      </c>
      <c r="Q19" s="16" t="s">
        <v>157</v>
      </c>
    </row>
    <row r="20" spans="1:17">
      <c r="A20" s="461"/>
      <c r="B20" s="461"/>
      <c r="C20" s="461"/>
      <c r="D20" s="461"/>
      <c r="E20" s="461"/>
      <c r="F20" s="461"/>
      <c r="G20" s="461"/>
      <c r="H20" s="461"/>
      <c r="I20" s="461"/>
      <c r="J20" s="461"/>
      <c r="K20" s="461"/>
      <c r="L20" s="461"/>
      <c r="M20" s="461"/>
      <c r="N20" s="461"/>
      <c r="P20" s="16" t="s">
        <v>231</v>
      </c>
      <c r="Q20" s="16" t="s">
        <v>232</v>
      </c>
    </row>
    <row r="21" spans="1:17">
      <c r="A21" s="461"/>
      <c r="B21" s="461"/>
      <c r="C21" s="461"/>
      <c r="D21" s="461"/>
      <c r="E21" s="461"/>
      <c r="F21" s="461"/>
      <c r="G21" s="461"/>
      <c r="H21" s="461"/>
      <c r="I21" s="461"/>
      <c r="J21" s="461"/>
      <c r="K21" s="461"/>
      <c r="L21" s="461"/>
      <c r="M21" s="461"/>
      <c r="N21" s="461"/>
      <c r="P21" s="16" t="s">
        <v>233</v>
      </c>
      <c r="Q21" s="17" t="s">
        <v>128</v>
      </c>
    </row>
    <row r="22" spans="1:17">
      <c r="A22" s="461"/>
      <c r="B22" s="461"/>
      <c r="C22" s="461"/>
      <c r="D22" s="461"/>
      <c r="E22" s="461"/>
      <c r="F22" s="461"/>
      <c r="G22" s="461"/>
      <c r="H22" s="461"/>
      <c r="I22" s="461"/>
      <c r="J22" s="461"/>
      <c r="K22" s="461"/>
      <c r="L22" s="461"/>
      <c r="M22" s="461"/>
      <c r="N22" s="461"/>
      <c r="P22" s="16" t="s">
        <v>234</v>
      </c>
      <c r="Q22" s="18" t="s">
        <v>120</v>
      </c>
    </row>
    <row r="23" spans="1:17">
      <c r="A23" s="461"/>
      <c r="B23" s="461"/>
      <c r="C23" s="461"/>
      <c r="D23" s="461"/>
      <c r="E23" s="461"/>
      <c r="F23" s="461"/>
      <c r="G23" s="461"/>
      <c r="H23" s="461"/>
      <c r="I23" s="461"/>
      <c r="J23" s="461"/>
      <c r="K23" s="461"/>
      <c r="L23" s="461"/>
      <c r="M23" s="461"/>
      <c r="N23" s="461"/>
      <c r="P23" s="16" t="s">
        <v>68</v>
      </c>
      <c r="Q23" s="17" t="s">
        <v>110</v>
      </c>
    </row>
    <row r="24" spans="1:17">
      <c r="A24" s="461"/>
      <c r="B24" s="461"/>
      <c r="C24" s="461"/>
      <c r="D24" s="461"/>
      <c r="E24" s="461"/>
      <c r="F24" s="461"/>
      <c r="G24" s="461"/>
      <c r="H24" s="461"/>
      <c r="I24" s="461"/>
      <c r="J24" s="461"/>
      <c r="K24" s="461"/>
      <c r="L24" s="461"/>
      <c r="M24" s="461"/>
      <c r="N24" s="461"/>
      <c r="P24" s="16" t="s">
        <v>235</v>
      </c>
      <c r="Q24" s="18" t="s">
        <v>236</v>
      </c>
    </row>
    <row r="25" spans="1:17">
      <c r="A25" s="461"/>
      <c r="B25" s="461"/>
      <c r="C25" s="461"/>
      <c r="D25" s="461"/>
      <c r="E25" s="461"/>
      <c r="F25" s="461"/>
      <c r="G25" s="461"/>
      <c r="H25" s="461"/>
      <c r="I25" s="461"/>
      <c r="J25" s="461"/>
      <c r="K25" s="461"/>
      <c r="L25" s="461"/>
      <c r="M25" s="461"/>
      <c r="N25" s="461"/>
      <c r="P25" s="16" t="s">
        <v>70</v>
      </c>
      <c r="Q25" s="18" t="s">
        <v>237</v>
      </c>
    </row>
    <row r="26" spans="1:17">
      <c r="P26" s="16" t="s">
        <v>238</v>
      </c>
      <c r="Q26" s="18" t="s">
        <v>239</v>
      </c>
    </row>
    <row r="27" spans="1:17">
      <c r="P27" s="16" t="s">
        <v>240</v>
      </c>
      <c r="Q27" s="18" t="s">
        <v>239</v>
      </c>
    </row>
    <row r="28" spans="1:17">
      <c r="P28" s="16" t="s">
        <v>73</v>
      </c>
      <c r="Q28" s="18" t="s">
        <v>241</v>
      </c>
    </row>
    <row r="29" spans="1:17">
      <c r="P29" s="16" t="s">
        <v>242</v>
      </c>
      <c r="Q29" s="18" t="s">
        <v>243</v>
      </c>
    </row>
    <row r="30" spans="1:17">
      <c r="P30" s="16" t="s">
        <v>72</v>
      </c>
      <c r="Q30" s="18" t="s">
        <v>239</v>
      </c>
    </row>
    <row r="31" spans="1:17">
      <c r="P31" s="16" t="s">
        <v>244</v>
      </c>
      <c r="Q31" s="18" t="s">
        <v>239</v>
      </c>
    </row>
    <row r="32" spans="1:17">
      <c r="P32" s="16" t="s">
        <v>75</v>
      </c>
      <c r="Q32" s="604" t="s">
        <v>80</v>
      </c>
    </row>
    <row r="33" spans="16:17">
      <c r="P33" s="16" t="s">
        <v>245</v>
      </c>
      <c r="Q33" s="604" t="s">
        <v>686</v>
      </c>
    </row>
    <row r="34" spans="16:17">
      <c r="P34" s="16" t="s">
        <v>246</v>
      </c>
      <c r="Q34" s="732" t="s">
        <v>840</v>
      </c>
    </row>
    <row r="35" spans="16:17">
      <c r="P35" s="16" t="s">
        <v>74</v>
      </c>
    </row>
    <row r="36" spans="16:17">
      <c r="P36" s="16" t="s">
        <v>247</v>
      </c>
    </row>
    <row r="37" spans="16:17">
      <c r="P37" s="16" t="s">
        <v>248</v>
      </c>
    </row>
    <row r="38" spans="16:17">
      <c r="P38" s="16" t="s">
        <v>107</v>
      </c>
    </row>
  </sheetData>
  <phoneticPr fontId="14"/>
  <pageMargins left="0.74803149606299213" right="0.74803149606299213" top="0.98425196850393704" bottom="0.98425196850393704" header="0.51181102362204722" footer="0.51181102362204722"/>
  <pageSetup paperSize="9" scale="52" firstPageNumber="0" orientation="landscape" verticalDpi="300" r:id="rId1"/>
  <headerFooter alignWithMargins="0">
    <oddHeader>&amp;R&amp;"ＭＳ ゴシック,標準"&amp;14生産技術体系作成様式　様式②－10（科目設定）</oddHeader>
    <oddFooter>&amp;C&amp;14 12</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2:L51"/>
  <sheetViews>
    <sheetView zoomScale="85" zoomScaleNormal="85" workbookViewId="0">
      <selection activeCell="A2" sqref="A2"/>
    </sheetView>
  </sheetViews>
  <sheetFormatPr defaultRowHeight="13.5"/>
  <cols>
    <col min="2" max="2" width="3.375" customWidth="1"/>
    <col min="8" max="8" width="9.125" customWidth="1"/>
    <col min="9" max="9" width="9.25" customWidth="1"/>
    <col min="10" max="10" width="9" customWidth="1"/>
    <col min="11" max="11" width="8.625" customWidth="1"/>
  </cols>
  <sheetData>
    <row r="2" spans="1:12" ht="17.25">
      <c r="A2" s="303" t="s">
        <v>849</v>
      </c>
    </row>
    <row r="3" spans="1:12">
      <c r="A3" s="548"/>
      <c r="B3" s="548"/>
      <c r="C3" s="548"/>
      <c r="D3" s="548"/>
      <c r="E3" s="548"/>
      <c r="F3" s="548"/>
      <c r="G3" s="548"/>
      <c r="H3" s="548"/>
      <c r="I3" s="548"/>
      <c r="J3" s="548"/>
      <c r="K3" s="548"/>
      <c r="L3" s="548"/>
    </row>
    <row r="4" spans="1:12">
      <c r="A4" s="548"/>
      <c r="B4" s="548"/>
      <c r="C4" s="548"/>
      <c r="D4" s="549"/>
      <c r="E4" s="549"/>
      <c r="F4" s="549"/>
      <c r="G4" s="549"/>
      <c r="H4" s="549"/>
      <c r="I4" s="549"/>
      <c r="J4" s="548"/>
      <c r="K4" s="548"/>
      <c r="L4" s="548"/>
    </row>
    <row r="5" spans="1:12">
      <c r="A5" s="548"/>
      <c r="B5" s="548"/>
      <c r="C5" s="548"/>
      <c r="D5" s="549"/>
      <c r="E5" s="549"/>
      <c r="F5" s="549"/>
      <c r="G5" s="549"/>
      <c r="H5" s="549"/>
      <c r="I5" s="549"/>
      <c r="J5" s="548"/>
      <c r="K5" s="548"/>
      <c r="L5" s="548"/>
    </row>
    <row r="6" spans="1:12">
      <c r="A6" s="548"/>
      <c r="B6" s="548"/>
      <c r="C6" s="548"/>
      <c r="D6" s="549"/>
      <c r="E6" s="549"/>
      <c r="F6" s="549"/>
      <c r="G6" s="549"/>
      <c r="H6" s="549"/>
      <c r="I6" s="549"/>
      <c r="J6" s="548"/>
      <c r="K6" s="548"/>
      <c r="L6" s="548"/>
    </row>
    <row r="7" spans="1:12">
      <c r="A7" s="548"/>
      <c r="B7" s="548"/>
      <c r="C7" s="548"/>
      <c r="D7" s="549"/>
      <c r="E7" s="549"/>
      <c r="F7" s="549"/>
      <c r="G7" s="549"/>
      <c r="H7" s="549"/>
      <c r="I7" s="549"/>
      <c r="J7" s="548"/>
      <c r="K7" s="548"/>
      <c r="L7" s="548"/>
    </row>
    <row r="8" spans="1:12">
      <c r="A8" s="548"/>
      <c r="B8" s="548"/>
      <c r="C8" s="548"/>
      <c r="D8" s="549"/>
      <c r="E8" s="549"/>
      <c r="F8" s="549"/>
      <c r="G8" s="549"/>
      <c r="H8" s="549"/>
      <c r="I8" s="549"/>
      <c r="J8" s="548"/>
      <c r="K8" s="548"/>
      <c r="L8" s="548"/>
    </row>
    <row r="9" spans="1:12">
      <c r="A9" s="548"/>
      <c r="B9" s="548"/>
      <c r="C9" s="548"/>
      <c r="D9" s="549"/>
      <c r="E9" s="549"/>
      <c r="F9" s="549"/>
      <c r="G9" s="549"/>
      <c r="H9" s="549"/>
      <c r="I9" s="549"/>
      <c r="J9" s="548"/>
      <c r="K9" s="548"/>
      <c r="L9" s="548"/>
    </row>
    <row r="10" spans="1:12">
      <c r="A10" s="548"/>
      <c r="B10" s="548"/>
      <c r="C10" s="548"/>
      <c r="D10" s="549"/>
      <c r="E10" s="549"/>
      <c r="F10" s="549"/>
      <c r="G10" s="549"/>
      <c r="H10" s="549"/>
      <c r="I10" s="549"/>
      <c r="J10" s="548"/>
      <c r="K10" s="548"/>
      <c r="L10" s="548"/>
    </row>
    <row r="11" spans="1:12">
      <c r="A11" s="548"/>
      <c r="B11" s="548"/>
      <c r="C11" s="548"/>
      <c r="D11" s="549"/>
      <c r="E11" s="549"/>
      <c r="F11" s="549"/>
      <c r="G11" s="549"/>
      <c r="H11" s="549"/>
      <c r="I11" s="549"/>
      <c r="J11" s="548"/>
      <c r="K11" s="548"/>
      <c r="L11" s="548"/>
    </row>
    <row r="12" spans="1:12">
      <c r="A12" s="548"/>
      <c r="B12" s="548"/>
      <c r="C12" s="548"/>
      <c r="D12" s="549"/>
      <c r="E12" s="549"/>
      <c r="F12" s="549"/>
      <c r="G12" s="549"/>
      <c r="H12" s="549"/>
      <c r="I12" s="549"/>
      <c r="J12" s="548"/>
      <c r="K12" s="548"/>
      <c r="L12" s="548"/>
    </row>
    <row r="13" spans="1:12">
      <c r="A13" s="548"/>
      <c r="B13" s="548"/>
      <c r="C13" s="548"/>
      <c r="D13" s="549"/>
      <c r="E13" s="549"/>
      <c r="F13" s="549"/>
      <c r="G13" s="549"/>
      <c r="H13" s="549"/>
      <c r="I13" s="549"/>
      <c r="J13" s="548"/>
      <c r="K13" s="548"/>
      <c r="L13" s="548"/>
    </row>
    <row r="14" spans="1:12">
      <c r="A14" s="548"/>
      <c r="B14" s="548"/>
      <c r="C14" s="548"/>
      <c r="D14" s="549"/>
      <c r="E14" s="549"/>
      <c r="F14" s="549"/>
      <c r="G14" s="549"/>
      <c r="H14" s="549"/>
      <c r="I14" s="549"/>
      <c r="J14" s="548"/>
      <c r="K14" s="548"/>
      <c r="L14" s="548"/>
    </row>
    <row r="15" spans="1:12">
      <c r="A15" s="548"/>
      <c r="B15" s="548"/>
      <c r="C15" s="548"/>
      <c r="D15" s="549"/>
      <c r="E15" s="549"/>
      <c r="F15" s="549"/>
      <c r="G15" s="549"/>
      <c r="H15" s="549"/>
      <c r="I15" s="549"/>
      <c r="J15" s="548"/>
      <c r="K15" s="548"/>
      <c r="L15" s="548"/>
    </row>
    <row r="16" spans="1:12">
      <c r="A16" s="548"/>
      <c r="B16" s="548"/>
      <c r="C16" s="548"/>
      <c r="D16" s="549"/>
      <c r="E16" s="549"/>
      <c r="F16" s="549"/>
      <c r="G16" s="549"/>
      <c r="H16" s="549"/>
      <c r="I16" s="549"/>
      <c r="J16" s="548"/>
      <c r="K16" s="548"/>
      <c r="L16" s="548"/>
    </row>
    <row r="17" spans="1:12">
      <c r="A17" s="548"/>
      <c r="B17" s="548"/>
      <c r="C17" s="548"/>
      <c r="D17" s="549"/>
      <c r="E17" s="549"/>
      <c r="F17" s="549"/>
      <c r="G17" s="549"/>
      <c r="H17" s="549"/>
      <c r="I17" s="549"/>
      <c r="J17" s="548"/>
      <c r="K17" s="548"/>
      <c r="L17" s="548"/>
    </row>
    <row r="18" spans="1:12">
      <c r="A18" s="548"/>
      <c r="B18" s="548"/>
      <c r="C18" s="548"/>
      <c r="D18" s="549"/>
      <c r="E18" s="549"/>
      <c r="F18" s="549"/>
      <c r="G18" s="549"/>
      <c r="H18" s="549"/>
      <c r="I18" s="549"/>
      <c r="J18" s="548"/>
      <c r="K18" s="548"/>
      <c r="L18" s="548"/>
    </row>
    <row r="19" spans="1:12">
      <c r="A19" s="548"/>
      <c r="B19" s="548"/>
      <c r="C19" s="548"/>
      <c r="D19" s="549"/>
      <c r="E19" s="549"/>
      <c r="F19" s="549"/>
      <c r="G19" s="549"/>
      <c r="H19" s="549"/>
      <c r="I19" s="549"/>
      <c r="J19" s="548"/>
      <c r="K19" s="904"/>
      <c r="L19" s="548"/>
    </row>
    <row r="20" spans="1:12">
      <c r="A20" s="548"/>
      <c r="B20" s="548"/>
      <c r="C20" s="548"/>
      <c r="D20" s="549"/>
      <c r="E20" s="549"/>
      <c r="F20" s="549"/>
      <c r="G20" s="549"/>
      <c r="H20" s="549"/>
      <c r="I20" s="549"/>
      <c r="J20" s="548"/>
      <c r="K20" s="904"/>
      <c r="L20" s="548"/>
    </row>
    <row r="21" spans="1:12">
      <c r="A21" s="548"/>
      <c r="B21" s="548"/>
      <c r="C21" s="548"/>
      <c r="D21" s="549"/>
      <c r="E21" s="549"/>
      <c r="F21" s="549"/>
      <c r="G21" s="549"/>
      <c r="H21" s="549"/>
      <c r="I21" s="549"/>
      <c r="J21" s="548"/>
      <c r="K21" s="548"/>
      <c r="L21" s="548"/>
    </row>
    <row r="22" spans="1:12">
      <c r="A22" s="548"/>
      <c r="B22" s="548"/>
      <c r="C22" s="548"/>
      <c r="D22" s="549"/>
      <c r="E22" s="549"/>
      <c r="F22" s="549"/>
      <c r="G22" s="549"/>
      <c r="H22" s="549"/>
      <c r="I22" s="549"/>
      <c r="J22" s="548"/>
      <c r="K22" s="548"/>
      <c r="L22" s="548"/>
    </row>
    <row r="23" spans="1:12">
      <c r="A23" s="548"/>
      <c r="B23" s="548"/>
      <c r="C23" s="548"/>
      <c r="D23" s="549"/>
      <c r="E23" s="549"/>
      <c r="F23" s="549"/>
      <c r="G23" s="549"/>
      <c r="H23" s="549"/>
      <c r="I23" s="549"/>
      <c r="J23" s="548"/>
      <c r="K23" s="548"/>
      <c r="L23" s="548"/>
    </row>
    <row r="24" spans="1:12">
      <c r="A24" s="548"/>
      <c r="B24" s="548"/>
      <c r="C24" s="548"/>
      <c r="D24" s="549"/>
      <c r="E24" s="549"/>
      <c r="F24" s="549"/>
      <c r="G24" s="549"/>
      <c r="H24" s="549"/>
      <c r="I24" s="549"/>
      <c r="J24" s="548"/>
      <c r="K24" s="548"/>
      <c r="L24" s="548"/>
    </row>
    <row r="25" spans="1:12">
      <c r="A25" s="548"/>
      <c r="B25" s="548"/>
      <c r="C25" s="548"/>
      <c r="D25" s="549"/>
      <c r="E25" s="549"/>
      <c r="F25" s="549"/>
      <c r="G25" s="549"/>
      <c r="H25" s="549"/>
      <c r="I25" s="549"/>
      <c r="J25" s="548"/>
      <c r="K25" s="548"/>
      <c r="L25" s="548"/>
    </row>
    <row r="26" spans="1:12">
      <c r="A26" s="548"/>
      <c r="B26" s="548"/>
      <c r="C26" s="548"/>
      <c r="D26" s="549"/>
      <c r="E26" s="549"/>
      <c r="F26" s="549"/>
      <c r="G26" s="549"/>
      <c r="H26" s="549"/>
      <c r="I26" s="549"/>
      <c r="J26" s="548"/>
      <c r="K26" s="548"/>
      <c r="L26" s="548"/>
    </row>
    <row r="27" spans="1:12">
      <c r="A27" s="548"/>
      <c r="B27" s="548"/>
      <c r="C27" s="548"/>
      <c r="D27" s="549"/>
      <c r="E27" s="549"/>
      <c r="F27" s="549"/>
      <c r="G27" s="549"/>
      <c r="H27" s="549"/>
      <c r="I27" s="549"/>
      <c r="J27" s="548"/>
      <c r="K27" s="548"/>
      <c r="L27" s="548"/>
    </row>
    <row r="28" spans="1:12">
      <c r="A28" s="548"/>
      <c r="B28" s="548"/>
      <c r="C28" s="548"/>
      <c r="D28" s="549"/>
      <c r="E28" s="549"/>
      <c r="F28" s="549"/>
      <c r="G28" s="549"/>
      <c r="H28" s="549"/>
      <c r="I28" s="549"/>
      <c r="J28" s="548"/>
      <c r="K28" s="548"/>
      <c r="L28" s="548"/>
    </row>
    <row r="29" spans="1:12">
      <c r="A29" s="548"/>
      <c r="B29" s="548"/>
      <c r="C29" s="548"/>
      <c r="D29" s="548"/>
      <c r="E29" s="548"/>
      <c r="F29" s="548"/>
      <c r="G29" s="548"/>
      <c r="H29" s="548"/>
      <c r="I29" s="548"/>
      <c r="J29" s="548"/>
      <c r="K29" s="548"/>
      <c r="L29" s="548"/>
    </row>
    <row r="30" spans="1:12">
      <c r="A30" s="548"/>
      <c r="B30" s="548"/>
      <c r="C30" s="548"/>
      <c r="D30" s="548"/>
      <c r="E30" s="548"/>
      <c r="F30" s="548"/>
      <c r="G30" s="548"/>
      <c r="H30" s="548"/>
      <c r="I30" s="548"/>
      <c r="J30" s="548"/>
      <c r="K30" s="548"/>
      <c r="L30" s="548"/>
    </row>
    <row r="31" spans="1:12">
      <c r="A31" s="548"/>
      <c r="B31" s="548"/>
      <c r="C31" s="548"/>
      <c r="D31" s="548"/>
      <c r="E31" s="548"/>
      <c r="F31" s="548"/>
      <c r="G31" s="548"/>
      <c r="H31" s="548"/>
      <c r="I31" s="548"/>
      <c r="J31" s="548"/>
      <c r="K31" s="548"/>
      <c r="L31" s="548"/>
    </row>
    <row r="32" spans="1:12">
      <c r="A32" s="548"/>
      <c r="B32" s="548"/>
      <c r="C32" s="548"/>
      <c r="D32" s="548"/>
      <c r="E32" s="548"/>
      <c r="F32" s="548"/>
      <c r="G32" s="548"/>
      <c r="H32" s="548"/>
      <c r="I32" s="548"/>
      <c r="J32" s="548"/>
      <c r="K32" s="548"/>
      <c r="L32" s="548"/>
    </row>
    <row r="33" spans="1:12">
      <c r="A33" s="548"/>
      <c r="B33" s="548"/>
      <c r="C33" s="548"/>
      <c r="D33" s="548"/>
      <c r="E33" s="548"/>
      <c r="F33" s="548"/>
      <c r="G33" s="548"/>
      <c r="H33" s="548"/>
      <c r="I33" s="548"/>
      <c r="J33" s="548"/>
      <c r="K33" s="548"/>
      <c r="L33" s="548"/>
    </row>
    <row r="34" spans="1:12">
      <c r="A34" s="548"/>
      <c r="B34" s="548"/>
      <c r="C34" s="548"/>
      <c r="D34" s="548"/>
      <c r="E34" s="548"/>
      <c r="F34" s="548"/>
      <c r="G34" s="548"/>
      <c r="H34" s="548"/>
      <c r="I34" s="548"/>
      <c r="J34" s="548"/>
      <c r="K34" s="548"/>
      <c r="L34" s="548"/>
    </row>
    <row r="35" spans="1:12">
      <c r="A35" s="548"/>
      <c r="B35" s="548"/>
      <c r="C35" s="548"/>
      <c r="D35" s="548"/>
      <c r="E35" s="548"/>
      <c r="F35" s="548"/>
      <c r="G35" s="548"/>
      <c r="H35" s="548"/>
      <c r="I35" s="548"/>
      <c r="J35" s="548"/>
      <c r="K35" s="548"/>
      <c r="L35" s="548"/>
    </row>
    <row r="36" spans="1:12">
      <c r="A36" s="548"/>
      <c r="B36" s="548"/>
      <c r="C36" s="548"/>
      <c r="D36" s="548"/>
      <c r="E36" s="548"/>
      <c r="F36" s="548"/>
      <c r="G36" s="548"/>
      <c r="H36" s="548"/>
      <c r="I36" s="548"/>
      <c r="J36" s="548"/>
      <c r="K36" s="548"/>
      <c r="L36" s="548"/>
    </row>
    <row r="37" spans="1:12">
      <c r="A37" s="548"/>
      <c r="B37" s="548"/>
      <c r="C37" s="548"/>
      <c r="D37" s="548"/>
      <c r="E37" s="548"/>
      <c r="F37" s="548"/>
      <c r="G37" s="548"/>
      <c r="H37" s="548"/>
      <c r="I37" s="548"/>
      <c r="J37" s="548"/>
      <c r="K37" s="548"/>
      <c r="L37" s="548"/>
    </row>
    <row r="38" spans="1:12">
      <c r="A38" s="548"/>
      <c r="B38" s="548"/>
      <c r="C38" s="548"/>
      <c r="D38" s="548"/>
      <c r="E38" s="548"/>
      <c r="F38" s="548"/>
      <c r="G38" s="548"/>
      <c r="H38" s="548"/>
      <c r="I38" s="548"/>
      <c r="J38" s="548"/>
      <c r="K38" s="548"/>
      <c r="L38" s="548"/>
    </row>
    <row r="39" spans="1:12">
      <c r="A39" s="548"/>
      <c r="B39" s="548"/>
      <c r="C39" s="548"/>
      <c r="D39" s="548"/>
      <c r="E39" s="548"/>
      <c r="F39" s="548"/>
      <c r="G39" s="548"/>
      <c r="H39" s="548"/>
      <c r="I39" s="548"/>
      <c r="J39" s="548"/>
      <c r="K39" s="548"/>
      <c r="L39" s="548"/>
    </row>
    <row r="40" spans="1:12">
      <c r="A40" s="548"/>
      <c r="B40" s="548"/>
      <c r="C40" s="548"/>
      <c r="D40" s="548"/>
      <c r="E40" s="548"/>
      <c r="F40" s="548"/>
      <c r="G40" s="548"/>
      <c r="H40" s="548"/>
      <c r="I40" s="548"/>
      <c r="J40" s="548"/>
      <c r="K40" s="548"/>
      <c r="L40" s="548"/>
    </row>
    <row r="41" spans="1:12">
      <c r="A41" s="548"/>
      <c r="B41" s="548"/>
      <c r="C41" s="548"/>
      <c r="D41" s="548"/>
      <c r="E41" s="548"/>
      <c r="F41" s="548"/>
      <c r="G41" s="548"/>
      <c r="H41" s="548"/>
      <c r="I41" s="548"/>
      <c r="J41" s="548"/>
      <c r="K41" s="548"/>
      <c r="L41" s="548"/>
    </row>
    <row r="42" spans="1:12">
      <c r="A42" s="548"/>
      <c r="B42" s="548"/>
      <c r="C42" s="548"/>
      <c r="D42" s="548"/>
      <c r="E42" s="548"/>
      <c r="F42" s="548"/>
      <c r="G42" s="548"/>
      <c r="H42" s="548"/>
      <c r="I42" s="548"/>
      <c r="J42" s="548"/>
      <c r="K42" s="548"/>
      <c r="L42" s="548"/>
    </row>
    <row r="43" spans="1:12">
      <c r="A43" s="548"/>
      <c r="B43" s="548"/>
      <c r="C43" s="548"/>
      <c r="D43" s="548"/>
      <c r="E43" s="548"/>
      <c r="F43" s="548"/>
      <c r="G43" s="548"/>
      <c r="H43" s="548"/>
      <c r="I43" s="548"/>
      <c r="J43" s="548"/>
      <c r="K43" s="548"/>
      <c r="L43" s="548"/>
    </row>
    <row r="44" spans="1:12">
      <c r="A44" s="548"/>
      <c r="B44" s="548"/>
      <c r="C44" s="548"/>
      <c r="D44" s="548"/>
      <c r="E44" s="548"/>
      <c r="F44" s="548"/>
      <c r="G44" s="548"/>
      <c r="H44" s="548"/>
      <c r="I44" s="548"/>
      <c r="J44" s="548"/>
      <c r="K44" s="548"/>
      <c r="L44" s="548"/>
    </row>
    <row r="45" spans="1:12">
      <c r="A45" s="548"/>
      <c r="B45" s="548"/>
      <c r="C45" s="548"/>
      <c r="D45" s="548"/>
      <c r="E45" s="548"/>
      <c r="F45" s="548"/>
      <c r="G45" s="548"/>
      <c r="H45" s="548"/>
      <c r="I45" s="548"/>
      <c r="J45" s="548"/>
      <c r="K45" s="548"/>
      <c r="L45" s="548"/>
    </row>
    <row r="46" spans="1:12">
      <c r="A46" s="548"/>
      <c r="B46" s="548"/>
      <c r="C46" s="548"/>
      <c r="D46" s="548"/>
      <c r="E46" s="548"/>
      <c r="F46" s="548"/>
      <c r="G46" s="548"/>
      <c r="H46" s="548"/>
      <c r="I46" s="548"/>
      <c r="J46" s="548"/>
      <c r="K46" s="548"/>
      <c r="L46" s="548"/>
    </row>
    <row r="47" spans="1:12">
      <c r="A47" s="548"/>
      <c r="B47" s="548"/>
      <c r="C47" s="548"/>
      <c r="D47" s="548"/>
      <c r="E47" s="548"/>
      <c r="F47" s="548"/>
      <c r="G47" s="548"/>
      <c r="H47" s="548"/>
      <c r="I47" s="548"/>
      <c r="J47" s="548"/>
      <c r="K47" s="548"/>
      <c r="L47" s="548"/>
    </row>
    <row r="48" spans="1:12">
      <c r="A48" s="548"/>
      <c r="B48" s="548"/>
      <c r="C48" s="548"/>
      <c r="D48" s="548"/>
      <c r="E48" s="548"/>
      <c r="F48" s="548"/>
      <c r="G48" s="548"/>
      <c r="H48" s="548"/>
      <c r="I48" s="548"/>
      <c r="J48" s="548"/>
      <c r="K48" s="548"/>
      <c r="L48" s="548"/>
    </row>
    <row r="49" spans="1:12">
      <c r="A49" s="548"/>
      <c r="B49" s="548"/>
      <c r="C49" s="548"/>
      <c r="D49" s="548"/>
      <c r="E49" s="548"/>
      <c r="F49" s="548"/>
      <c r="G49" s="548"/>
      <c r="H49" s="548"/>
      <c r="I49" s="548"/>
      <c r="J49" s="548"/>
      <c r="K49" s="548"/>
      <c r="L49" s="548"/>
    </row>
    <row r="50" spans="1:12">
      <c r="A50" s="548"/>
      <c r="B50" s="548"/>
      <c r="C50" s="548"/>
      <c r="D50" s="548"/>
      <c r="E50" s="548"/>
      <c r="F50" s="548"/>
      <c r="G50" s="548"/>
      <c r="H50" s="548"/>
      <c r="I50" s="548"/>
      <c r="J50" s="548"/>
      <c r="K50" s="548"/>
      <c r="L50" s="548"/>
    </row>
    <row r="51" spans="1:12">
      <c r="A51" s="548"/>
      <c r="B51" s="548"/>
      <c r="C51" s="548"/>
      <c r="D51" s="548"/>
      <c r="E51" s="548"/>
      <c r="F51" s="548"/>
      <c r="G51" s="548"/>
      <c r="H51" s="548"/>
      <c r="I51" s="548"/>
      <c r="J51" s="548"/>
      <c r="K51" s="548"/>
      <c r="L51" s="548"/>
    </row>
  </sheetData>
  <mergeCells count="1">
    <mergeCell ref="K19:K20"/>
  </mergeCells>
  <phoneticPr fontId="14"/>
  <pageMargins left="0.9055118110236221" right="0.9055118110236221" top="1.3385826771653544" bottom="0.74803149606299213" header="1.1023622047244095" footer="0.31496062992125984"/>
  <pageSetup paperSize="9" scale="82" fitToHeight="0" orientation="portrait" r:id="rId1"/>
  <headerFooter>
    <oddHeader>&amp;L肉用牛（繁殖）耕作放棄地親子放牧（全域）</oddHeader>
  </headerFooter>
  <drawing r:id="rId2"/>
</worksheet>
</file>

<file path=xl/worksheets/sheet12.xml><?xml version="1.0" encoding="utf-8"?>
<worksheet xmlns="http://schemas.openxmlformats.org/spreadsheetml/2006/main" xmlns:r="http://schemas.openxmlformats.org/officeDocument/2006/relationships">
  <dimension ref="A1:AC71"/>
  <sheetViews>
    <sheetView workbookViewId="0">
      <selection activeCell="K55" sqref="K55:N57"/>
    </sheetView>
  </sheetViews>
  <sheetFormatPr defaultRowHeight="13.5"/>
  <cols>
    <col min="1" max="1" width="9.5" bestFit="1" customWidth="1"/>
    <col min="2" max="2" width="10.625" customWidth="1"/>
    <col min="5" max="5" width="9.25" bestFit="1" customWidth="1"/>
    <col min="9" max="9" width="9.875" bestFit="1" customWidth="1"/>
    <col min="10" max="10" width="8.5" customWidth="1"/>
    <col min="12" max="12" width="8.25" customWidth="1"/>
    <col min="14" max="14" width="8.5" customWidth="1"/>
    <col min="16" max="17" width="9.5" bestFit="1" customWidth="1"/>
    <col min="18" max="18" width="9.875" bestFit="1" customWidth="1"/>
    <col min="25" max="25" width="9.875" bestFit="1" customWidth="1"/>
    <col min="27" max="27" width="9.125" bestFit="1" customWidth="1"/>
    <col min="29" max="29" width="9.125" bestFit="1" customWidth="1"/>
  </cols>
  <sheetData>
    <row r="1" spans="1:29">
      <c r="A1" s="550" t="s">
        <v>538</v>
      </c>
    </row>
    <row r="2" spans="1:29">
      <c r="A2" s="550" t="s">
        <v>539</v>
      </c>
    </row>
    <row r="4" spans="1:29" ht="17.25">
      <c r="A4" s="551" t="s">
        <v>540</v>
      </c>
      <c r="P4" s="551" t="s">
        <v>541</v>
      </c>
    </row>
    <row r="5" spans="1:29">
      <c r="A5" s="552" t="s">
        <v>542</v>
      </c>
      <c r="B5" s="552" t="s">
        <v>543</v>
      </c>
      <c r="C5" s="552" t="s">
        <v>544</v>
      </c>
      <c r="D5" s="552" t="s">
        <v>545</v>
      </c>
      <c r="E5" s="552" t="s">
        <v>546</v>
      </c>
      <c r="F5" s="552" t="s">
        <v>547</v>
      </c>
      <c r="G5" t="s">
        <v>548</v>
      </c>
      <c r="H5" s="552" t="s">
        <v>549</v>
      </c>
      <c r="I5" s="906" t="s">
        <v>550</v>
      </c>
      <c r="J5" s="906"/>
      <c r="K5" s="906" t="s">
        <v>551</v>
      </c>
      <c r="L5" s="906"/>
      <c r="M5" s="906" t="s">
        <v>552</v>
      </c>
      <c r="N5" s="906"/>
      <c r="P5" s="552" t="s">
        <v>542</v>
      </c>
      <c r="Q5" s="552" t="s">
        <v>553</v>
      </c>
      <c r="R5" s="552" t="s">
        <v>544</v>
      </c>
      <c r="S5" s="552" t="s">
        <v>545</v>
      </c>
      <c r="T5" s="552" t="s">
        <v>546</v>
      </c>
      <c r="U5" s="552" t="s">
        <v>547</v>
      </c>
      <c r="V5" t="s">
        <v>548</v>
      </c>
      <c r="W5" s="552" t="s">
        <v>549</v>
      </c>
      <c r="X5" s="906" t="s">
        <v>550</v>
      </c>
      <c r="Y5" s="906"/>
      <c r="Z5" s="906" t="s">
        <v>551</v>
      </c>
      <c r="AA5" s="906"/>
      <c r="AB5" s="906" t="s">
        <v>552</v>
      </c>
      <c r="AC5" s="906"/>
    </row>
    <row r="6" spans="1:29">
      <c r="A6" s="553">
        <v>41751</v>
      </c>
      <c r="B6">
        <v>8</v>
      </c>
      <c r="C6" s="554">
        <v>427680</v>
      </c>
      <c r="D6" s="554">
        <v>500040</v>
      </c>
      <c r="E6" s="554">
        <v>376920</v>
      </c>
      <c r="F6" s="554">
        <v>539</v>
      </c>
      <c r="G6">
        <v>4945</v>
      </c>
      <c r="H6" s="555">
        <f t="shared" ref="H6:H21" si="0">C6/F6</f>
        <v>793.46938775510205</v>
      </c>
      <c r="I6" s="905">
        <f t="shared" ref="I6:I21" si="1">C6*B6</f>
        <v>3421440</v>
      </c>
      <c r="J6" s="905"/>
      <c r="K6" s="905">
        <f t="shared" ref="K6:K21" si="2">F6*B6</f>
        <v>4312</v>
      </c>
      <c r="L6" s="905"/>
      <c r="M6" s="905">
        <f t="shared" ref="M6:M21" si="3">G6*B6</f>
        <v>39560</v>
      </c>
      <c r="N6" s="905"/>
      <c r="P6" s="553">
        <v>41731</v>
      </c>
      <c r="Q6">
        <v>5</v>
      </c>
      <c r="R6" s="555">
        <v>397008</v>
      </c>
      <c r="S6" s="555">
        <v>495720</v>
      </c>
      <c r="T6" s="555">
        <v>245160</v>
      </c>
      <c r="U6">
        <v>590</v>
      </c>
      <c r="V6" s="556">
        <v>3475</v>
      </c>
      <c r="W6" s="557">
        <f t="shared" ref="W6:W40" si="4">R6/U6</f>
        <v>672.89491525423728</v>
      </c>
      <c r="Y6" s="555">
        <f t="shared" ref="Y6:Y39" si="5">R6*Q6</f>
        <v>1985040</v>
      </c>
      <c r="Z6" s="555"/>
      <c r="AA6" s="555">
        <f t="shared" ref="AA6:AA39" si="6">U6*Q6</f>
        <v>2950</v>
      </c>
      <c r="AB6" s="555"/>
      <c r="AC6" s="555">
        <f t="shared" ref="AC6:AC39" si="7">V6*Q6</f>
        <v>17375</v>
      </c>
    </row>
    <row r="7" spans="1:29">
      <c r="A7" s="553">
        <v>41781</v>
      </c>
      <c r="B7">
        <v>4</v>
      </c>
      <c r="C7" s="554">
        <v>454680</v>
      </c>
      <c r="D7" s="554">
        <v>522720</v>
      </c>
      <c r="E7" s="554">
        <v>332640</v>
      </c>
      <c r="F7" s="554">
        <v>554</v>
      </c>
      <c r="G7">
        <v>3512</v>
      </c>
      <c r="H7" s="555">
        <f t="shared" si="0"/>
        <v>820.72202166064983</v>
      </c>
      <c r="I7" s="905">
        <f t="shared" si="1"/>
        <v>1818720</v>
      </c>
      <c r="J7" s="905"/>
      <c r="K7" s="905">
        <f t="shared" si="2"/>
        <v>2216</v>
      </c>
      <c r="L7" s="905"/>
      <c r="M7" s="905">
        <f t="shared" si="3"/>
        <v>14048</v>
      </c>
      <c r="N7" s="905"/>
      <c r="P7" s="553">
        <v>41743</v>
      </c>
      <c r="Q7">
        <v>14</v>
      </c>
      <c r="R7" s="558">
        <v>289363</v>
      </c>
      <c r="S7" s="555">
        <v>399600</v>
      </c>
      <c r="T7" s="555">
        <v>131760</v>
      </c>
      <c r="U7">
        <v>547</v>
      </c>
      <c r="V7" s="556">
        <v>4725</v>
      </c>
      <c r="W7" s="557">
        <f t="shared" si="4"/>
        <v>529</v>
      </c>
      <c r="Y7" s="555">
        <f t="shared" si="5"/>
        <v>4051082</v>
      </c>
      <c r="Z7" s="555"/>
      <c r="AA7" s="555">
        <f t="shared" si="6"/>
        <v>7658</v>
      </c>
      <c r="AB7" s="555"/>
      <c r="AC7" s="555">
        <f t="shared" si="7"/>
        <v>66150</v>
      </c>
    </row>
    <row r="8" spans="1:29">
      <c r="A8" s="553">
        <v>41813</v>
      </c>
      <c r="B8">
        <v>6</v>
      </c>
      <c r="C8" s="554">
        <v>438120</v>
      </c>
      <c r="D8" s="554">
        <v>473040</v>
      </c>
      <c r="E8" s="554">
        <v>396360</v>
      </c>
      <c r="F8" s="554">
        <v>531</v>
      </c>
      <c r="G8">
        <v>3757</v>
      </c>
      <c r="H8" s="555">
        <f t="shared" si="0"/>
        <v>825.08474576271192</v>
      </c>
      <c r="I8" s="905">
        <f t="shared" si="1"/>
        <v>2628720</v>
      </c>
      <c r="J8" s="905"/>
      <c r="K8" s="905">
        <f t="shared" si="2"/>
        <v>3186</v>
      </c>
      <c r="L8" s="905"/>
      <c r="M8" s="905">
        <f t="shared" si="3"/>
        <v>22542</v>
      </c>
      <c r="N8" s="905"/>
      <c r="P8" s="553">
        <v>41751</v>
      </c>
      <c r="Q8">
        <v>17</v>
      </c>
      <c r="R8" s="558">
        <v>269174</v>
      </c>
      <c r="S8" s="555">
        <v>451440</v>
      </c>
      <c r="T8" s="555">
        <v>118800</v>
      </c>
      <c r="U8">
        <v>533</v>
      </c>
      <c r="V8" s="556">
        <v>4693</v>
      </c>
      <c r="W8" s="557">
        <f t="shared" si="4"/>
        <v>505.0168855534709</v>
      </c>
      <c r="Y8" s="555">
        <f t="shared" si="5"/>
        <v>4575958</v>
      </c>
      <c r="Z8" s="555"/>
      <c r="AA8" s="555">
        <f t="shared" si="6"/>
        <v>9061</v>
      </c>
      <c r="AB8" s="555"/>
      <c r="AC8" s="555">
        <f t="shared" si="7"/>
        <v>79781</v>
      </c>
    </row>
    <row r="9" spans="1:29">
      <c r="A9" s="553">
        <v>41842</v>
      </c>
      <c r="B9">
        <v>5</v>
      </c>
      <c r="C9" s="554">
        <v>424008</v>
      </c>
      <c r="D9" s="554">
        <v>495720</v>
      </c>
      <c r="E9" s="554">
        <v>357480</v>
      </c>
      <c r="F9" s="554">
        <v>547</v>
      </c>
      <c r="G9">
        <v>3661</v>
      </c>
      <c r="H9" s="555">
        <f t="shared" si="0"/>
        <v>775.15173674588664</v>
      </c>
      <c r="I9" s="905">
        <f t="shared" si="1"/>
        <v>2120040</v>
      </c>
      <c r="J9" s="905"/>
      <c r="K9" s="905">
        <f t="shared" si="2"/>
        <v>2735</v>
      </c>
      <c r="L9" s="905"/>
      <c r="M9" s="905">
        <f t="shared" si="3"/>
        <v>18305</v>
      </c>
      <c r="N9" s="905"/>
      <c r="P9" s="553">
        <v>41771</v>
      </c>
      <c r="Q9">
        <v>13</v>
      </c>
      <c r="R9" s="558">
        <v>280218</v>
      </c>
      <c r="S9" s="555">
        <v>448200</v>
      </c>
      <c r="T9" s="555">
        <v>68040</v>
      </c>
      <c r="U9">
        <v>508</v>
      </c>
      <c r="V9" s="556">
        <v>3582</v>
      </c>
      <c r="W9" s="557">
        <f t="shared" si="4"/>
        <v>551.61023622047242</v>
      </c>
      <c r="Y9" s="555">
        <f t="shared" si="5"/>
        <v>3642834</v>
      </c>
      <c r="Z9" s="555"/>
      <c r="AA9" s="555">
        <f t="shared" si="6"/>
        <v>6604</v>
      </c>
      <c r="AB9" s="555"/>
      <c r="AC9" s="555">
        <f t="shared" si="7"/>
        <v>46566</v>
      </c>
    </row>
    <row r="10" spans="1:29">
      <c r="A10" s="553">
        <v>41873</v>
      </c>
      <c r="B10">
        <v>8</v>
      </c>
      <c r="C10" s="554">
        <v>335280</v>
      </c>
      <c r="D10" s="554">
        <v>544320</v>
      </c>
      <c r="E10" s="554">
        <v>262440</v>
      </c>
      <c r="F10" s="554">
        <v>477</v>
      </c>
      <c r="G10">
        <v>4174</v>
      </c>
      <c r="H10" s="555">
        <f t="shared" si="0"/>
        <v>702.89308176100633</v>
      </c>
      <c r="I10" s="905">
        <f t="shared" si="1"/>
        <v>2682240</v>
      </c>
      <c r="J10" s="905"/>
      <c r="K10" s="905">
        <f t="shared" si="2"/>
        <v>3816</v>
      </c>
      <c r="L10" s="905"/>
      <c r="M10" s="905">
        <f t="shared" si="3"/>
        <v>33392</v>
      </c>
      <c r="N10" s="905"/>
      <c r="P10" s="553">
        <v>41781</v>
      </c>
      <c r="Q10">
        <v>14</v>
      </c>
      <c r="R10" s="558">
        <v>293760</v>
      </c>
      <c r="S10" s="555">
        <v>440640</v>
      </c>
      <c r="T10" s="555">
        <v>154440</v>
      </c>
      <c r="U10">
        <v>534</v>
      </c>
      <c r="V10" s="556">
        <v>4075</v>
      </c>
      <c r="W10" s="557">
        <f t="shared" si="4"/>
        <v>550.11235955056179</v>
      </c>
      <c r="Y10" s="555">
        <f t="shared" si="5"/>
        <v>4112640</v>
      </c>
      <c r="Z10" s="555"/>
      <c r="AA10" s="555">
        <f t="shared" si="6"/>
        <v>7476</v>
      </c>
      <c r="AB10" s="555"/>
      <c r="AC10" s="555">
        <f t="shared" si="7"/>
        <v>57050</v>
      </c>
    </row>
    <row r="11" spans="1:29">
      <c r="A11" s="553">
        <v>41884</v>
      </c>
      <c r="B11">
        <v>1</v>
      </c>
      <c r="C11" s="554">
        <v>381240</v>
      </c>
      <c r="D11" s="554">
        <v>381240</v>
      </c>
      <c r="E11" s="554">
        <v>381240</v>
      </c>
      <c r="F11" s="554">
        <v>580</v>
      </c>
      <c r="G11">
        <v>658</v>
      </c>
      <c r="H11" s="555">
        <f t="shared" si="0"/>
        <v>657.31034482758616</v>
      </c>
      <c r="I11" s="905">
        <f t="shared" si="1"/>
        <v>381240</v>
      </c>
      <c r="J11" s="905"/>
      <c r="K11" s="905">
        <f t="shared" si="2"/>
        <v>580</v>
      </c>
      <c r="L11" s="905"/>
      <c r="M11" s="905">
        <f t="shared" si="3"/>
        <v>658</v>
      </c>
      <c r="N11" s="905"/>
      <c r="P11" s="553">
        <v>41792</v>
      </c>
      <c r="Q11">
        <v>3</v>
      </c>
      <c r="R11" s="558">
        <v>270000</v>
      </c>
      <c r="S11" s="555">
        <v>358580</v>
      </c>
      <c r="T11" s="555">
        <v>213840</v>
      </c>
      <c r="U11">
        <v>505</v>
      </c>
      <c r="V11" s="556">
        <v>4505</v>
      </c>
      <c r="W11" s="557">
        <f t="shared" si="4"/>
        <v>534.65346534653463</v>
      </c>
      <c r="Y11" s="555">
        <f t="shared" si="5"/>
        <v>810000</v>
      </c>
      <c r="Z11" s="555"/>
      <c r="AA11" s="555">
        <f t="shared" si="6"/>
        <v>1515</v>
      </c>
      <c r="AB11" s="555"/>
      <c r="AC11" s="555">
        <f t="shared" si="7"/>
        <v>13515</v>
      </c>
    </row>
    <row r="12" spans="1:29">
      <c r="A12" s="553">
        <v>41904</v>
      </c>
      <c r="B12">
        <v>2</v>
      </c>
      <c r="C12" s="554">
        <v>411480</v>
      </c>
      <c r="D12" s="554">
        <v>421200</v>
      </c>
      <c r="E12" s="554">
        <v>401760</v>
      </c>
      <c r="F12" s="554">
        <v>478</v>
      </c>
      <c r="G12">
        <v>4900</v>
      </c>
      <c r="H12" s="555">
        <f t="shared" si="0"/>
        <v>860.83682008368203</v>
      </c>
      <c r="I12" s="905">
        <f t="shared" si="1"/>
        <v>822960</v>
      </c>
      <c r="J12" s="905"/>
      <c r="K12" s="905">
        <f t="shared" si="2"/>
        <v>956</v>
      </c>
      <c r="L12" s="905"/>
      <c r="M12" s="905">
        <f t="shared" si="3"/>
        <v>9800</v>
      </c>
      <c r="N12" s="905"/>
      <c r="P12" s="553">
        <v>41802</v>
      </c>
      <c r="Q12">
        <v>7</v>
      </c>
      <c r="R12" s="558">
        <v>306874</v>
      </c>
      <c r="S12" s="555">
        <v>414720</v>
      </c>
      <c r="T12" s="555">
        <v>219240</v>
      </c>
      <c r="U12">
        <v>545</v>
      </c>
      <c r="V12" s="556">
        <v>3746</v>
      </c>
      <c r="W12" s="557">
        <f t="shared" si="4"/>
        <v>563.0715596330275</v>
      </c>
      <c r="Y12" s="555">
        <f t="shared" si="5"/>
        <v>2148118</v>
      </c>
      <c r="Z12" s="555"/>
      <c r="AA12" s="555">
        <f t="shared" si="6"/>
        <v>3815</v>
      </c>
      <c r="AB12" s="555"/>
      <c r="AC12" s="555">
        <f t="shared" si="7"/>
        <v>26222</v>
      </c>
    </row>
    <row r="13" spans="1:29">
      <c r="A13" s="553">
        <v>41934</v>
      </c>
      <c r="B13">
        <v>4</v>
      </c>
      <c r="C13" s="554">
        <v>496530</v>
      </c>
      <c r="D13" s="554">
        <v>555120</v>
      </c>
      <c r="E13" s="554">
        <v>399600</v>
      </c>
      <c r="F13" s="554">
        <v>574</v>
      </c>
      <c r="G13">
        <v>2278</v>
      </c>
      <c r="H13" s="555">
        <f t="shared" si="0"/>
        <v>865.03484320557493</v>
      </c>
      <c r="I13" s="905">
        <f t="shared" si="1"/>
        <v>1986120</v>
      </c>
      <c r="J13" s="905"/>
      <c r="K13" s="905">
        <f t="shared" si="2"/>
        <v>2296</v>
      </c>
      <c r="L13" s="905"/>
      <c r="M13" s="905">
        <f t="shared" si="3"/>
        <v>9112</v>
      </c>
      <c r="N13" s="905"/>
      <c r="P13" s="553">
        <v>41813</v>
      </c>
      <c r="Q13">
        <v>15</v>
      </c>
      <c r="R13" s="558">
        <v>289656</v>
      </c>
      <c r="S13" s="555">
        <v>517320</v>
      </c>
      <c r="T13" s="555">
        <v>99360</v>
      </c>
      <c r="U13">
        <v>511</v>
      </c>
      <c r="V13" s="556">
        <v>4087</v>
      </c>
      <c r="W13" s="557">
        <f t="shared" si="4"/>
        <v>566.84148727984348</v>
      </c>
      <c r="Y13" s="555">
        <f t="shared" si="5"/>
        <v>4344840</v>
      </c>
      <c r="Z13" s="555"/>
      <c r="AA13" s="555">
        <f t="shared" si="6"/>
        <v>7665</v>
      </c>
      <c r="AB13" s="555"/>
      <c r="AC13" s="555">
        <f t="shared" si="7"/>
        <v>61305</v>
      </c>
    </row>
    <row r="14" spans="1:29">
      <c r="A14" s="553">
        <v>41947</v>
      </c>
      <c r="B14">
        <v>2</v>
      </c>
      <c r="C14" s="554">
        <v>324540</v>
      </c>
      <c r="D14" s="554">
        <v>380160</v>
      </c>
      <c r="E14" s="554">
        <v>268920</v>
      </c>
      <c r="F14" s="554">
        <v>478</v>
      </c>
      <c r="G14">
        <v>5942</v>
      </c>
      <c r="H14" s="555">
        <f t="shared" si="0"/>
        <v>678.95397489539744</v>
      </c>
      <c r="I14" s="905">
        <f t="shared" si="1"/>
        <v>649080</v>
      </c>
      <c r="J14" s="905"/>
      <c r="K14" s="905">
        <f t="shared" si="2"/>
        <v>956</v>
      </c>
      <c r="L14" s="905"/>
      <c r="M14" s="905">
        <f t="shared" si="3"/>
        <v>11884</v>
      </c>
      <c r="N14" s="905"/>
      <c r="P14" s="553">
        <v>41822</v>
      </c>
      <c r="Q14" s="556">
        <v>2</v>
      </c>
      <c r="R14" s="558">
        <v>308340</v>
      </c>
      <c r="S14" s="555">
        <v>363960</v>
      </c>
      <c r="T14" s="555">
        <v>252720</v>
      </c>
      <c r="U14">
        <v>569</v>
      </c>
      <c r="V14" s="556">
        <v>4267</v>
      </c>
      <c r="W14" s="557">
        <f t="shared" si="4"/>
        <v>541.89806678383127</v>
      </c>
      <c r="Y14" s="555">
        <f t="shared" si="5"/>
        <v>616680</v>
      </c>
      <c r="Z14" s="555"/>
      <c r="AA14" s="555">
        <f t="shared" si="6"/>
        <v>1138</v>
      </c>
      <c r="AB14" s="555"/>
      <c r="AC14" s="555">
        <f t="shared" si="7"/>
        <v>8534</v>
      </c>
    </row>
    <row r="15" spans="1:29">
      <c r="A15" s="553">
        <v>41955</v>
      </c>
      <c r="B15">
        <v>4</v>
      </c>
      <c r="C15" s="554">
        <v>460080</v>
      </c>
      <c r="D15" s="554">
        <v>622080</v>
      </c>
      <c r="E15" s="554">
        <v>330480</v>
      </c>
      <c r="F15" s="554">
        <v>556</v>
      </c>
      <c r="G15" s="554">
        <v>2414</v>
      </c>
      <c r="H15" s="555">
        <f t="shared" si="0"/>
        <v>827.48201438848923</v>
      </c>
      <c r="I15" s="905">
        <f t="shared" si="1"/>
        <v>1840320</v>
      </c>
      <c r="J15" s="905"/>
      <c r="K15" s="905">
        <f t="shared" si="2"/>
        <v>2224</v>
      </c>
      <c r="L15" s="905"/>
      <c r="M15" s="905">
        <f t="shared" si="3"/>
        <v>9656</v>
      </c>
      <c r="N15" s="905"/>
      <c r="P15" s="553">
        <v>41804</v>
      </c>
      <c r="Q15" s="556">
        <v>11</v>
      </c>
      <c r="R15" s="558">
        <v>305542</v>
      </c>
      <c r="S15" s="555">
        <v>408240</v>
      </c>
      <c r="T15" s="555">
        <v>225720</v>
      </c>
      <c r="U15">
        <v>516</v>
      </c>
      <c r="V15" s="556">
        <v>3515</v>
      </c>
      <c r="W15" s="557">
        <f t="shared" si="4"/>
        <v>592.13565891472865</v>
      </c>
      <c r="Y15" s="555">
        <f t="shared" si="5"/>
        <v>3360962</v>
      </c>
      <c r="Z15" s="555"/>
      <c r="AA15" s="555">
        <f t="shared" si="6"/>
        <v>5676</v>
      </c>
      <c r="AB15" s="555"/>
      <c r="AC15" s="555">
        <f t="shared" si="7"/>
        <v>38665</v>
      </c>
    </row>
    <row r="16" spans="1:29">
      <c r="A16" s="553">
        <v>41963</v>
      </c>
      <c r="B16">
        <v>15</v>
      </c>
      <c r="C16" s="554">
        <v>482688</v>
      </c>
      <c r="D16" s="554">
        <v>613440</v>
      </c>
      <c r="E16" s="554">
        <v>346680</v>
      </c>
      <c r="F16" s="554">
        <v>507</v>
      </c>
      <c r="G16">
        <v>3413</v>
      </c>
      <c r="H16" s="555">
        <f t="shared" si="0"/>
        <v>952.04733727810651</v>
      </c>
      <c r="I16" s="905">
        <f t="shared" si="1"/>
        <v>7240320</v>
      </c>
      <c r="J16" s="905"/>
      <c r="K16" s="905">
        <f t="shared" si="2"/>
        <v>7605</v>
      </c>
      <c r="L16" s="905"/>
      <c r="M16" s="905">
        <f t="shared" si="3"/>
        <v>51195</v>
      </c>
      <c r="N16" s="905"/>
      <c r="P16" s="553">
        <v>41842</v>
      </c>
      <c r="Q16" s="556">
        <v>14</v>
      </c>
      <c r="R16" s="558">
        <v>240840</v>
      </c>
      <c r="S16" s="555">
        <v>554040</v>
      </c>
      <c r="T16" s="555">
        <v>81000</v>
      </c>
      <c r="U16">
        <v>526</v>
      </c>
      <c r="V16" s="556">
        <v>4526</v>
      </c>
      <c r="W16" s="557">
        <f t="shared" si="4"/>
        <v>457.87072243346006</v>
      </c>
      <c r="Y16" s="555">
        <f t="shared" si="5"/>
        <v>3371760</v>
      </c>
      <c r="Z16" s="555"/>
      <c r="AA16" s="555">
        <f t="shared" si="6"/>
        <v>7364</v>
      </c>
      <c r="AB16" s="555"/>
      <c r="AC16" s="555">
        <f t="shared" si="7"/>
        <v>63364</v>
      </c>
    </row>
    <row r="17" spans="1:29">
      <c r="A17" s="553">
        <v>41995</v>
      </c>
      <c r="B17">
        <v>9</v>
      </c>
      <c r="C17" s="554">
        <v>466320</v>
      </c>
      <c r="D17" s="554">
        <v>706320</v>
      </c>
      <c r="E17" s="554">
        <v>373680</v>
      </c>
      <c r="F17" s="554">
        <v>460</v>
      </c>
      <c r="G17">
        <v>3746</v>
      </c>
      <c r="H17" s="555">
        <f t="shared" si="0"/>
        <v>1013.7391304347826</v>
      </c>
      <c r="I17" s="905">
        <f t="shared" si="1"/>
        <v>4196880</v>
      </c>
      <c r="J17" s="905"/>
      <c r="K17" s="905">
        <f t="shared" si="2"/>
        <v>4140</v>
      </c>
      <c r="L17" s="905"/>
      <c r="M17" s="905">
        <f t="shared" si="3"/>
        <v>33714</v>
      </c>
      <c r="N17" s="905"/>
      <c r="P17" s="553">
        <v>41855</v>
      </c>
      <c r="Q17" s="556">
        <v>12</v>
      </c>
      <c r="R17" s="558">
        <v>238320</v>
      </c>
      <c r="S17" s="555">
        <v>332640</v>
      </c>
      <c r="T17" s="555">
        <v>114480</v>
      </c>
      <c r="U17">
        <v>524</v>
      </c>
      <c r="V17" s="556">
        <v>4233</v>
      </c>
      <c r="W17" s="557">
        <f t="shared" si="4"/>
        <v>454.80916030534354</v>
      </c>
      <c r="Y17" s="555">
        <f t="shared" si="5"/>
        <v>2859840</v>
      </c>
      <c r="Z17" s="555"/>
      <c r="AA17" s="555">
        <f t="shared" si="6"/>
        <v>6288</v>
      </c>
      <c r="AB17" s="555"/>
      <c r="AC17" s="555">
        <f t="shared" si="7"/>
        <v>50796</v>
      </c>
    </row>
    <row r="18" spans="1:29">
      <c r="A18" s="553">
        <v>42026</v>
      </c>
      <c r="B18">
        <v>4</v>
      </c>
      <c r="C18" s="554">
        <v>454410</v>
      </c>
      <c r="D18" s="554">
        <v>671760</v>
      </c>
      <c r="E18" s="554">
        <v>345600</v>
      </c>
      <c r="F18" s="554">
        <v>486</v>
      </c>
      <c r="G18">
        <v>4336</v>
      </c>
      <c r="H18" s="555">
        <f t="shared" si="0"/>
        <v>935</v>
      </c>
      <c r="I18" s="905">
        <f t="shared" si="1"/>
        <v>1817640</v>
      </c>
      <c r="J18" s="905"/>
      <c r="K18" s="905">
        <f t="shared" si="2"/>
        <v>1944</v>
      </c>
      <c r="L18" s="905"/>
      <c r="M18" s="905">
        <f t="shared" si="3"/>
        <v>17344</v>
      </c>
      <c r="N18" s="905"/>
      <c r="P18" s="553">
        <v>41873</v>
      </c>
      <c r="Q18" s="556">
        <v>17</v>
      </c>
      <c r="R18" s="558">
        <v>254054</v>
      </c>
      <c r="S18" s="555">
        <v>375840</v>
      </c>
      <c r="T18" s="555">
        <v>28080</v>
      </c>
      <c r="U18">
        <v>493</v>
      </c>
      <c r="V18" s="556">
        <v>3554</v>
      </c>
      <c r="W18" s="557">
        <f t="shared" si="4"/>
        <v>515.32251521298178</v>
      </c>
      <c r="Y18" s="555">
        <f t="shared" si="5"/>
        <v>4318918</v>
      </c>
      <c r="Z18" s="555"/>
      <c r="AA18" s="555">
        <f t="shared" si="6"/>
        <v>8381</v>
      </c>
      <c r="AB18" s="555"/>
      <c r="AC18" s="555">
        <f t="shared" si="7"/>
        <v>60418</v>
      </c>
    </row>
    <row r="19" spans="1:29">
      <c r="A19" s="553">
        <v>42026</v>
      </c>
      <c r="B19">
        <v>1</v>
      </c>
      <c r="C19" s="554">
        <v>478440</v>
      </c>
      <c r="D19" s="554">
        <v>478440</v>
      </c>
      <c r="E19" s="554">
        <v>478440</v>
      </c>
      <c r="F19" s="554">
        <v>434</v>
      </c>
      <c r="G19">
        <v>2210</v>
      </c>
      <c r="H19" s="555">
        <f t="shared" si="0"/>
        <v>1102.3963133640552</v>
      </c>
      <c r="I19" s="905">
        <f t="shared" si="1"/>
        <v>478440</v>
      </c>
      <c r="J19" s="905"/>
      <c r="K19" s="905">
        <f t="shared" si="2"/>
        <v>434</v>
      </c>
      <c r="L19" s="905"/>
      <c r="M19" s="905">
        <f t="shared" si="3"/>
        <v>2210</v>
      </c>
      <c r="N19" s="905"/>
      <c r="P19" s="553">
        <v>41884</v>
      </c>
      <c r="Q19" s="556">
        <v>11</v>
      </c>
      <c r="R19" s="558">
        <v>215411</v>
      </c>
      <c r="S19" s="555">
        <v>313200</v>
      </c>
      <c r="T19" s="555">
        <v>65880</v>
      </c>
      <c r="U19">
        <v>499</v>
      </c>
      <c r="V19" s="556">
        <v>4079</v>
      </c>
      <c r="W19" s="557">
        <f t="shared" si="4"/>
        <v>431.68537074148298</v>
      </c>
      <c r="Y19" s="555">
        <f t="shared" si="5"/>
        <v>2369521</v>
      </c>
      <c r="Z19" s="555"/>
      <c r="AA19" s="555">
        <f t="shared" si="6"/>
        <v>5489</v>
      </c>
      <c r="AB19" s="555"/>
      <c r="AC19" s="555">
        <f t="shared" si="7"/>
        <v>44869</v>
      </c>
    </row>
    <row r="20" spans="1:29">
      <c r="A20" s="553">
        <v>42058</v>
      </c>
      <c r="B20">
        <v>8</v>
      </c>
      <c r="C20" s="554">
        <v>548100</v>
      </c>
      <c r="D20" s="554">
        <v>678240</v>
      </c>
      <c r="E20" s="554">
        <v>492480</v>
      </c>
      <c r="F20" s="554">
        <v>470</v>
      </c>
      <c r="G20">
        <v>2379</v>
      </c>
      <c r="H20" s="555">
        <f t="shared" si="0"/>
        <v>1166.1702127659576</v>
      </c>
      <c r="I20" s="905">
        <f t="shared" si="1"/>
        <v>4384800</v>
      </c>
      <c r="J20" s="905"/>
      <c r="K20" s="905">
        <f t="shared" si="2"/>
        <v>3760</v>
      </c>
      <c r="L20" s="905"/>
      <c r="M20" s="905">
        <f t="shared" si="3"/>
        <v>19032</v>
      </c>
      <c r="N20" s="905"/>
      <c r="P20" s="553">
        <v>41893</v>
      </c>
      <c r="Q20" s="556">
        <v>5</v>
      </c>
      <c r="R20" s="558">
        <v>270432</v>
      </c>
      <c r="S20" s="555">
        <v>400680</v>
      </c>
      <c r="T20" s="555">
        <v>135000</v>
      </c>
      <c r="U20">
        <v>521</v>
      </c>
      <c r="V20" s="556">
        <v>5145</v>
      </c>
      <c r="W20" s="557">
        <f t="shared" si="4"/>
        <v>519.06333973128596</v>
      </c>
      <c r="Y20" s="555">
        <f t="shared" si="5"/>
        <v>1352160</v>
      </c>
      <c r="Z20" s="555"/>
      <c r="AA20" s="555">
        <f t="shared" si="6"/>
        <v>2605</v>
      </c>
      <c r="AB20" s="555"/>
      <c r="AC20" s="555">
        <f t="shared" si="7"/>
        <v>25725</v>
      </c>
    </row>
    <row r="21" spans="1:29">
      <c r="A21" s="553">
        <v>42086</v>
      </c>
      <c r="B21">
        <v>11</v>
      </c>
      <c r="C21" s="554">
        <v>583593</v>
      </c>
      <c r="D21" s="554">
        <v>733320</v>
      </c>
      <c r="E21" s="554">
        <v>460080</v>
      </c>
      <c r="F21" s="554">
        <v>488</v>
      </c>
      <c r="G21">
        <v>3900</v>
      </c>
      <c r="H21" s="555">
        <f t="shared" si="0"/>
        <v>1195.8872950819673</v>
      </c>
      <c r="I21" s="905">
        <f t="shared" si="1"/>
        <v>6419523</v>
      </c>
      <c r="J21" s="905"/>
      <c r="K21" s="905">
        <f t="shared" si="2"/>
        <v>5368</v>
      </c>
      <c r="L21" s="905"/>
      <c r="M21" s="905">
        <f t="shared" si="3"/>
        <v>42900</v>
      </c>
      <c r="N21" s="905"/>
      <c r="P21" s="553">
        <v>41904</v>
      </c>
      <c r="Q21" s="556">
        <v>10</v>
      </c>
      <c r="R21" s="558">
        <v>278100</v>
      </c>
      <c r="S21" s="555">
        <v>453600</v>
      </c>
      <c r="T21" s="555">
        <v>22680</v>
      </c>
      <c r="U21">
        <v>513</v>
      </c>
      <c r="V21" s="556">
        <v>3467</v>
      </c>
      <c r="W21" s="557">
        <f t="shared" si="4"/>
        <v>542.10526315789468</v>
      </c>
      <c r="Y21" s="555">
        <f t="shared" si="5"/>
        <v>2781000</v>
      </c>
      <c r="Z21" s="555"/>
      <c r="AA21" s="555">
        <f t="shared" si="6"/>
        <v>5130</v>
      </c>
      <c r="AB21" s="555"/>
      <c r="AC21" s="555">
        <f t="shared" si="7"/>
        <v>34670</v>
      </c>
    </row>
    <row r="22" spans="1:29">
      <c r="A22" s="559" t="s">
        <v>554</v>
      </c>
      <c r="B22">
        <f>SUM(B6:B21)</f>
        <v>92</v>
      </c>
      <c r="C22" s="554">
        <f t="shared" ref="C22:H22" si="8">AVERAGEA(C6:C21)</f>
        <v>447949.3125</v>
      </c>
      <c r="D22" s="554">
        <f t="shared" si="8"/>
        <v>548572.5</v>
      </c>
      <c r="E22" s="554">
        <f t="shared" si="8"/>
        <v>375300</v>
      </c>
      <c r="F22" s="557">
        <f t="shared" si="8"/>
        <v>509.9375</v>
      </c>
      <c r="G22" s="557">
        <f t="shared" si="8"/>
        <v>3514.0625</v>
      </c>
      <c r="H22" s="555">
        <f t="shared" si="8"/>
        <v>885.76120375068479</v>
      </c>
      <c r="I22" s="560" t="s">
        <v>555</v>
      </c>
      <c r="J22" s="561">
        <f>(SUM(I6:J21))/B22</f>
        <v>466179.16304347827</v>
      </c>
      <c r="K22" s="560" t="s">
        <v>555</v>
      </c>
      <c r="L22" s="561">
        <f>(SUM(K6:L21))/B22</f>
        <v>505.73913043478262</v>
      </c>
      <c r="M22" s="560" t="s">
        <v>555</v>
      </c>
      <c r="N22" s="561">
        <f>(SUM(M6:N21))/B22</f>
        <v>3645.1304347826085</v>
      </c>
      <c r="P22" s="553">
        <v>41914</v>
      </c>
      <c r="Q22" s="556">
        <v>4</v>
      </c>
      <c r="R22" s="558">
        <v>277560</v>
      </c>
      <c r="S22" s="555">
        <v>328320</v>
      </c>
      <c r="T22" s="555">
        <v>213840</v>
      </c>
      <c r="U22">
        <v>510</v>
      </c>
      <c r="V22" s="556">
        <v>3916</v>
      </c>
      <c r="W22" s="557">
        <f t="shared" si="4"/>
        <v>544.23529411764707</v>
      </c>
      <c r="Y22" s="555">
        <f t="shared" si="5"/>
        <v>1110240</v>
      </c>
      <c r="Z22" s="555"/>
      <c r="AA22" s="555">
        <f t="shared" si="6"/>
        <v>2040</v>
      </c>
      <c r="AB22" s="555"/>
      <c r="AC22" s="555">
        <f t="shared" si="7"/>
        <v>15664</v>
      </c>
    </row>
    <row r="23" spans="1:29">
      <c r="F23" s="562" t="s">
        <v>556</v>
      </c>
      <c r="G23">
        <f>G22/365</f>
        <v>9.6275684931506849</v>
      </c>
      <c r="P23" s="553">
        <v>41926</v>
      </c>
      <c r="Q23" s="556">
        <v>6</v>
      </c>
      <c r="R23" s="558">
        <v>206460</v>
      </c>
      <c r="S23" s="555">
        <v>313200</v>
      </c>
      <c r="T23" s="555">
        <v>97200</v>
      </c>
      <c r="U23">
        <v>444</v>
      </c>
      <c r="V23" s="556">
        <v>4602</v>
      </c>
      <c r="W23" s="557">
        <f t="shared" si="4"/>
        <v>465</v>
      </c>
      <c r="Y23" s="555">
        <f t="shared" si="5"/>
        <v>1238760</v>
      </c>
      <c r="Z23" s="555"/>
      <c r="AA23" s="555">
        <f t="shared" si="6"/>
        <v>2664</v>
      </c>
      <c r="AB23" s="555"/>
      <c r="AC23" s="555">
        <f t="shared" si="7"/>
        <v>27612</v>
      </c>
    </row>
    <row r="24" spans="1:29">
      <c r="P24" s="553">
        <v>41934</v>
      </c>
      <c r="Q24" s="556">
        <v>9</v>
      </c>
      <c r="R24" s="558">
        <v>328920</v>
      </c>
      <c r="S24" s="555">
        <v>440640</v>
      </c>
      <c r="T24" s="555">
        <v>181440</v>
      </c>
      <c r="U24">
        <v>553</v>
      </c>
      <c r="V24" s="556">
        <v>4234</v>
      </c>
      <c r="W24" s="557">
        <f t="shared" si="4"/>
        <v>594.79204339963837</v>
      </c>
      <c r="Y24" s="555">
        <f t="shared" si="5"/>
        <v>2960280</v>
      </c>
      <c r="Z24" s="555"/>
      <c r="AA24" s="555">
        <f t="shared" si="6"/>
        <v>4977</v>
      </c>
      <c r="AB24" s="555"/>
      <c r="AC24" s="555">
        <f t="shared" si="7"/>
        <v>38106</v>
      </c>
    </row>
    <row r="25" spans="1:29">
      <c r="P25" s="553">
        <v>41947</v>
      </c>
      <c r="Q25" s="556">
        <v>12</v>
      </c>
      <c r="R25" s="558">
        <v>297990</v>
      </c>
      <c r="S25" s="555">
        <v>427680</v>
      </c>
      <c r="T25" s="555">
        <v>238680</v>
      </c>
      <c r="U25">
        <v>513</v>
      </c>
      <c r="V25" s="556">
        <v>4513</v>
      </c>
      <c r="W25" s="557">
        <f t="shared" si="4"/>
        <v>580.87719298245611</v>
      </c>
      <c r="Y25" s="555">
        <f t="shared" si="5"/>
        <v>3575880</v>
      </c>
      <c r="Z25" s="555"/>
      <c r="AA25" s="555">
        <f t="shared" si="6"/>
        <v>6156</v>
      </c>
      <c r="AB25" s="555"/>
      <c r="AC25" s="555">
        <f t="shared" si="7"/>
        <v>54156</v>
      </c>
    </row>
    <row r="26" spans="1:29" ht="17.25">
      <c r="A26" s="551" t="s">
        <v>557</v>
      </c>
      <c r="P26" s="553">
        <v>41955</v>
      </c>
      <c r="Q26" s="556">
        <v>9</v>
      </c>
      <c r="R26" s="558">
        <v>363840</v>
      </c>
      <c r="S26" s="558">
        <v>622080</v>
      </c>
      <c r="T26" s="558">
        <v>171720</v>
      </c>
      <c r="U26" s="558">
        <v>562</v>
      </c>
      <c r="V26" s="556">
        <v>3532</v>
      </c>
      <c r="W26" s="557">
        <f t="shared" si="4"/>
        <v>647.40213523131672</v>
      </c>
      <c r="Y26" s="555">
        <f t="shared" si="5"/>
        <v>3274560</v>
      </c>
      <c r="Z26" s="555"/>
      <c r="AA26" s="555">
        <f t="shared" si="6"/>
        <v>5058</v>
      </c>
      <c r="AB26" s="555"/>
      <c r="AC26" s="555">
        <f t="shared" si="7"/>
        <v>31788</v>
      </c>
    </row>
    <row r="27" spans="1:29">
      <c r="A27" s="552" t="s">
        <v>542</v>
      </c>
      <c r="B27" s="552" t="s">
        <v>558</v>
      </c>
      <c r="C27" s="552" t="s">
        <v>559</v>
      </c>
      <c r="D27" s="552" t="s">
        <v>560</v>
      </c>
      <c r="E27" t="s">
        <v>561</v>
      </c>
      <c r="F27" s="552" t="s">
        <v>549</v>
      </c>
      <c r="P27" s="553">
        <v>41963</v>
      </c>
      <c r="Q27" s="556">
        <v>18</v>
      </c>
      <c r="R27" s="558">
        <v>310680</v>
      </c>
      <c r="S27" s="558">
        <v>697680</v>
      </c>
      <c r="T27" s="558">
        <v>89640</v>
      </c>
      <c r="U27" s="558">
        <v>535</v>
      </c>
      <c r="V27" s="556">
        <v>4305</v>
      </c>
      <c r="W27" s="557">
        <f t="shared" si="4"/>
        <v>580.71028037383178</v>
      </c>
      <c r="Y27" s="555">
        <f t="shared" si="5"/>
        <v>5592240</v>
      </c>
      <c r="Z27" s="555"/>
      <c r="AA27" s="555">
        <f t="shared" si="6"/>
        <v>9630</v>
      </c>
      <c r="AB27" s="555"/>
      <c r="AC27" s="555">
        <f t="shared" si="7"/>
        <v>77490</v>
      </c>
    </row>
    <row r="28" spans="1:29">
      <c r="A28" s="553">
        <v>41813</v>
      </c>
      <c r="B28" s="553">
        <v>39431</v>
      </c>
      <c r="C28" s="555">
        <v>473040</v>
      </c>
      <c r="D28">
        <v>483</v>
      </c>
      <c r="E28">
        <f t="shared" ref="E28:E65" si="9">A28-B28</f>
        <v>2382</v>
      </c>
      <c r="F28" s="563">
        <f>C28/D28</f>
        <v>979.37888198757764</v>
      </c>
      <c r="P28" s="553">
        <v>41975</v>
      </c>
      <c r="Q28" s="556">
        <v>11</v>
      </c>
      <c r="R28" s="558">
        <v>324491</v>
      </c>
      <c r="S28" s="558">
        <v>437400</v>
      </c>
      <c r="T28" s="558">
        <v>88560</v>
      </c>
      <c r="U28" s="558">
        <v>558</v>
      </c>
      <c r="V28" s="556">
        <v>4290</v>
      </c>
      <c r="W28" s="557">
        <f t="shared" si="4"/>
        <v>581.52508960573482</v>
      </c>
      <c r="Y28" s="555">
        <f t="shared" si="5"/>
        <v>3569401</v>
      </c>
      <c r="Z28" s="555"/>
      <c r="AA28" s="555">
        <f t="shared" si="6"/>
        <v>6138</v>
      </c>
      <c r="AB28" s="555"/>
      <c r="AC28" s="555">
        <f t="shared" si="7"/>
        <v>47190</v>
      </c>
    </row>
    <row r="29" spans="1:29">
      <c r="A29" s="553">
        <v>41813</v>
      </c>
      <c r="B29" s="553">
        <v>40831</v>
      </c>
      <c r="C29" s="555">
        <v>450360</v>
      </c>
      <c r="D29">
        <v>549</v>
      </c>
      <c r="E29">
        <f t="shared" si="9"/>
        <v>982</v>
      </c>
      <c r="F29" s="563">
        <f>C29/D29</f>
        <v>820.32786885245901</v>
      </c>
      <c r="P29" s="553">
        <v>41985</v>
      </c>
      <c r="Q29" s="556">
        <v>17</v>
      </c>
      <c r="R29" s="558">
        <v>296809</v>
      </c>
      <c r="S29" s="558">
        <v>509760</v>
      </c>
      <c r="T29" s="558">
        <v>44280</v>
      </c>
      <c r="U29" s="558">
        <v>527</v>
      </c>
      <c r="V29" s="556">
        <v>4527</v>
      </c>
      <c r="W29" s="557">
        <f t="shared" si="4"/>
        <v>563.2049335863378</v>
      </c>
      <c r="Y29" s="555">
        <f t="shared" si="5"/>
        <v>5045753</v>
      </c>
      <c r="Z29" s="555"/>
      <c r="AA29" s="555">
        <f t="shared" si="6"/>
        <v>8959</v>
      </c>
      <c r="AB29" s="555"/>
      <c r="AC29" s="555">
        <f t="shared" si="7"/>
        <v>76959</v>
      </c>
    </row>
    <row r="30" spans="1:29">
      <c r="A30" s="553">
        <v>41842</v>
      </c>
      <c r="B30" s="553">
        <v>38640</v>
      </c>
      <c r="C30" s="691">
        <v>486000</v>
      </c>
      <c r="E30">
        <f t="shared" si="9"/>
        <v>3202</v>
      </c>
      <c r="H30" s="562"/>
      <c r="P30" s="553">
        <v>41995</v>
      </c>
      <c r="Q30" s="556">
        <v>7</v>
      </c>
      <c r="R30" s="558">
        <v>299623</v>
      </c>
      <c r="S30" s="558">
        <v>372600</v>
      </c>
      <c r="T30" s="558">
        <v>203040</v>
      </c>
      <c r="U30" s="558">
        <v>488</v>
      </c>
      <c r="V30" s="556">
        <v>3474</v>
      </c>
      <c r="W30" s="557">
        <f t="shared" si="4"/>
        <v>613.98155737704917</v>
      </c>
      <c r="Y30" s="555">
        <f t="shared" si="5"/>
        <v>2097361</v>
      </c>
      <c r="Z30" s="555"/>
      <c r="AA30" s="555">
        <f t="shared" si="6"/>
        <v>3416</v>
      </c>
      <c r="AB30" s="555"/>
      <c r="AC30" s="555">
        <f t="shared" si="7"/>
        <v>24318</v>
      </c>
    </row>
    <row r="31" spans="1:29">
      <c r="A31" s="553">
        <v>41842</v>
      </c>
      <c r="B31" s="553">
        <v>39431</v>
      </c>
      <c r="C31" s="691">
        <v>495720</v>
      </c>
      <c r="E31">
        <f t="shared" si="9"/>
        <v>2411</v>
      </c>
      <c r="H31" s="562"/>
      <c r="P31" s="553">
        <v>42010</v>
      </c>
      <c r="Q31" s="556">
        <v>2</v>
      </c>
      <c r="R31" s="558">
        <v>110160</v>
      </c>
      <c r="S31" s="558">
        <v>173880</v>
      </c>
      <c r="T31" s="558">
        <v>46440</v>
      </c>
      <c r="U31" s="558">
        <v>409</v>
      </c>
      <c r="V31" s="556">
        <v>2894</v>
      </c>
      <c r="W31" s="557">
        <f t="shared" si="4"/>
        <v>269.33985330073352</v>
      </c>
      <c r="Y31" s="555">
        <f t="shared" si="5"/>
        <v>220320</v>
      </c>
      <c r="Z31" s="555"/>
      <c r="AA31" s="555">
        <f t="shared" si="6"/>
        <v>818</v>
      </c>
      <c r="AB31" s="555"/>
      <c r="AC31" s="555">
        <f t="shared" si="7"/>
        <v>5788</v>
      </c>
    </row>
    <row r="32" spans="1:29">
      <c r="A32" s="553">
        <v>41873</v>
      </c>
      <c r="B32" s="553">
        <v>38398</v>
      </c>
      <c r="C32" s="564">
        <v>321840</v>
      </c>
      <c r="D32">
        <v>508</v>
      </c>
      <c r="E32">
        <f t="shared" si="9"/>
        <v>3475</v>
      </c>
      <c r="F32" s="563">
        <f t="shared" ref="F32:F65" si="10">C32/D32</f>
        <v>633.54330708661416</v>
      </c>
      <c r="H32" s="562"/>
      <c r="P32" s="553">
        <v>42017</v>
      </c>
      <c r="Q32" s="556">
        <v>3</v>
      </c>
      <c r="R32" s="558">
        <v>230760</v>
      </c>
      <c r="S32" s="558">
        <v>265680</v>
      </c>
      <c r="T32" s="558">
        <v>170640</v>
      </c>
      <c r="U32" s="558">
        <v>489</v>
      </c>
      <c r="V32" s="556">
        <v>3907</v>
      </c>
      <c r="W32" s="557">
        <f t="shared" si="4"/>
        <v>471.90184049079755</v>
      </c>
      <c r="Y32" s="555">
        <f t="shared" si="5"/>
        <v>692280</v>
      </c>
      <c r="Z32" s="555"/>
      <c r="AA32" s="555">
        <f t="shared" si="6"/>
        <v>1467</v>
      </c>
      <c r="AB32" s="555"/>
      <c r="AC32" s="555">
        <f t="shared" si="7"/>
        <v>11721</v>
      </c>
    </row>
    <row r="33" spans="1:29">
      <c r="A33" s="553">
        <v>41873</v>
      </c>
      <c r="B33" s="565">
        <v>41014</v>
      </c>
      <c r="C33" s="691">
        <v>544320</v>
      </c>
      <c r="D33">
        <v>348</v>
      </c>
      <c r="E33">
        <f t="shared" si="9"/>
        <v>859</v>
      </c>
      <c r="F33" s="563">
        <f t="shared" si="10"/>
        <v>1564.1379310344828</v>
      </c>
      <c r="H33" s="562"/>
      <c r="P33" s="553">
        <v>42026</v>
      </c>
      <c r="Q33" s="556">
        <v>21</v>
      </c>
      <c r="R33" s="558">
        <v>289440</v>
      </c>
      <c r="S33" s="558">
        <v>492480</v>
      </c>
      <c r="T33" s="558">
        <v>85320</v>
      </c>
      <c r="U33" s="558">
        <v>505</v>
      </c>
      <c r="V33" s="556">
        <v>4653</v>
      </c>
      <c r="W33" s="557">
        <f t="shared" si="4"/>
        <v>573.14851485148517</v>
      </c>
      <c r="Y33" s="555">
        <f t="shared" si="5"/>
        <v>6078240</v>
      </c>
      <c r="Z33" s="555"/>
      <c r="AA33" s="555">
        <f t="shared" si="6"/>
        <v>10605</v>
      </c>
      <c r="AB33" s="555"/>
      <c r="AC33" s="555">
        <f t="shared" si="7"/>
        <v>97713</v>
      </c>
    </row>
    <row r="34" spans="1:29">
      <c r="A34" s="553">
        <v>41884</v>
      </c>
      <c r="B34" s="553">
        <v>40040</v>
      </c>
      <c r="C34" s="566">
        <v>381240</v>
      </c>
      <c r="D34">
        <v>580</v>
      </c>
      <c r="E34">
        <f t="shared" si="9"/>
        <v>1844</v>
      </c>
      <c r="F34" s="563">
        <f t="shared" si="10"/>
        <v>657.31034482758616</v>
      </c>
      <c r="H34" s="562"/>
      <c r="P34" s="553">
        <v>42037</v>
      </c>
      <c r="Q34" s="556">
        <v>5</v>
      </c>
      <c r="R34" s="558">
        <v>268920</v>
      </c>
      <c r="S34" s="558">
        <v>313200</v>
      </c>
      <c r="T34" s="558">
        <v>186840</v>
      </c>
      <c r="U34" s="558">
        <v>506</v>
      </c>
      <c r="V34" s="556">
        <v>5775</v>
      </c>
      <c r="W34" s="557">
        <f t="shared" si="4"/>
        <v>531.46245059288538</v>
      </c>
      <c r="Y34" s="555">
        <f t="shared" si="5"/>
        <v>1344600</v>
      </c>
      <c r="Z34" s="555"/>
      <c r="AA34" s="555">
        <f t="shared" si="6"/>
        <v>2530</v>
      </c>
      <c r="AB34" s="555"/>
      <c r="AC34" s="555">
        <f t="shared" si="7"/>
        <v>28875</v>
      </c>
    </row>
    <row r="35" spans="1:29">
      <c r="A35" s="553">
        <v>41934</v>
      </c>
      <c r="B35" s="553">
        <v>38457</v>
      </c>
      <c r="C35" s="555">
        <v>494640</v>
      </c>
      <c r="D35">
        <v>569</v>
      </c>
      <c r="E35">
        <f t="shared" si="9"/>
        <v>3477</v>
      </c>
      <c r="F35" s="563">
        <f t="shared" si="10"/>
        <v>869.31458699472762</v>
      </c>
      <c r="H35" s="562"/>
      <c r="P35" s="553">
        <v>42047</v>
      </c>
      <c r="Q35" s="556">
        <v>4</v>
      </c>
      <c r="R35" s="558">
        <v>360720</v>
      </c>
      <c r="S35" s="558">
        <v>385560</v>
      </c>
      <c r="T35" s="558">
        <v>334800</v>
      </c>
      <c r="U35" s="558">
        <v>530</v>
      </c>
      <c r="V35" s="556">
        <v>4345</v>
      </c>
      <c r="W35" s="557">
        <f t="shared" si="4"/>
        <v>680.60377358490564</v>
      </c>
      <c r="Y35" s="555">
        <f t="shared" si="5"/>
        <v>1442880</v>
      </c>
      <c r="Z35" s="555"/>
      <c r="AA35" s="555">
        <f t="shared" si="6"/>
        <v>2120</v>
      </c>
      <c r="AB35" s="555"/>
      <c r="AC35" s="555">
        <f t="shared" si="7"/>
        <v>17380</v>
      </c>
    </row>
    <row r="36" spans="1:29">
      <c r="A36" s="553">
        <v>41934</v>
      </c>
      <c r="B36" s="553">
        <v>39948</v>
      </c>
      <c r="C36" s="691">
        <v>536760</v>
      </c>
      <c r="D36">
        <v>613</v>
      </c>
      <c r="E36">
        <f t="shared" si="9"/>
        <v>1986</v>
      </c>
      <c r="F36" s="563">
        <f t="shared" si="10"/>
        <v>875.62805872756928</v>
      </c>
      <c r="P36" s="553">
        <v>42058</v>
      </c>
      <c r="Q36" s="556">
        <v>13</v>
      </c>
      <c r="R36" s="558">
        <v>380658</v>
      </c>
      <c r="S36" s="558">
        <v>703080</v>
      </c>
      <c r="T36" s="558">
        <v>239760</v>
      </c>
      <c r="U36" s="558">
        <v>520</v>
      </c>
      <c r="V36" s="556">
        <v>3945</v>
      </c>
      <c r="W36" s="557">
        <f t="shared" si="4"/>
        <v>732.03461538461534</v>
      </c>
      <c r="Y36" s="555">
        <f t="shared" si="5"/>
        <v>4948554</v>
      </c>
      <c r="Z36" s="555"/>
      <c r="AA36" s="555">
        <f t="shared" si="6"/>
        <v>6760</v>
      </c>
      <c r="AB36" s="555"/>
      <c r="AC36" s="555">
        <f t="shared" si="7"/>
        <v>51285</v>
      </c>
    </row>
    <row r="37" spans="1:29">
      <c r="A37" s="553">
        <v>41934</v>
      </c>
      <c r="B37" s="553">
        <v>40739</v>
      </c>
      <c r="C37" s="691">
        <v>555120</v>
      </c>
      <c r="D37">
        <v>527</v>
      </c>
      <c r="E37">
        <f t="shared" si="9"/>
        <v>1195</v>
      </c>
      <c r="F37" s="563">
        <f t="shared" si="10"/>
        <v>1053.358633776091</v>
      </c>
      <c r="H37" s="562"/>
      <c r="P37" s="553">
        <v>42065</v>
      </c>
      <c r="Q37" s="556">
        <v>5</v>
      </c>
      <c r="R37" s="558">
        <v>424872</v>
      </c>
      <c r="S37" s="558">
        <v>518400</v>
      </c>
      <c r="T37" s="558">
        <v>311040</v>
      </c>
      <c r="U37" s="558">
        <v>604</v>
      </c>
      <c r="V37" s="556">
        <v>3416</v>
      </c>
      <c r="W37" s="557">
        <f t="shared" si="4"/>
        <v>703.4304635761589</v>
      </c>
      <c r="Y37" s="555">
        <f t="shared" si="5"/>
        <v>2124360</v>
      </c>
      <c r="Z37" s="555"/>
      <c r="AA37" s="555">
        <f t="shared" si="6"/>
        <v>3020</v>
      </c>
      <c r="AB37" s="555"/>
      <c r="AC37" s="555">
        <f t="shared" si="7"/>
        <v>17080</v>
      </c>
    </row>
    <row r="38" spans="1:29">
      <c r="A38" s="553">
        <v>41955</v>
      </c>
      <c r="B38" s="553">
        <v>40954</v>
      </c>
      <c r="C38" s="691">
        <v>488160</v>
      </c>
      <c r="D38">
        <v>518</v>
      </c>
      <c r="E38">
        <f t="shared" si="9"/>
        <v>1001</v>
      </c>
      <c r="F38" s="563">
        <f t="shared" si="10"/>
        <v>942.39382239382235</v>
      </c>
      <c r="H38" s="562"/>
      <c r="P38" s="553">
        <v>42075</v>
      </c>
      <c r="Q38" s="556">
        <v>6</v>
      </c>
      <c r="R38" s="558">
        <v>383580</v>
      </c>
      <c r="S38" s="558">
        <v>524880</v>
      </c>
      <c r="T38" s="558">
        <v>324000</v>
      </c>
      <c r="U38" s="558">
        <v>600</v>
      </c>
      <c r="V38" s="556">
        <v>4659</v>
      </c>
      <c r="W38" s="557">
        <f t="shared" si="4"/>
        <v>639.29999999999995</v>
      </c>
      <c r="Y38" s="555">
        <f t="shared" si="5"/>
        <v>2301480</v>
      </c>
      <c r="Z38" s="555"/>
      <c r="AA38" s="555">
        <f t="shared" si="6"/>
        <v>3600</v>
      </c>
      <c r="AB38" s="555"/>
      <c r="AC38" s="555">
        <f t="shared" si="7"/>
        <v>27954</v>
      </c>
    </row>
    <row r="39" spans="1:29">
      <c r="A39" s="553">
        <v>41955</v>
      </c>
      <c r="B39" s="553">
        <v>39918</v>
      </c>
      <c r="C39" s="691">
        <v>622080</v>
      </c>
      <c r="D39">
        <v>621</v>
      </c>
      <c r="E39">
        <f t="shared" si="9"/>
        <v>2037</v>
      </c>
      <c r="F39" s="563">
        <f t="shared" si="10"/>
        <v>1001.7391304347826</v>
      </c>
      <c r="H39" s="562"/>
      <c r="P39" s="553">
        <v>42086</v>
      </c>
      <c r="Q39" s="556">
        <v>11</v>
      </c>
      <c r="R39" s="558">
        <v>415309</v>
      </c>
      <c r="S39" s="558">
        <v>535680</v>
      </c>
      <c r="T39" s="558">
        <v>280800</v>
      </c>
      <c r="U39" s="558">
        <v>547</v>
      </c>
      <c r="V39" s="556">
        <v>4089</v>
      </c>
      <c r="W39" s="557">
        <f t="shared" si="4"/>
        <v>759.2486288848263</v>
      </c>
      <c r="Y39" s="555">
        <f t="shared" si="5"/>
        <v>4568399</v>
      </c>
      <c r="Z39" s="555"/>
      <c r="AA39" s="555">
        <f t="shared" si="6"/>
        <v>6017</v>
      </c>
      <c r="AB39" s="555"/>
      <c r="AC39" s="555">
        <f t="shared" si="7"/>
        <v>44979</v>
      </c>
    </row>
    <row r="40" spans="1:29">
      <c r="A40" s="553">
        <v>41955</v>
      </c>
      <c r="B40" s="553">
        <v>39808</v>
      </c>
      <c r="C40" s="691">
        <v>399600</v>
      </c>
      <c r="D40">
        <v>526</v>
      </c>
      <c r="E40">
        <f t="shared" si="9"/>
        <v>2147</v>
      </c>
      <c r="F40" s="563">
        <f t="shared" si="10"/>
        <v>759.69581749049428</v>
      </c>
      <c r="H40" s="562"/>
      <c r="P40" s="559" t="s">
        <v>554</v>
      </c>
      <c r="Q40">
        <f>SUM(Q6:Q39)</f>
        <v>333</v>
      </c>
      <c r="R40" s="558">
        <f>AVERAGEA(R6:R39)</f>
        <v>296408.35294117645</v>
      </c>
      <c r="S40" s="558">
        <f>AVERAGEA(S6:S39)</f>
        <v>435018.23529411765</v>
      </c>
      <c r="T40" s="558">
        <f>AVERAGEA(T6:T39)</f>
        <v>161301.17647058822</v>
      </c>
      <c r="U40" s="558">
        <f>AVERAGEA(U6:U39)</f>
        <v>524.52941176470586</v>
      </c>
      <c r="V40" s="558">
        <f>AVERAGEA(V6:V39)</f>
        <v>4139.7058823529414</v>
      </c>
      <c r="W40" s="557">
        <f t="shared" si="4"/>
        <v>565.09386564988222</v>
      </c>
      <c r="X40" s="560" t="s">
        <v>555</v>
      </c>
      <c r="Y40" s="567">
        <f>(SUM(Y6:Y39))/Q40</f>
        <v>296957.78078078077</v>
      </c>
      <c r="Z40" s="560" t="s">
        <v>555</v>
      </c>
      <c r="AA40" s="555">
        <f>(SUM(AA6:AA39))/Q40</f>
        <v>524.89489489489495</v>
      </c>
      <c r="AB40" s="560" t="s">
        <v>555</v>
      </c>
      <c r="AC40" s="555">
        <f>(SUM(AC6:AC39))/Q40</f>
        <v>4177.3663663663665</v>
      </c>
    </row>
    <row r="41" spans="1:29">
      <c r="A41" s="553">
        <v>41963</v>
      </c>
      <c r="B41" s="553">
        <v>39278</v>
      </c>
      <c r="C41" s="691">
        <v>416880</v>
      </c>
      <c r="D41">
        <v>442</v>
      </c>
      <c r="E41">
        <f t="shared" si="9"/>
        <v>2685</v>
      </c>
      <c r="F41" s="563">
        <f t="shared" si="10"/>
        <v>943.16742081447967</v>
      </c>
      <c r="H41" s="562"/>
      <c r="R41" s="558"/>
      <c r="S41" s="558"/>
      <c r="T41" s="558"/>
      <c r="V41" s="556"/>
      <c r="W41" s="557"/>
      <c r="Y41" s="568" t="s">
        <v>562</v>
      </c>
      <c r="AA41" s="555"/>
      <c r="AB41" s="569" t="s">
        <v>563</v>
      </c>
      <c r="AC41" s="570">
        <f>AC40/365</f>
        <v>11.444839359907853</v>
      </c>
    </row>
    <row r="42" spans="1:29">
      <c r="A42" s="553">
        <v>41963</v>
      </c>
      <c r="B42" s="553">
        <v>40648</v>
      </c>
      <c r="C42" s="691">
        <v>476280</v>
      </c>
      <c r="D42">
        <v>440</v>
      </c>
      <c r="E42">
        <f t="shared" si="9"/>
        <v>1315</v>
      </c>
      <c r="F42" s="563">
        <f t="shared" si="10"/>
        <v>1082.4545454545455</v>
      </c>
      <c r="R42" s="558"/>
      <c r="S42" s="558"/>
      <c r="T42" s="558"/>
      <c r="V42" s="556"/>
      <c r="W42" s="557"/>
      <c r="Y42" s="555"/>
      <c r="Z42" s="555"/>
      <c r="AA42" s="555"/>
      <c r="AB42" s="555"/>
      <c r="AC42" s="571" t="s">
        <v>564</v>
      </c>
    </row>
    <row r="43" spans="1:29">
      <c r="A43" s="553">
        <v>41963</v>
      </c>
      <c r="B43" s="553">
        <v>39462</v>
      </c>
      <c r="C43" s="691">
        <v>612360</v>
      </c>
      <c r="D43">
        <v>588</v>
      </c>
      <c r="E43">
        <f t="shared" si="9"/>
        <v>2501</v>
      </c>
      <c r="F43" s="563">
        <f t="shared" si="10"/>
        <v>1041.4285714285713</v>
      </c>
      <c r="H43" s="572"/>
    </row>
    <row r="44" spans="1:29">
      <c r="A44" s="553">
        <v>41963</v>
      </c>
      <c r="B44" s="553">
        <v>38398</v>
      </c>
      <c r="C44" s="691">
        <v>477360</v>
      </c>
      <c r="D44">
        <v>481</v>
      </c>
      <c r="E44">
        <f t="shared" si="9"/>
        <v>3565</v>
      </c>
      <c r="F44" s="563">
        <f t="shared" si="10"/>
        <v>992.43243243243239</v>
      </c>
    </row>
    <row r="45" spans="1:29">
      <c r="A45" s="553">
        <v>41963</v>
      </c>
      <c r="B45" s="553">
        <v>40739</v>
      </c>
      <c r="C45" s="691">
        <v>542160</v>
      </c>
      <c r="D45">
        <v>444</v>
      </c>
      <c r="E45">
        <f t="shared" si="9"/>
        <v>1224</v>
      </c>
      <c r="F45" s="563">
        <f t="shared" si="10"/>
        <v>1221.081081081081</v>
      </c>
      <c r="I45" s="694"/>
      <c r="J45" s="694"/>
      <c r="K45" s="694"/>
      <c r="L45" s="694"/>
    </row>
    <row r="46" spans="1:29">
      <c r="A46" s="553">
        <v>41963</v>
      </c>
      <c r="B46" s="553">
        <v>38487</v>
      </c>
      <c r="C46" s="691">
        <v>542160</v>
      </c>
      <c r="D46">
        <v>650</v>
      </c>
      <c r="E46">
        <f t="shared" si="9"/>
        <v>3476</v>
      </c>
      <c r="F46" s="563">
        <f t="shared" si="10"/>
        <v>834.09230769230771</v>
      </c>
    </row>
    <row r="47" spans="1:29">
      <c r="A47" s="553">
        <v>41963</v>
      </c>
      <c r="B47" s="553">
        <v>39462</v>
      </c>
      <c r="C47" s="691">
        <v>613440</v>
      </c>
      <c r="D47">
        <v>475</v>
      </c>
      <c r="E47">
        <f t="shared" si="9"/>
        <v>2501</v>
      </c>
      <c r="F47" s="563">
        <f t="shared" si="10"/>
        <v>1291.4526315789474</v>
      </c>
    </row>
    <row r="48" spans="1:29">
      <c r="A48" s="553">
        <v>41963</v>
      </c>
      <c r="B48" s="553">
        <v>39767</v>
      </c>
      <c r="C48" s="691">
        <v>520560</v>
      </c>
      <c r="D48">
        <v>508</v>
      </c>
      <c r="E48">
        <f t="shared" si="9"/>
        <v>2196</v>
      </c>
      <c r="F48" s="563">
        <f t="shared" si="10"/>
        <v>1024.724409448819</v>
      </c>
    </row>
    <row r="49" spans="1:15">
      <c r="A49" s="553">
        <v>41995</v>
      </c>
      <c r="B49" s="553">
        <v>39887</v>
      </c>
      <c r="C49" s="691">
        <v>449280</v>
      </c>
      <c r="D49">
        <v>546</v>
      </c>
      <c r="E49">
        <f t="shared" si="9"/>
        <v>2108</v>
      </c>
      <c r="F49" s="563">
        <f t="shared" si="10"/>
        <v>822.85714285714289</v>
      </c>
    </row>
    <row r="50" spans="1:15">
      <c r="A50" s="553">
        <v>41995</v>
      </c>
      <c r="B50" s="553">
        <v>41348</v>
      </c>
      <c r="C50" s="691">
        <v>561600</v>
      </c>
      <c r="D50">
        <v>421</v>
      </c>
      <c r="E50">
        <f t="shared" si="9"/>
        <v>647</v>
      </c>
      <c r="F50" s="563">
        <f t="shared" si="10"/>
        <v>1333.9667458432305</v>
      </c>
    </row>
    <row r="51" spans="1:15">
      <c r="A51" s="553">
        <v>41995</v>
      </c>
      <c r="B51" s="553">
        <v>40436</v>
      </c>
      <c r="C51" s="691">
        <v>706320</v>
      </c>
      <c r="D51">
        <v>595</v>
      </c>
      <c r="E51">
        <f t="shared" si="9"/>
        <v>1559</v>
      </c>
      <c r="F51" s="563">
        <f t="shared" si="10"/>
        <v>1187.09243697479</v>
      </c>
    </row>
    <row r="52" spans="1:15">
      <c r="A52" s="553">
        <v>41995</v>
      </c>
      <c r="B52" s="553">
        <v>39128</v>
      </c>
      <c r="C52" s="691">
        <v>491400</v>
      </c>
      <c r="D52">
        <v>400</v>
      </c>
      <c r="E52">
        <f t="shared" si="9"/>
        <v>2867</v>
      </c>
      <c r="F52" s="563">
        <f t="shared" si="10"/>
        <v>1228.5</v>
      </c>
    </row>
    <row r="53" spans="1:15">
      <c r="A53" s="553">
        <v>42026</v>
      </c>
      <c r="B53" s="553">
        <v>40678</v>
      </c>
      <c r="C53" s="691">
        <v>671760</v>
      </c>
      <c r="D53">
        <v>502</v>
      </c>
      <c r="E53">
        <f t="shared" si="9"/>
        <v>1348</v>
      </c>
      <c r="F53" s="563">
        <f t="shared" si="10"/>
        <v>1338.1673306772909</v>
      </c>
    </row>
    <row r="54" spans="1:15">
      <c r="A54" s="553">
        <v>42058</v>
      </c>
      <c r="B54" s="553">
        <v>38548</v>
      </c>
      <c r="C54" s="691">
        <v>530280</v>
      </c>
      <c r="D54">
        <v>532</v>
      </c>
      <c r="E54">
        <f t="shared" si="9"/>
        <v>3510</v>
      </c>
      <c r="F54" s="563">
        <f t="shared" si="10"/>
        <v>996.76691729323306</v>
      </c>
    </row>
    <row r="55" spans="1:15">
      <c r="A55" s="553">
        <v>42058</v>
      </c>
      <c r="B55" s="553">
        <v>39887</v>
      </c>
      <c r="C55" s="691">
        <v>514080</v>
      </c>
      <c r="D55">
        <v>417</v>
      </c>
      <c r="E55">
        <f t="shared" si="9"/>
        <v>2171</v>
      </c>
      <c r="F55" s="563">
        <f t="shared" si="10"/>
        <v>1232.8057553956835</v>
      </c>
      <c r="K55" s="299" t="s">
        <v>792</v>
      </c>
      <c r="L55" s="299"/>
      <c r="M55" s="746"/>
      <c r="N55" s="746"/>
      <c r="O55" s="694"/>
    </row>
    <row r="56" spans="1:15">
      <c r="A56" s="553">
        <v>42058</v>
      </c>
      <c r="B56" s="553">
        <v>38640</v>
      </c>
      <c r="C56" s="691">
        <v>501120</v>
      </c>
      <c r="D56">
        <v>566</v>
      </c>
      <c r="E56">
        <f t="shared" si="9"/>
        <v>3418</v>
      </c>
      <c r="F56" s="563">
        <f t="shared" si="10"/>
        <v>885.37102473498237</v>
      </c>
      <c r="K56" s="299" t="s">
        <v>818</v>
      </c>
      <c r="L56" s="299" t="s">
        <v>819</v>
      </c>
      <c r="M56" s="299" t="s">
        <v>820</v>
      </c>
      <c r="N56" s="299" t="s">
        <v>821</v>
      </c>
    </row>
    <row r="57" spans="1:15">
      <c r="A57" s="553">
        <v>42058</v>
      </c>
      <c r="B57" s="553">
        <v>39675</v>
      </c>
      <c r="C57" s="691">
        <v>492480</v>
      </c>
      <c r="D57">
        <v>343</v>
      </c>
      <c r="E57">
        <f t="shared" si="9"/>
        <v>2383</v>
      </c>
      <c r="F57" s="563">
        <f t="shared" si="10"/>
        <v>1435.8017492711369</v>
      </c>
      <c r="K57" s="299">
        <v>1</v>
      </c>
      <c r="L57" s="299">
        <v>4</v>
      </c>
      <c r="M57" s="299">
        <f>⑤支出!F129</f>
        <v>962</v>
      </c>
      <c r="N57" s="745">
        <f>K57*L57*M57</f>
        <v>3848</v>
      </c>
    </row>
    <row r="58" spans="1:15">
      <c r="A58" s="553">
        <v>42058</v>
      </c>
      <c r="B58" s="553">
        <v>40071</v>
      </c>
      <c r="C58" s="691">
        <v>573480</v>
      </c>
      <c r="D58">
        <v>548</v>
      </c>
      <c r="E58">
        <f t="shared" si="9"/>
        <v>1987</v>
      </c>
      <c r="F58" s="563">
        <f t="shared" si="10"/>
        <v>1046.4963503649635</v>
      </c>
    </row>
    <row r="59" spans="1:15">
      <c r="A59" s="553">
        <v>42058</v>
      </c>
      <c r="B59" s="553">
        <v>41501</v>
      </c>
      <c r="C59" s="691">
        <v>678240</v>
      </c>
      <c r="D59">
        <v>455</v>
      </c>
      <c r="E59">
        <f t="shared" si="9"/>
        <v>557</v>
      </c>
      <c r="F59" s="563">
        <f t="shared" si="10"/>
        <v>1490.6373626373627</v>
      </c>
    </row>
    <row r="60" spans="1:15">
      <c r="A60" s="553">
        <v>42058</v>
      </c>
      <c r="B60" s="553">
        <v>41258</v>
      </c>
      <c r="C60" s="691">
        <v>602640</v>
      </c>
      <c r="D60">
        <v>451</v>
      </c>
      <c r="E60">
        <f t="shared" si="9"/>
        <v>800</v>
      </c>
      <c r="F60" s="563">
        <f t="shared" si="10"/>
        <v>1336.2305986696231</v>
      </c>
    </row>
    <row r="61" spans="1:15">
      <c r="A61" s="553">
        <v>42086</v>
      </c>
      <c r="B61" s="553">
        <v>38579</v>
      </c>
      <c r="C61" s="691">
        <v>595080</v>
      </c>
      <c r="D61">
        <v>434</v>
      </c>
      <c r="E61">
        <f t="shared" si="9"/>
        <v>3507</v>
      </c>
      <c r="F61" s="563">
        <f t="shared" si="10"/>
        <v>1371.1520737327189</v>
      </c>
    </row>
    <row r="62" spans="1:15">
      <c r="A62" s="553">
        <v>42086</v>
      </c>
      <c r="B62" s="553">
        <v>38701</v>
      </c>
      <c r="C62" s="691">
        <v>516240</v>
      </c>
      <c r="D62">
        <v>409</v>
      </c>
      <c r="E62">
        <f t="shared" si="9"/>
        <v>3385</v>
      </c>
      <c r="F62" s="563">
        <f t="shared" si="10"/>
        <v>1262.2004889975551</v>
      </c>
    </row>
    <row r="63" spans="1:15">
      <c r="A63" s="553">
        <v>42086</v>
      </c>
      <c r="B63" s="553">
        <v>38548</v>
      </c>
      <c r="C63" s="691">
        <v>617760</v>
      </c>
      <c r="D63">
        <v>540</v>
      </c>
      <c r="E63">
        <f t="shared" si="9"/>
        <v>3538</v>
      </c>
      <c r="F63" s="563">
        <f t="shared" si="10"/>
        <v>1144</v>
      </c>
    </row>
    <row r="64" spans="1:15">
      <c r="A64" s="553">
        <v>42086</v>
      </c>
      <c r="B64" s="553">
        <v>40709</v>
      </c>
      <c r="C64" s="691">
        <v>733320</v>
      </c>
      <c r="D64">
        <v>610</v>
      </c>
      <c r="E64">
        <f t="shared" si="9"/>
        <v>1377</v>
      </c>
      <c r="F64" s="563">
        <f t="shared" si="10"/>
        <v>1202.1639344262296</v>
      </c>
    </row>
    <row r="65" spans="1:6">
      <c r="A65" s="553">
        <v>42086</v>
      </c>
      <c r="B65" s="553">
        <v>38975</v>
      </c>
      <c r="C65" s="691">
        <v>654480</v>
      </c>
      <c r="D65">
        <v>477</v>
      </c>
      <c r="E65">
        <f t="shared" si="9"/>
        <v>3111</v>
      </c>
      <c r="F65" s="563">
        <f t="shared" si="10"/>
        <v>1372.0754716981132</v>
      </c>
    </row>
    <row r="66" spans="1:6">
      <c r="A66" t="s">
        <v>565</v>
      </c>
      <c r="B66" s="572"/>
      <c r="C66" s="567">
        <f>AVERAGEA(C28:C65)</f>
        <v>535253.68421052629</v>
      </c>
      <c r="D66" s="555">
        <f>AVERAGEA(D28:D65)</f>
        <v>503.22222222222223</v>
      </c>
      <c r="E66" s="555">
        <f>AVERAGEA(E28:E65)</f>
        <v>2229.8421052631579</v>
      </c>
      <c r="F66" s="555">
        <f>AVERAGEA(F28:F65)</f>
        <v>1090.9429768642067</v>
      </c>
    </row>
    <row r="67" spans="1:6">
      <c r="C67" s="573" t="s">
        <v>566</v>
      </c>
    </row>
    <row r="68" spans="1:6">
      <c r="D68" t="s">
        <v>567</v>
      </c>
      <c r="E68" s="574">
        <f>E66/365</f>
        <v>6.1091564527757747</v>
      </c>
    </row>
    <row r="69" spans="1:6">
      <c r="E69" s="572" t="s">
        <v>568</v>
      </c>
    </row>
    <row r="70" spans="1:6">
      <c r="A70" s="550"/>
    </row>
    <row r="71" spans="1:6">
      <c r="A71" s="550"/>
    </row>
  </sheetData>
  <mergeCells count="54">
    <mergeCell ref="M13:N13"/>
    <mergeCell ref="X5:Y5"/>
    <mergeCell ref="Z5:AA5"/>
    <mergeCell ref="AB5:AC5"/>
    <mergeCell ref="M20:N20"/>
    <mergeCell ref="M5:N5"/>
    <mergeCell ref="M6:N6"/>
    <mergeCell ref="M7:N7"/>
    <mergeCell ref="M8:N8"/>
    <mergeCell ref="M9:N9"/>
    <mergeCell ref="M10:N10"/>
    <mergeCell ref="M11:N11"/>
    <mergeCell ref="M12:N12"/>
    <mergeCell ref="M14:N14"/>
    <mergeCell ref="M16:N16"/>
    <mergeCell ref="M17:N17"/>
    <mergeCell ref="K5:L5"/>
    <mergeCell ref="K6:L6"/>
    <mergeCell ref="K7:L7"/>
    <mergeCell ref="K8:L8"/>
    <mergeCell ref="K9:L9"/>
    <mergeCell ref="I20:J20"/>
    <mergeCell ref="I21:J21"/>
    <mergeCell ref="M21:N21"/>
    <mergeCell ref="K20:L20"/>
    <mergeCell ref="K21:L21"/>
    <mergeCell ref="K10:L10"/>
    <mergeCell ref="K11:L11"/>
    <mergeCell ref="K12:L12"/>
    <mergeCell ref="K13:L13"/>
    <mergeCell ref="K14:L14"/>
    <mergeCell ref="I10:J10"/>
    <mergeCell ref="I11:J11"/>
    <mergeCell ref="I12:J12"/>
    <mergeCell ref="I13:J13"/>
    <mergeCell ref="I14:J14"/>
    <mergeCell ref="I5:J5"/>
    <mergeCell ref="I6:J6"/>
    <mergeCell ref="I7:J7"/>
    <mergeCell ref="I8:J8"/>
    <mergeCell ref="I9:J9"/>
    <mergeCell ref="M15:N15"/>
    <mergeCell ref="K18:L18"/>
    <mergeCell ref="K19:L19"/>
    <mergeCell ref="I16:J16"/>
    <mergeCell ref="I17:J17"/>
    <mergeCell ref="I18:J18"/>
    <mergeCell ref="M18:N18"/>
    <mergeCell ref="M19:N19"/>
    <mergeCell ref="I19:J19"/>
    <mergeCell ref="I15:J15"/>
    <mergeCell ref="K17:L17"/>
    <mergeCell ref="K15:L15"/>
    <mergeCell ref="K16:L16"/>
  </mergeCells>
  <phoneticPr fontId="14"/>
  <pageMargins left="0.70866141732283472" right="0.70866141732283472" top="0.74803149606299213" bottom="0.74803149606299213"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2:Z11"/>
  <sheetViews>
    <sheetView workbookViewId="0">
      <selection activeCell="X43" sqref="X43"/>
    </sheetView>
  </sheetViews>
  <sheetFormatPr defaultRowHeight="13.5"/>
  <cols>
    <col min="1" max="1" width="8" customWidth="1"/>
    <col min="2" max="2" width="8.25" customWidth="1"/>
    <col min="3" max="3" width="2.875" customWidth="1"/>
    <col min="4" max="4" width="2.5" customWidth="1"/>
    <col min="5" max="5" width="2.75" customWidth="1"/>
    <col min="6" max="6" width="2.625" customWidth="1"/>
    <col min="7" max="7" width="3" customWidth="1"/>
    <col min="8" max="8" width="3.75" customWidth="1"/>
    <col min="9" max="9" width="2.25" customWidth="1"/>
    <col min="10" max="10" width="8" customWidth="1"/>
    <col min="11" max="11" width="2.875" customWidth="1"/>
    <col min="12" max="12" width="4.25" customWidth="1"/>
    <col min="13" max="13" width="2.75" customWidth="1"/>
    <col min="14" max="14" width="2.25" customWidth="1"/>
    <col min="15" max="15" width="3.875" customWidth="1"/>
    <col min="16" max="16" width="2.75" customWidth="1"/>
    <col min="17" max="17" width="4" customWidth="1"/>
    <col min="18" max="18" width="4.125" customWidth="1"/>
    <col min="19" max="19" width="8.875" customWidth="1"/>
    <col min="20" max="20" width="3.25" customWidth="1"/>
    <col min="21" max="21" width="10.25" customWidth="1"/>
  </cols>
  <sheetData>
    <row r="2" spans="1:26">
      <c r="A2" s="550" t="s">
        <v>569</v>
      </c>
    </row>
    <row r="4" spans="1:26">
      <c r="A4" s="910" t="s">
        <v>570</v>
      </c>
      <c r="B4" s="910"/>
      <c r="C4" s="910"/>
      <c r="D4" s="910"/>
      <c r="E4" s="910"/>
      <c r="F4" s="910"/>
      <c r="G4" s="910"/>
      <c r="H4" s="910"/>
      <c r="I4" s="910"/>
      <c r="J4" s="910"/>
      <c r="K4" s="910"/>
      <c r="L4" s="910"/>
      <c r="M4" s="910"/>
      <c r="N4" s="910"/>
      <c r="O4" s="910"/>
      <c r="P4" s="910"/>
      <c r="Q4" s="910"/>
      <c r="R4" s="910"/>
      <c r="S4" s="910"/>
      <c r="T4" s="910"/>
      <c r="U4" s="910"/>
      <c r="V4" s="910"/>
      <c r="W4" s="910"/>
      <c r="X4" s="910"/>
    </row>
    <row r="5" spans="1:26">
      <c r="C5" s="554"/>
    </row>
    <row r="6" spans="1:26" ht="26.25" customHeight="1">
      <c r="A6" s="575" t="s">
        <v>571</v>
      </c>
      <c r="B6" s="909" t="s">
        <v>572</v>
      </c>
      <c r="C6" s="909"/>
      <c r="D6" s="909"/>
      <c r="E6" s="909"/>
      <c r="F6" s="909"/>
      <c r="G6" s="909"/>
      <c r="H6" s="909"/>
      <c r="I6" s="909"/>
      <c r="J6" s="909"/>
      <c r="K6" s="909"/>
      <c r="L6" s="909"/>
      <c r="M6" s="909"/>
      <c r="N6" s="909"/>
      <c r="O6" s="909"/>
      <c r="P6" s="909"/>
      <c r="Q6" s="909"/>
      <c r="R6" s="909"/>
      <c r="S6" s="909"/>
      <c r="T6" s="909"/>
      <c r="U6" s="909"/>
      <c r="V6" s="909"/>
      <c r="W6" s="909"/>
      <c r="X6" s="909"/>
      <c r="Y6" s="909"/>
      <c r="Z6" s="909"/>
    </row>
    <row r="7" spans="1:26" ht="26.25" customHeight="1">
      <c r="A7" s="505" t="s">
        <v>573</v>
      </c>
      <c r="B7" s="909" t="s">
        <v>574</v>
      </c>
      <c r="C7" s="909"/>
      <c r="D7" s="909"/>
      <c r="E7" s="909"/>
      <c r="F7" s="909"/>
      <c r="G7" s="909"/>
      <c r="H7" s="909"/>
      <c r="I7" s="909"/>
      <c r="J7" s="909"/>
      <c r="K7" s="909"/>
      <c r="L7" s="909"/>
      <c r="M7" s="909"/>
      <c r="N7" s="909"/>
      <c r="O7" s="909"/>
      <c r="P7" s="909"/>
      <c r="Q7" s="909"/>
      <c r="R7" s="909"/>
      <c r="S7" s="909"/>
      <c r="T7" s="909"/>
      <c r="U7" s="909"/>
      <c r="V7" s="909"/>
      <c r="W7" s="909"/>
      <c r="X7" s="909"/>
      <c r="Y7" s="909"/>
      <c r="Z7" s="909"/>
    </row>
    <row r="8" spans="1:26" ht="26.25" customHeight="1">
      <c r="B8" s="693"/>
      <c r="C8" s="693"/>
      <c r="D8" s="693"/>
      <c r="E8" s="693"/>
      <c r="F8" s="693"/>
      <c r="G8" s="693"/>
      <c r="H8" s="693"/>
      <c r="I8" s="693"/>
      <c r="J8" s="693"/>
      <c r="K8" s="693"/>
      <c r="L8" s="693"/>
      <c r="M8" s="693"/>
      <c r="N8" s="693"/>
      <c r="O8" s="693"/>
      <c r="P8" s="693"/>
      <c r="Q8" s="693"/>
      <c r="R8" s="693"/>
      <c r="S8" s="693"/>
      <c r="T8" s="693"/>
      <c r="U8" s="693"/>
      <c r="V8" s="693"/>
      <c r="W8" s="693"/>
      <c r="X8" s="693"/>
      <c r="Y8" s="693"/>
      <c r="Z8" s="693"/>
    </row>
    <row r="9" spans="1:26">
      <c r="A9" s="575" t="s">
        <v>571</v>
      </c>
      <c r="B9" s="555">
        <v>598000</v>
      </c>
      <c r="C9" t="s">
        <v>575</v>
      </c>
      <c r="D9" t="s">
        <v>576</v>
      </c>
      <c r="E9">
        <v>2</v>
      </c>
      <c r="F9" t="s">
        <v>577</v>
      </c>
      <c r="G9" t="s">
        <v>808</v>
      </c>
      <c r="H9">
        <v>0.5</v>
      </c>
      <c r="I9" t="s">
        <v>808</v>
      </c>
      <c r="J9" s="576">
        <v>5.7180000000000002E-2</v>
      </c>
      <c r="K9" t="s">
        <v>576</v>
      </c>
      <c r="L9" s="577">
        <v>0.5</v>
      </c>
      <c r="M9" t="s">
        <v>578</v>
      </c>
      <c r="N9" s="907">
        <f>L9*J9*H9*E9*B9</f>
        <v>17096.82</v>
      </c>
      <c r="O9" s="907"/>
      <c r="P9" s="907"/>
      <c r="Q9" t="s">
        <v>575</v>
      </c>
      <c r="S9" s="578">
        <f>N9/2</f>
        <v>8548.41</v>
      </c>
      <c r="T9" t="s">
        <v>575</v>
      </c>
      <c r="U9" s="692" t="s">
        <v>579</v>
      </c>
    </row>
    <row r="10" spans="1:26">
      <c r="A10" t="s">
        <v>573</v>
      </c>
      <c r="B10" s="691">
        <v>197000</v>
      </c>
      <c r="C10" t="s">
        <v>575</v>
      </c>
      <c r="D10" t="s">
        <v>808</v>
      </c>
      <c r="E10">
        <v>2</v>
      </c>
      <c r="F10" t="s">
        <v>577</v>
      </c>
      <c r="G10" t="s">
        <v>808</v>
      </c>
      <c r="H10">
        <v>0.5</v>
      </c>
      <c r="I10" t="s">
        <v>808</v>
      </c>
      <c r="J10" s="576">
        <v>0.1196</v>
      </c>
      <c r="K10" t="s">
        <v>576</v>
      </c>
      <c r="L10" s="577">
        <v>0.5</v>
      </c>
      <c r="M10" t="s">
        <v>807</v>
      </c>
      <c r="N10" s="907">
        <f>L10*J10*H10*E10*B10</f>
        <v>11780.6</v>
      </c>
      <c r="O10" s="907"/>
      <c r="P10" s="907"/>
      <c r="Q10" t="s">
        <v>575</v>
      </c>
      <c r="S10" s="578">
        <f>N10/2</f>
        <v>5890.3</v>
      </c>
      <c r="T10" t="s">
        <v>575</v>
      </c>
      <c r="U10" s="692" t="s">
        <v>579</v>
      </c>
    </row>
    <row r="11" spans="1:26">
      <c r="M11" s="550" t="s">
        <v>288</v>
      </c>
      <c r="N11" s="908">
        <f>N9+N10</f>
        <v>28877.42</v>
      </c>
      <c r="O11" s="908"/>
      <c r="P11" s="908"/>
      <c r="Q11" s="550" t="s">
        <v>575</v>
      </c>
      <c r="R11" s="550"/>
      <c r="S11" s="579">
        <f>S9+S10</f>
        <v>14438.71</v>
      </c>
      <c r="T11" s="550" t="s">
        <v>575</v>
      </c>
      <c r="U11" s="573" t="s">
        <v>579</v>
      </c>
    </row>
  </sheetData>
  <mergeCells count="6">
    <mergeCell ref="N10:P10"/>
    <mergeCell ref="N11:P11"/>
    <mergeCell ref="B6:Z6"/>
    <mergeCell ref="A4:X4"/>
    <mergeCell ref="N9:P9"/>
    <mergeCell ref="B7:Z7"/>
  </mergeCells>
  <phoneticPr fontId="14"/>
  <pageMargins left="0.7" right="0.7" top="0.75" bottom="0.75" header="0.3" footer="0.3"/>
  <pageSetup paperSize="9" scale="96"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4:R30"/>
  <sheetViews>
    <sheetView workbookViewId="0">
      <selection activeCell="N19" sqref="N19"/>
    </sheetView>
  </sheetViews>
  <sheetFormatPr defaultRowHeight="13.5"/>
  <cols>
    <col min="1" max="1" width="9" customWidth="1"/>
    <col min="14" max="14" width="10.625" customWidth="1"/>
    <col min="15" max="15" width="2.625" customWidth="1"/>
  </cols>
  <sheetData>
    <row r="4" spans="1:18">
      <c r="A4" s="548"/>
      <c r="B4" s="548"/>
      <c r="C4" s="548"/>
      <c r="D4" s="548"/>
      <c r="E4" s="548"/>
      <c r="F4" s="548"/>
      <c r="G4" s="548"/>
    </row>
    <row r="5" spans="1:18">
      <c r="A5" s="548"/>
      <c r="B5" s="548"/>
      <c r="C5" s="548" t="s">
        <v>813</v>
      </c>
      <c r="D5" s="548"/>
      <c r="E5" s="914" t="s">
        <v>580</v>
      </c>
      <c r="F5" s="914"/>
      <c r="G5" s="548"/>
      <c r="H5" t="s">
        <v>581</v>
      </c>
    </row>
    <row r="6" spans="1:18" ht="14.25" thickBot="1">
      <c r="A6" s="548"/>
      <c r="B6" s="548"/>
      <c r="C6" s="548"/>
      <c r="D6" s="548"/>
      <c r="E6" s="548"/>
      <c r="F6" s="548"/>
      <c r="G6" s="548"/>
    </row>
    <row r="7" spans="1:18" ht="14.25" thickTop="1">
      <c r="A7" s="548"/>
      <c r="B7" s="548" t="s">
        <v>582</v>
      </c>
      <c r="C7" s="580"/>
      <c r="D7" s="581"/>
      <c r="E7" s="582"/>
      <c r="F7" s="915" t="s">
        <v>583</v>
      </c>
      <c r="G7" s="914"/>
      <c r="I7" s="910" t="s">
        <v>584</v>
      </c>
      <c r="J7" s="910"/>
      <c r="K7" s="910"/>
      <c r="L7" s="910"/>
      <c r="M7" s="910"/>
      <c r="N7" s="566">
        <v>142500</v>
      </c>
      <c r="O7" s="583" t="s">
        <v>575</v>
      </c>
      <c r="P7" s="906" t="s">
        <v>585</v>
      </c>
      <c r="Q7" s="906"/>
      <c r="R7" s="906"/>
    </row>
    <row r="8" spans="1:18">
      <c r="A8" s="548"/>
      <c r="B8" s="548"/>
      <c r="C8" s="584"/>
      <c r="D8" s="549"/>
      <c r="E8" s="585"/>
      <c r="F8" s="548"/>
      <c r="G8" s="548"/>
      <c r="I8" s="910" t="s">
        <v>586</v>
      </c>
      <c r="J8" s="910"/>
      <c r="K8" s="910"/>
      <c r="L8" s="910"/>
      <c r="M8" s="910"/>
      <c r="N8" s="555">
        <v>13600</v>
      </c>
      <c r="O8" t="s">
        <v>575</v>
      </c>
      <c r="P8" s="906" t="s">
        <v>585</v>
      </c>
      <c r="Q8" s="906"/>
      <c r="R8" s="906"/>
    </row>
    <row r="9" spans="1:18">
      <c r="A9" s="548"/>
      <c r="B9" s="548"/>
      <c r="C9" s="584"/>
      <c r="D9" s="549"/>
      <c r="E9" s="585"/>
      <c r="F9" s="548"/>
      <c r="G9" s="548"/>
    </row>
    <row r="10" spans="1:18">
      <c r="A10" s="548"/>
      <c r="B10" s="548"/>
      <c r="C10" s="584"/>
      <c r="D10" s="549"/>
      <c r="E10" s="585"/>
      <c r="F10" s="548"/>
      <c r="G10" s="548"/>
      <c r="I10" t="s">
        <v>587</v>
      </c>
    </row>
    <row r="11" spans="1:18">
      <c r="A11" s="548"/>
      <c r="B11" s="917"/>
      <c r="C11" s="584"/>
      <c r="D11" s="549" t="s">
        <v>812</v>
      </c>
      <c r="E11" s="585"/>
      <c r="F11" s="548"/>
      <c r="G11" s="548"/>
      <c r="I11" t="s">
        <v>588</v>
      </c>
      <c r="J11" t="s">
        <v>589</v>
      </c>
      <c r="K11" t="s">
        <v>590</v>
      </c>
      <c r="L11" t="s">
        <v>591</v>
      </c>
      <c r="N11" s="555">
        <v>15840</v>
      </c>
      <c r="O11" t="s">
        <v>575</v>
      </c>
      <c r="P11" s="906" t="s">
        <v>592</v>
      </c>
      <c r="Q11" s="906"/>
      <c r="R11" s="906"/>
    </row>
    <row r="12" spans="1:18">
      <c r="A12" s="548"/>
      <c r="B12" s="917"/>
      <c r="C12" s="584"/>
      <c r="D12" s="549"/>
      <c r="E12" s="585"/>
      <c r="F12" s="918" t="s">
        <v>593</v>
      </c>
      <c r="G12" s="919"/>
      <c r="J12" t="s">
        <v>589</v>
      </c>
      <c r="K12" t="s">
        <v>594</v>
      </c>
      <c r="L12" t="s">
        <v>595</v>
      </c>
      <c r="N12" s="555">
        <v>7500</v>
      </c>
      <c r="O12" t="s">
        <v>575</v>
      </c>
      <c r="P12" s="906" t="s">
        <v>592</v>
      </c>
      <c r="Q12" s="906"/>
      <c r="R12" s="906"/>
    </row>
    <row r="13" spans="1:18">
      <c r="A13" s="548"/>
      <c r="B13" s="548"/>
      <c r="C13" s="584"/>
      <c r="D13" s="549"/>
      <c r="E13" s="585"/>
      <c r="F13" s="918"/>
      <c r="G13" s="919"/>
      <c r="J13" t="s">
        <v>589</v>
      </c>
      <c r="K13" t="s">
        <v>596</v>
      </c>
      <c r="L13" t="s">
        <v>597</v>
      </c>
      <c r="N13" s="555">
        <v>1760</v>
      </c>
      <c r="O13" t="s">
        <v>575</v>
      </c>
      <c r="P13" s="906" t="s">
        <v>592</v>
      </c>
      <c r="Q13" s="906"/>
      <c r="R13" s="906"/>
    </row>
    <row r="14" spans="1:18">
      <c r="A14" s="548"/>
      <c r="B14" s="548"/>
      <c r="C14" s="584"/>
      <c r="D14" s="549"/>
      <c r="E14" s="585"/>
      <c r="F14" s="548"/>
      <c r="G14" s="548"/>
      <c r="J14" t="s">
        <v>589</v>
      </c>
      <c r="K14" t="s">
        <v>598</v>
      </c>
      <c r="L14" t="s">
        <v>599</v>
      </c>
      <c r="N14" s="555">
        <v>5440</v>
      </c>
      <c r="O14" t="s">
        <v>575</v>
      </c>
      <c r="P14" s="906" t="s">
        <v>592</v>
      </c>
      <c r="Q14" s="906"/>
      <c r="R14" s="906"/>
    </row>
    <row r="15" spans="1:18">
      <c r="A15" s="548"/>
      <c r="B15" s="548"/>
      <c r="C15" s="584"/>
      <c r="D15" s="586" t="s">
        <v>600</v>
      </c>
      <c r="E15" s="585"/>
      <c r="F15" s="548"/>
      <c r="G15" s="548"/>
      <c r="J15" t="s">
        <v>601</v>
      </c>
      <c r="L15" t="s">
        <v>602</v>
      </c>
      <c r="N15" s="555">
        <v>3160</v>
      </c>
      <c r="O15" t="s">
        <v>575</v>
      </c>
      <c r="P15" s="906" t="s">
        <v>592</v>
      </c>
      <c r="Q15" s="906"/>
      <c r="R15" s="906"/>
    </row>
    <row r="16" spans="1:18">
      <c r="A16" s="548"/>
      <c r="B16" s="548"/>
      <c r="C16" s="584"/>
      <c r="D16" s="549"/>
      <c r="E16" s="585"/>
      <c r="F16" s="548"/>
      <c r="G16" s="548"/>
      <c r="M16" s="562" t="s">
        <v>288</v>
      </c>
      <c r="N16" s="555">
        <f>SUM(N7:N15)</f>
        <v>189800</v>
      </c>
      <c r="O16" t="s">
        <v>575</v>
      </c>
    </row>
    <row r="17" spans="1:14">
      <c r="A17" s="548"/>
      <c r="B17" s="548"/>
      <c r="C17" s="584"/>
      <c r="D17" s="549"/>
      <c r="E17" s="585"/>
      <c r="F17" s="912" t="s">
        <v>811</v>
      </c>
      <c r="G17" s="548"/>
    </row>
    <row r="18" spans="1:14">
      <c r="A18" s="548"/>
      <c r="B18" s="548"/>
      <c r="C18" s="584"/>
      <c r="D18" s="549"/>
      <c r="E18" s="585"/>
      <c r="F18" s="912"/>
      <c r="G18" s="548"/>
      <c r="I18" s="911" t="s">
        <v>603</v>
      </c>
      <c r="J18" s="911"/>
      <c r="K18" s="911"/>
      <c r="L18" s="911"/>
      <c r="M18" s="911"/>
      <c r="N18" t="s">
        <v>843</v>
      </c>
    </row>
    <row r="19" spans="1:14">
      <c r="A19" s="548"/>
      <c r="B19" s="916"/>
      <c r="C19" s="584"/>
      <c r="D19" s="549"/>
      <c r="E19" s="585"/>
      <c r="F19" s="548"/>
      <c r="G19" s="548"/>
      <c r="I19" s="299" t="s">
        <v>604</v>
      </c>
      <c r="J19" s="299"/>
      <c r="K19" s="299"/>
      <c r="L19" s="299"/>
      <c r="M19" s="299"/>
      <c r="N19" t="s">
        <v>843</v>
      </c>
    </row>
    <row r="20" spans="1:14">
      <c r="A20" s="548"/>
      <c r="B20" s="916"/>
      <c r="C20" s="584"/>
      <c r="D20" s="549"/>
      <c r="E20" s="585"/>
      <c r="F20" s="548"/>
      <c r="G20" s="548"/>
      <c r="I20" s="299" t="s">
        <v>605</v>
      </c>
      <c r="J20" s="299"/>
      <c r="K20" s="299"/>
      <c r="L20" s="299"/>
      <c r="M20" s="299"/>
    </row>
    <row r="21" spans="1:14">
      <c r="A21" s="548"/>
      <c r="B21" s="548"/>
      <c r="C21" s="584"/>
      <c r="D21" s="549"/>
      <c r="E21" s="585"/>
      <c r="F21" s="548"/>
      <c r="G21" s="548"/>
      <c r="I21" s="299"/>
      <c r="J21" s="299"/>
      <c r="K21" s="299"/>
      <c r="L21" s="299"/>
      <c r="M21" s="299"/>
    </row>
    <row r="22" spans="1:14">
      <c r="A22" s="548"/>
      <c r="B22" s="548"/>
      <c r="C22" s="913" t="s">
        <v>810</v>
      </c>
      <c r="D22" s="549"/>
      <c r="E22" s="585"/>
      <c r="F22" s="548"/>
      <c r="G22" s="548"/>
      <c r="I22" s="299" t="s">
        <v>817</v>
      </c>
      <c r="J22" s="299"/>
      <c r="K22" s="299"/>
      <c r="L22" s="299"/>
      <c r="M22" s="299"/>
    </row>
    <row r="23" spans="1:14">
      <c r="A23" s="548"/>
      <c r="B23" s="548"/>
      <c r="C23" s="913"/>
      <c r="D23" s="549"/>
      <c r="E23" s="585"/>
      <c r="F23" s="548"/>
      <c r="G23" s="548"/>
      <c r="I23" s="299" t="s">
        <v>818</v>
      </c>
      <c r="J23" s="299" t="s">
        <v>819</v>
      </c>
      <c r="K23" s="299" t="s">
        <v>820</v>
      </c>
      <c r="L23" s="299" t="s">
        <v>821</v>
      </c>
      <c r="M23" s="299"/>
    </row>
    <row r="24" spans="1:14">
      <c r="A24" s="548"/>
      <c r="B24" s="548"/>
      <c r="C24" s="584"/>
      <c r="D24" s="549"/>
      <c r="E24" s="585"/>
      <c r="F24" s="548"/>
      <c r="G24" s="548"/>
      <c r="I24" s="299">
        <v>2</v>
      </c>
      <c r="J24" s="299">
        <f>8+5</f>
        <v>13</v>
      </c>
      <c r="K24" s="299">
        <f>⑤支出!F129</f>
        <v>962</v>
      </c>
      <c r="L24" s="745">
        <f>I24*J24*K24</f>
        <v>25012</v>
      </c>
      <c r="M24" s="299"/>
    </row>
    <row r="25" spans="1:14">
      <c r="A25" s="548"/>
      <c r="B25" s="548"/>
      <c r="C25" s="584"/>
      <c r="D25" s="549"/>
      <c r="E25" s="585"/>
      <c r="F25" s="548"/>
      <c r="G25" s="548"/>
    </row>
    <row r="26" spans="1:14">
      <c r="A26" s="548"/>
      <c r="B26" s="548"/>
      <c r="C26" s="584"/>
      <c r="D26" s="549"/>
      <c r="E26" s="585"/>
      <c r="F26" s="548"/>
      <c r="G26" s="548"/>
    </row>
    <row r="27" spans="1:14">
      <c r="A27" s="548"/>
      <c r="B27" s="548"/>
      <c r="C27" s="584"/>
      <c r="D27" s="549"/>
      <c r="E27" s="585"/>
      <c r="F27" s="548"/>
      <c r="G27" s="548"/>
    </row>
    <row r="28" spans="1:14" ht="14.25" thickBot="1">
      <c r="A28" s="548"/>
      <c r="B28" s="548"/>
      <c r="C28" s="587"/>
      <c r="D28" s="588"/>
      <c r="E28" s="589"/>
      <c r="F28" s="548"/>
      <c r="G28" s="548"/>
    </row>
    <row r="29" spans="1:14" ht="14.25" thickTop="1">
      <c r="A29" s="548"/>
      <c r="B29" s="548"/>
      <c r="C29" s="548"/>
      <c r="D29" s="548"/>
      <c r="E29" s="548"/>
      <c r="F29" s="548"/>
      <c r="G29" s="548"/>
    </row>
    <row r="30" spans="1:14">
      <c r="A30" s="548"/>
      <c r="B30" s="548"/>
      <c r="C30" s="548"/>
      <c r="D30" s="695" t="s">
        <v>809</v>
      </c>
      <c r="E30" s="548"/>
      <c r="F30" s="548"/>
      <c r="G30" s="548"/>
    </row>
  </sheetData>
  <mergeCells count="17">
    <mergeCell ref="F17:F18"/>
    <mergeCell ref="C22:C23"/>
    <mergeCell ref="E5:F5"/>
    <mergeCell ref="F7:G7"/>
    <mergeCell ref="B19:B20"/>
    <mergeCell ref="B11:B12"/>
    <mergeCell ref="F12:G13"/>
    <mergeCell ref="I18:M18"/>
    <mergeCell ref="I7:M7"/>
    <mergeCell ref="I8:M8"/>
    <mergeCell ref="P7:R7"/>
    <mergeCell ref="P8:R8"/>
    <mergeCell ref="P11:R11"/>
    <mergeCell ref="P12:R12"/>
    <mergeCell ref="P13:R13"/>
    <mergeCell ref="P14:R14"/>
    <mergeCell ref="P15:R15"/>
  </mergeCells>
  <phoneticPr fontId="14"/>
  <pageMargins left="0.7" right="0.7" top="0.75" bottom="0.75" header="0.3" footer="0.3"/>
  <pageSetup paperSize="9" scale="85" orientation="landscape"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A1:O26"/>
  <sheetViews>
    <sheetView workbookViewId="0">
      <selection activeCell="J7" sqref="J7"/>
    </sheetView>
  </sheetViews>
  <sheetFormatPr defaultRowHeight="13.5"/>
  <cols>
    <col min="1" max="1" width="10.875" customWidth="1"/>
    <col min="2" max="2" width="20.125" customWidth="1"/>
    <col min="3" max="3" width="13.625" customWidth="1"/>
    <col min="4" max="4" width="3.5" customWidth="1"/>
    <col min="5" max="5" width="11.75" customWidth="1"/>
    <col min="6" max="6" width="3.25" customWidth="1"/>
    <col min="7" max="7" width="9.375" customWidth="1"/>
    <col min="8" max="8" width="19.375" customWidth="1"/>
    <col min="9" max="9" width="16.375" customWidth="1"/>
    <col min="10" max="10" width="14" customWidth="1"/>
    <col min="13" max="13" width="21.875" customWidth="1"/>
  </cols>
  <sheetData>
    <row r="1" spans="1:13">
      <c r="A1" t="s">
        <v>606</v>
      </c>
    </row>
    <row r="2" spans="1:13">
      <c r="C2" s="906" t="s">
        <v>607</v>
      </c>
      <c r="D2" s="906"/>
      <c r="E2" s="906" t="s">
        <v>608</v>
      </c>
      <c r="F2" s="906"/>
      <c r="G2" t="s">
        <v>609</v>
      </c>
      <c r="H2" s="692" t="s">
        <v>610</v>
      </c>
    </row>
    <row r="3" spans="1:13">
      <c r="A3" s="922" t="s">
        <v>611</v>
      </c>
      <c r="B3" s="703" t="s">
        <v>612</v>
      </c>
      <c r="C3" s="704">
        <v>4044</v>
      </c>
      <c r="D3" s="703" t="s">
        <v>575</v>
      </c>
      <c r="E3" s="704">
        <f t="shared" ref="E3:E8" si="0">C3*10</f>
        <v>40440</v>
      </c>
      <c r="F3" s="703" t="s">
        <v>575</v>
      </c>
      <c r="G3" s="703"/>
      <c r="H3" s="707" t="s">
        <v>844</v>
      </c>
      <c r="I3" s="706" t="s">
        <v>613</v>
      </c>
      <c r="J3" s="706" t="s">
        <v>614</v>
      </c>
      <c r="K3" s="706"/>
      <c r="L3" s="706"/>
      <c r="M3" s="705"/>
    </row>
    <row r="4" spans="1:13">
      <c r="A4" s="922"/>
      <c r="B4" s="703" t="s">
        <v>615</v>
      </c>
      <c r="C4" s="704">
        <v>4494</v>
      </c>
      <c r="D4" s="703" t="s">
        <v>575</v>
      </c>
      <c r="E4" s="704">
        <f t="shared" si="0"/>
        <v>44940</v>
      </c>
      <c r="F4" s="703" t="s">
        <v>575</v>
      </c>
      <c r="G4" s="703"/>
      <c r="H4" s="920" t="s">
        <v>616</v>
      </c>
      <c r="I4" s="921"/>
      <c r="J4" s="706"/>
      <c r="K4" s="706"/>
      <c r="L4" s="706"/>
      <c r="M4" s="705"/>
    </row>
    <row r="5" spans="1:13">
      <c r="A5" s="714" t="s">
        <v>617</v>
      </c>
      <c r="B5" s="703" t="s">
        <v>618</v>
      </c>
      <c r="C5" s="704">
        <v>14628</v>
      </c>
      <c r="D5" s="703" t="s">
        <v>575</v>
      </c>
      <c r="E5" s="704">
        <f t="shared" si="0"/>
        <v>146280</v>
      </c>
      <c r="F5" s="703" t="s">
        <v>575</v>
      </c>
      <c r="G5" s="703"/>
      <c r="H5" s="920" t="s">
        <v>616</v>
      </c>
      <c r="I5" s="921"/>
      <c r="J5" s="706"/>
      <c r="K5" s="706"/>
      <c r="L5" s="706"/>
      <c r="M5" s="705"/>
    </row>
    <row r="6" spans="1:13">
      <c r="A6" s="714" t="s">
        <v>619</v>
      </c>
      <c r="B6" s="703" t="s">
        <v>620</v>
      </c>
      <c r="C6" s="704">
        <v>8079</v>
      </c>
      <c r="D6" s="703" t="s">
        <v>575</v>
      </c>
      <c r="E6" s="704">
        <f t="shared" si="0"/>
        <v>80790</v>
      </c>
      <c r="F6" s="703" t="s">
        <v>575</v>
      </c>
      <c r="G6" s="703"/>
      <c r="H6" s="920" t="s">
        <v>616</v>
      </c>
      <c r="I6" s="921"/>
      <c r="J6" s="706"/>
      <c r="K6" s="706"/>
      <c r="L6" s="706"/>
      <c r="M6" s="705"/>
    </row>
    <row r="7" spans="1:13">
      <c r="A7" s="714" t="s">
        <v>621</v>
      </c>
      <c r="B7" s="703" t="s">
        <v>622</v>
      </c>
      <c r="C7" s="704">
        <v>1848</v>
      </c>
      <c r="D7" s="703" t="s">
        <v>575</v>
      </c>
      <c r="E7" s="704">
        <f t="shared" si="0"/>
        <v>18480</v>
      </c>
      <c r="F7" s="703" t="s">
        <v>575</v>
      </c>
      <c r="G7" s="703"/>
      <c r="H7" s="920" t="s">
        <v>616</v>
      </c>
      <c r="I7" s="921"/>
      <c r="J7" s="706"/>
      <c r="K7" s="706"/>
      <c r="L7" s="706"/>
      <c r="M7" s="705"/>
    </row>
    <row r="8" spans="1:13">
      <c r="A8" s="923" t="s">
        <v>623</v>
      </c>
      <c r="B8" s="924" t="s">
        <v>624</v>
      </c>
      <c r="C8" s="928">
        <v>16700</v>
      </c>
      <c r="D8" s="929" t="s">
        <v>575</v>
      </c>
      <c r="E8" s="928">
        <f t="shared" si="0"/>
        <v>167000</v>
      </c>
      <c r="F8" s="929" t="s">
        <v>575</v>
      </c>
      <c r="G8" s="703"/>
      <c r="H8" s="926" t="s">
        <v>845</v>
      </c>
      <c r="I8" s="927" t="s">
        <v>846</v>
      </c>
      <c r="J8" s="713"/>
      <c r="K8" s="713"/>
      <c r="L8" s="713"/>
      <c r="M8" s="712"/>
    </row>
    <row r="9" spans="1:13">
      <c r="A9" s="923"/>
      <c r="B9" s="924"/>
      <c r="C9" s="928"/>
      <c r="D9" s="929"/>
      <c r="E9" s="928"/>
      <c r="F9" s="929"/>
      <c r="G9" s="703"/>
      <c r="H9" s="926"/>
      <c r="I9" s="927"/>
      <c r="J9" s="590"/>
      <c r="K9" s="590"/>
      <c r="L9" s="590"/>
      <c r="M9" s="591"/>
    </row>
    <row r="10" spans="1:13">
      <c r="A10" s="922" t="s">
        <v>625</v>
      </c>
      <c r="B10" s="703" t="s">
        <v>626</v>
      </c>
      <c r="C10" s="704">
        <v>519</v>
      </c>
      <c r="D10" s="703" t="s">
        <v>575</v>
      </c>
      <c r="E10" s="704">
        <f t="shared" ref="E10:E17" si="1">C10*10</f>
        <v>5190</v>
      </c>
      <c r="F10" s="703" t="s">
        <v>575</v>
      </c>
      <c r="G10" s="703"/>
      <c r="H10" s="710" t="s">
        <v>627</v>
      </c>
      <c r="I10" s="709"/>
      <c r="J10" s="709"/>
      <c r="K10" s="709"/>
      <c r="L10" s="706"/>
      <c r="M10" s="705"/>
    </row>
    <row r="11" spans="1:13">
      <c r="A11" s="922"/>
      <c r="B11" s="703" t="s">
        <v>628</v>
      </c>
      <c r="C11" s="704">
        <v>125</v>
      </c>
      <c r="D11" s="703" t="s">
        <v>575</v>
      </c>
      <c r="E11" s="704">
        <f t="shared" si="1"/>
        <v>1250</v>
      </c>
      <c r="F11" s="703" t="s">
        <v>575</v>
      </c>
      <c r="G11" s="703"/>
      <c r="H11" s="710" t="s">
        <v>627</v>
      </c>
      <c r="I11" s="706"/>
      <c r="J11" s="706"/>
      <c r="K11" s="706"/>
      <c r="L11" s="706"/>
      <c r="M11" s="705"/>
    </row>
    <row r="12" spans="1:13">
      <c r="A12" s="922"/>
      <c r="B12" s="703" t="s">
        <v>629</v>
      </c>
      <c r="C12" s="704">
        <v>5967</v>
      </c>
      <c r="D12" s="703" t="s">
        <v>575</v>
      </c>
      <c r="E12" s="704">
        <f t="shared" si="1"/>
        <v>59670</v>
      </c>
      <c r="F12" s="703" t="s">
        <v>575</v>
      </c>
      <c r="G12" s="703"/>
      <c r="H12" s="710" t="s">
        <v>630</v>
      </c>
      <c r="I12" s="706"/>
      <c r="J12" s="706"/>
      <c r="K12" s="706"/>
      <c r="L12" s="706"/>
      <c r="M12" s="705"/>
    </row>
    <row r="13" spans="1:13">
      <c r="A13" s="922"/>
      <c r="B13" s="703" t="s">
        <v>631</v>
      </c>
      <c r="C13" s="704">
        <v>1693</v>
      </c>
      <c r="D13" s="703" t="s">
        <v>575</v>
      </c>
      <c r="E13" s="704">
        <f t="shared" si="1"/>
        <v>16930</v>
      </c>
      <c r="F13" s="703" t="s">
        <v>575</v>
      </c>
      <c r="G13" s="703"/>
      <c r="H13" s="710" t="s">
        <v>630</v>
      </c>
      <c r="I13" s="706"/>
      <c r="J13" s="706"/>
      <c r="K13" s="706"/>
      <c r="L13" s="706"/>
      <c r="M13" s="705"/>
    </row>
    <row r="14" spans="1:13">
      <c r="A14" s="711" t="s">
        <v>430</v>
      </c>
      <c r="B14" s="703" t="s">
        <v>632</v>
      </c>
      <c r="C14" s="704">
        <v>1700</v>
      </c>
      <c r="D14" s="703" t="s">
        <v>575</v>
      </c>
      <c r="E14" s="704">
        <f t="shared" si="1"/>
        <v>17000</v>
      </c>
      <c r="F14" s="703" t="s">
        <v>575</v>
      </c>
      <c r="G14" s="703"/>
      <c r="H14" s="920" t="s">
        <v>616</v>
      </c>
      <c r="I14" s="921"/>
      <c r="J14" s="706"/>
      <c r="K14" s="706"/>
      <c r="L14" s="706"/>
      <c r="M14" s="705"/>
    </row>
    <row r="15" spans="1:13">
      <c r="A15" s="711" t="s">
        <v>633</v>
      </c>
      <c r="B15" s="703"/>
      <c r="C15" s="704">
        <v>9844</v>
      </c>
      <c r="D15" s="703" t="s">
        <v>575</v>
      </c>
      <c r="E15" s="704">
        <f t="shared" si="1"/>
        <v>98440</v>
      </c>
      <c r="F15" s="703" t="s">
        <v>575</v>
      </c>
      <c r="G15" s="703"/>
      <c r="H15" s="710" t="s">
        <v>634</v>
      </c>
      <c r="I15" s="709"/>
      <c r="J15" s="709"/>
      <c r="K15" s="709"/>
      <c r="L15" s="709"/>
      <c r="M15" s="708"/>
    </row>
    <row r="16" spans="1:13">
      <c r="A16" s="925" t="s">
        <v>635</v>
      </c>
      <c r="B16" s="703" t="s">
        <v>636</v>
      </c>
      <c r="C16" s="704">
        <v>9500</v>
      </c>
      <c r="D16" s="703" t="s">
        <v>575</v>
      </c>
      <c r="E16" s="704">
        <f t="shared" si="1"/>
        <v>95000</v>
      </c>
      <c r="F16" s="703" t="s">
        <v>575</v>
      </c>
      <c r="G16" s="703"/>
      <c r="H16" s="920" t="s">
        <v>616</v>
      </c>
      <c r="I16" s="921"/>
      <c r="J16" s="709"/>
      <c r="K16" s="709"/>
      <c r="L16" s="709"/>
      <c r="M16" s="708"/>
    </row>
    <row r="17" spans="1:15">
      <c r="A17" s="925"/>
      <c r="B17" s="703" t="s">
        <v>430</v>
      </c>
      <c r="C17" s="704">
        <v>1300</v>
      </c>
      <c r="D17" s="703" t="s">
        <v>575</v>
      </c>
      <c r="E17" s="704">
        <f t="shared" si="1"/>
        <v>13000</v>
      </c>
      <c r="F17" s="703" t="s">
        <v>575</v>
      </c>
      <c r="G17" s="703"/>
      <c r="H17" s="920" t="s">
        <v>616</v>
      </c>
      <c r="I17" s="921"/>
      <c r="J17" s="709"/>
      <c r="K17" s="709"/>
      <c r="L17" s="709"/>
      <c r="M17" s="708"/>
    </row>
    <row r="18" spans="1:15">
      <c r="A18" s="592" t="s">
        <v>288</v>
      </c>
      <c r="C18" s="555">
        <f>SUM(C3:C17)</f>
        <v>80441</v>
      </c>
      <c r="D18" t="s">
        <v>575</v>
      </c>
      <c r="E18" s="555">
        <f>SUM(E3:E17)</f>
        <v>804410</v>
      </c>
      <c r="F18" t="s">
        <v>575</v>
      </c>
    </row>
    <row r="21" spans="1:15">
      <c r="A21" t="s">
        <v>637</v>
      </c>
    </row>
    <row r="22" spans="1:15">
      <c r="A22" s="703" t="s">
        <v>638</v>
      </c>
      <c r="B22" s="703" t="s">
        <v>639</v>
      </c>
      <c r="C22" s="704">
        <v>80000</v>
      </c>
      <c r="D22" s="703" t="s">
        <v>575</v>
      </c>
      <c r="E22" s="704">
        <f>C22*10</f>
        <v>800000</v>
      </c>
      <c r="F22" s="703" t="s">
        <v>575</v>
      </c>
      <c r="G22" s="703"/>
      <c r="H22" s="703" t="s">
        <v>640</v>
      </c>
      <c r="I22" s="707"/>
      <c r="J22" s="706"/>
      <c r="K22" s="706"/>
      <c r="L22" s="706"/>
      <c r="M22" s="706"/>
      <c r="N22" s="706"/>
      <c r="O22" s="705"/>
    </row>
    <row r="23" spans="1:15">
      <c r="A23" s="703" t="s">
        <v>641</v>
      </c>
      <c r="B23" s="703" t="s">
        <v>642</v>
      </c>
      <c r="C23" s="704">
        <v>30000</v>
      </c>
      <c r="D23" s="703" t="s">
        <v>575</v>
      </c>
      <c r="E23" s="704">
        <v>240000</v>
      </c>
      <c r="F23" s="703" t="s">
        <v>575</v>
      </c>
      <c r="G23" s="703"/>
      <c r="H23" s="703" t="s">
        <v>643</v>
      </c>
      <c r="I23" s="703"/>
      <c r="J23" s="703"/>
      <c r="K23" s="703"/>
      <c r="L23" s="703"/>
      <c r="M23" s="703"/>
      <c r="N23" s="703"/>
      <c r="O23" s="703"/>
    </row>
    <row r="24" spans="1:15">
      <c r="A24" s="692" t="s">
        <v>288</v>
      </c>
      <c r="C24" s="555">
        <f>SUM(C22:C23)</f>
        <v>110000</v>
      </c>
      <c r="D24" t="s">
        <v>575</v>
      </c>
      <c r="E24" s="555">
        <f>SUM(E22:E23)</f>
        <v>1040000</v>
      </c>
      <c r="F24" t="s">
        <v>575</v>
      </c>
    </row>
    <row r="25" spans="1:15">
      <c r="C25" s="555"/>
    </row>
    <row r="26" spans="1:15">
      <c r="A26" t="s">
        <v>644</v>
      </c>
      <c r="C26" s="555">
        <f>C24-C18</f>
        <v>29559</v>
      </c>
      <c r="D26" t="s">
        <v>575</v>
      </c>
      <c r="E26" s="555">
        <f>E24-E18</f>
        <v>235590</v>
      </c>
      <c r="F26" t="s">
        <v>575</v>
      </c>
    </row>
  </sheetData>
  <mergeCells count="20">
    <mergeCell ref="H14:I14"/>
    <mergeCell ref="A16:A17"/>
    <mergeCell ref="H16:I16"/>
    <mergeCell ref="H17:I17"/>
    <mergeCell ref="H8:H9"/>
    <mergeCell ref="I8:I9"/>
    <mergeCell ref="C8:C9"/>
    <mergeCell ref="D8:D9"/>
    <mergeCell ref="E8:E9"/>
    <mergeCell ref="F8:F9"/>
    <mergeCell ref="C2:D2"/>
    <mergeCell ref="A3:A4"/>
    <mergeCell ref="E2:F2"/>
    <mergeCell ref="A8:A9"/>
    <mergeCell ref="B8:B9"/>
    <mergeCell ref="H4:I4"/>
    <mergeCell ref="H5:I5"/>
    <mergeCell ref="A10:A13"/>
    <mergeCell ref="H6:I6"/>
    <mergeCell ref="H7:I7"/>
  </mergeCells>
  <phoneticPr fontId="14"/>
  <pageMargins left="0.7" right="0.7" top="0.75" bottom="0.75" header="0.3" footer="0.3"/>
  <pageSetup paperSize="9" scale="74"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2:R27"/>
  <sheetViews>
    <sheetView workbookViewId="0">
      <selection activeCell="H1" sqref="H1"/>
    </sheetView>
  </sheetViews>
  <sheetFormatPr defaultRowHeight="13.5"/>
  <cols>
    <col min="15" max="15" width="6.625" customWidth="1"/>
    <col min="17" max="17" width="10.375" customWidth="1"/>
  </cols>
  <sheetData>
    <row r="2" spans="1:18">
      <c r="A2" t="s">
        <v>645</v>
      </c>
    </row>
    <row r="4" spans="1:18">
      <c r="A4" t="s">
        <v>646</v>
      </c>
      <c r="B4" t="s">
        <v>647</v>
      </c>
      <c r="C4" t="s">
        <v>648</v>
      </c>
      <c r="D4" t="s">
        <v>649</v>
      </c>
      <c r="E4" t="s">
        <v>650</v>
      </c>
      <c r="F4" t="s">
        <v>651</v>
      </c>
      <c r="G4" t="s">
        <v>652</v>
      </c>
      <c r="H4" t="s">
        <v>653</v>
      </c>
      <c r="I4" t="s">
        <v>654</v>
      </c>
      <c r="J4" t="s">
        <v>655</v>
      </c>
      <c r="K4" t="s">
        <v>656</v>
      </c>
      <c r="L4" t="s">
        <v>657</v>
      </c>
    </row>
    <row r="5" spans="1:18">
      <c r="A5" t="s">
        <v>815</v>
      </c>
      <c r="C5" t="s">
        <v>659</v>
      </c>
      <c r="D5" t="s">
        <v>660</v>
      </c>
      <c r="E5" t="s">
        <v>660</v>
      </c>
      <c r="F5" t="s">
        <v>660</v>
      </c>
      <c r="G5" t="s">
        <v>660</v>
      </c>
    </row>
    <row r="6" spans="1:18">
      <c r="A6" t="s">
        <v>661</v>
      </c>
      <c r="B6" t="s">
        <v>662</v>
      </c>
      <c r="C6" t="s">
        <v>663</v>
      </c>
      <c r="D6" t="s">
        <v>664</v>
      </c>
      <c r="E6" t="s">
        <v>664</v>
      </c>
      <c r="F6" t="s">
        <v>664</v>
      </c>
      <c r="G6" t="s">
        <v>664</v>
      </c>
      <c r="H6" t="s">
        <v>664</v>
      </c>
      <c r="I6" t="s">
        <v>662</v>
      </c>
      <c r="J6" t="s">
        <v>662</v>
      </c>
      <c r="K6" t="s">
        <v>662</v>
      </c>
      <c r="L6" t="s">
        <v>662</v>
      </c>
      <c r="N6" t="s">
        <v>288</v>
      </c>
      <c r="P6" s="906" t="s">
        <v>665</v>
      </c>
      <c r="Q6" s="906"/>
      <c r="R6" s="562" t="s">
        <v>288</v>
      </c>
    </row>
    <row r="7" spans="1:18">
      <c r="A7" t="s">
        <v>666</v>
      </c>
      <c r="B7">
        <v>2</v>
      </c>
      <c r="C7">
        <v>2</v>
      </c>
      <c r="D7">
        <v>2</v>
      </c>
      <c r="E7">
        <v>2</v>
      </c>
      <c r="F7">
        <v>2</v>
      </c>
      <c r="G7">
        <v>2</v>
      </c>
      <c r="H7">
        <v>1</v>
      </c>
      <c r="I7">
        <v>1</v>
      </c>
      <c r="J7">
        <v>1</v>
      </c>
      <c r="K7">
        <v>1</v>
      </c>
      <c r="L7">
        <v>1</v>
      </c>
      <c r="N7">
        <f>SUM(B7:L7)*30.4</f>
        <v>516.79999999999995</v>
      </c>
      <c r="P7" s="557">
        <v>55.6</v>
      </c>
      <c r="R7" s="558">
        <f>N7*P7</f>
        <v>28734.079999999998</v>
      </c>
    </row>
    <row r="8" spans="1:18">
      <c r="A8" t="s">
        <v>667</v>
      </c>
      <c r="B8">
        <v>0</v>
      </c>
      <c r="C8" t="s">
        <v>668</v>
      </c>
      <c r="D8">
        <v>0</v>
      </c>
      <c r="E8">
        <v>0</v>
      </c>
      <c r="F8">
        <v>0</v>
      </c>
      <c r="G8">
        <v>0</v>
      </c>
      <c r="H8">
        <v>0</v>
      </c>
      <c r="I8">
        <v>0</v>
      </c>
      <c r="J8">
        <v>0</v>
      </c>
      <c r="K8">
        <v>0</v>
      </c>
      <c r="L8">
        <v>0</v>
      </c>
      <c r="N8">
        <v>0</v>
      </c>
      <c r="P8" s="557">
        <v>59.9</v>
      </c>
      <c r="R8" s="558">
        <f>N8*P8</f>
        <v>0</v>
      </c>
    </row>
    <row r="9" spans="1:18">
      <c r="A9" t="s">
        <v>814</v>
      </c>
      <c r="I9">
        <v>18</v>
      </c>
      <c r="J9">
        <v>18</v>
      </c>
      <c r="K9">
        <v>18</v>
      </c>
      <c r="L9">
        <v>18</v>
      </c>
      <c r="N9">
        <f>SUM(I9:L9)*30.4</f>
        <v>2188.7999999999997</v>
      </c>
      <c r="P9" s="557">
        <v>0</v>
      </c>
      <c r="R9" s="558">
        <f>N9*P9</f>
        <v>0</v>
      </c>
    </row>
    <row r="10" spans="1:18">
      <c r="R10" s="558"/>
    </row>
    <row r="11" spans="1:18">
      <c r="A11" t="s">
        <v>670</v>
      </c>
      <c r="B11" t="s">
        <v>647</v>
      </c>
      <c r="C11" t="s">
        <v>648</v>
      </c>
      <c r="D11" t="s">
        <v>649</v>
      </c>
      <c r="E11" t="s">
        <v>650</v>
      </c>
      <c r="F11" t="s">
        <v>651</v>
      </c>
      <c r="G11" t="s">
        <v>652</v>
      </c>
      <c r="H11" t="s">
        <v>653</v>
      </c>
      <c r="I11" t="s">
        <v>654</v>
      </c>
      <c r="J11" t="s">
        <v>655</v>
      </c>
      <c r="K11" t="s">
        <v>656</v>
      </c>
      <c r="L11" t="s">
        <v>657</v>
      </c>
      <c r="R11" s="558"/>
    </row>
    <row r="12" spans="1:18">
      <c r="A12" t="s">
        <v>658</v>
      </c>
      <c r="C12" t="s">
        <v>671</v>
      </c>
      <c r="D12" t="s">
        <v>660</v>
      </c>
      <c r="E12" t="s">
        <v>660</v>
      </c>
      <c r="F12" t="s">
        <v>660</v>
      </c>
      <c r="G12" t="s">
        <v>660</v>
      </c>
      <c r="R12" s="558"/>
    </row>
    <row r="13" spans="1:18">
      <c r="A13" t="s">
        <v>661</v>
      </c>
      <c r="C13" t="s">
        <v>663</v>
      </c>
      <c r="D13" t="s">
        <v>664</v>
      </c>
      <c r="E13" t="s">
        <v>664</v>
      </c>
      <c r="F13" t="s">
        <v>664</v>
      </c>
      <c r="G13" t="s">
        <v>664</v>
      </c>
      <c r="H13" t="s">
        <v>664</v>
      </c>
      <c r="I13" t="s">
        <v>663</v>
      </c>
      <c r="J13" t="s">
        <v>663</v>
      </c>
      <c r="K13" t="s">
        <v>663</v>
      </c>
      <c r="L13" t="s">
        <v>672</v>
      </c>
      <c r="N13" t="s">
        <v>288</v>
      </c>
      <c r="R13" s="558"/>
    </row>
    <row r="14" spans="1:18">
      <c r="A14" t="s">
        <v>666</v>
      </c>
      <c r="C14" s="593">
        <v>0.2</v>
      </c>
      <c r="D14" s="593">
        <v>0.4</v>
      </c>
      <c r="E14" s="593">
        <v>0.8</v>
      </c>
      <c r="F14" s="593">
        <v>1.6</v>
      </c>
      <c r="G14" s="594">
        <v>2</v>
      </c>
      <c r="H14" s="594">
        <v>2.5</v>
      </c>
      <c r="I14" s="594">
        <v>3</v>
      </c>
      <c r="J14" s="594">
        <v>3.5</v>
      </c>
      <c r="K14" s="594">
        <v>4</v>
      </c>
      <c r="L14" s="594">
        <v>4</v>
      </c>
      <c r="N14" s="595">
        <f>SUM(C14:F14)*30.4</f>
        <v>91.199999999999989</v>
      </c>
      <c r="O14" s="595"/>
      <c r="P14" s="595">
        <v>86.7</v>
      </c>
      <c r="Q14" s="595"/>
      <c r="R14" s="596">
        <f>N14*P14</f>
        <v>7907.0399999999991</v>
      </c>
    </row>
    <row r="15" spans="1:18">
      <c r="A15" t="s">
        <v>667</v>
      </c>
      <c r="C15" s="597"/>
      <c r="D15" s="597">
        <v>0.2</v>
      </c>
      <c r="E15" s="597">
        <v>0.4</v>
      </c>
      <c r="F15" s="597">
        <v>0.6</v>
      </c>
      <c r="G15" s="597">
        <v>1</v>
      </c>
      <c r="H15" s="597">
        <v>1.5</v>
      </c>
      <c r="I15" s="597">
        <v>1.5</v>
      </c>
      <c r="J15" s="597">
        <v>2</v>
      </c>
      <c r="K15" s="597">
        <v>2.5</v>
      </c>
      <c r="L15" s="597">
        <v>2.5</v>
      </c>
      <c r="N15" s="557">
        <f>(SUM(B15:K15))*30.4+L15*15</f>
        <v>332.37999999999994</v>
      </c>
      <c r="O15" s="557"/>
      <c r="P15" s="557">
        <v>59.9</v>
      </c>
      <c r="Q15" s="557"/>
      <c r="R15" s="558">
        <f>N15*P15</f>
        <v>19909.561999999994</v>
      </c>
    </row>
    <row r="16" spans="1:18">
      <c r="A16" t="s">
        <v>669</v>
      </c>
      <c r="C16" s="597"/>
      <c r="D16" s="597"/>
      <c r="E16" s="597"/>
      <c r="F16" s="597"/>
      <c r="G16" s="597"/>
      <c r="H16" s="597"/>
      <c r="I16" s="597">
        <v>2</v>
      </c>
      <c r="J16" s="597">
        <v>2</v>
      </c>
      <c r="K16" s="597">
        <v>3</v>
      </c>
      <c r="L16" s="597">
        <v>3</v>
      </c>
      <c r="N16" s="557">
        <f>(SUM(B16:K16))*30.4+L16*15</f>
        <v>257.79999999999995</v>
      </c>
      <c r="O16" s="557"/>
      <c r="P16" s="557">
        <v>0</v>
      </c>
      <c r="Q16" s="557"/>
      <c r="R16" s="558">
        <f>N16*P16</f>
        <v>0</v>
      </c>
    </row>
    <row r="17" spans="1:18">
      <c r="N17" s="557"/>
      <c r="O17" s="557"/>
      <c r="P17" s="557"/>
      <c r="Q17" s="557"/>
      <c r="R17" s="558"/>
    </row>
    <row r="18" spans="1:18">
      <c r="N18" s="598">
        <f>(SUM(G14:K14)*30.4)+L14*15</f>
        <v>516</v>
      </c>
      <c r="O18" s="598"/>
      <c r="P18" s="598">
        <v>64.8</v>
      </c>
      <c r="Q18" s="598"/>
      <c r="R18" s="599">
        <f>N18*P18</f>
        <v>33436.799999999996</v>
      </c>
    </row>
    <row r="20" spans="1:18">
      <c r="C20" t="s">
        <v>673</v>
      </c>
      <c r="D20" t="s">
        <v>674</v>
      </c>
      <c r="H20" t="s">
        <v>673</v>
      </c>
      <c r="I20" t="s">
        <v>674</v>
      </c>
    </row>
    <row r="21" spans="1:18" ht="13.5" customHeight="1">
      <c r="A21" s="930" t="s">
        <v>675</v>
      </c>
      <c r="B21" t="s">
        <v>676</v>
      </c>
      <c r="C21" s="555">
        <f>N7</f>
        <v>516.79999999999995</v>
      </c>
      <c r="D21" s="558">
        <f>R7</f>
        <v>28734.079999999998</v>
      </c>
      <c r="F21" s="930" t="s">
        <v>677</v>
      </c>
      <c r="G21" t="s">
        <v>676</v>
      </c>
      <c r="H21" s="555">
        <f t="shared" ref="H21:I23" si="0">C21*2</f>
        <v>1033.5999999999999</v>
      </c>
      <c r="I21" s="555">
        <f t="shared" si="0"/>
        <v>57468.159999999996</v>
      </c>
    </row>
    <row r="22" spans="1:18">
      <c r="A22" s="930"/>
      <c r="B22" t="s">
        <v>667</v>
      </c>
      <c r="C22" s="555">
        <v>0</v>
      </c>
      <c r="D22" s="558">
        <f>R8</f>
        <v>0</v>
      </c>
      <c r="F22" s="930"/>
      <c r="G22" t="s">
        <v>667</v>
      </c>
      <c r="H22" s="555">
        <f t="shared" si="0"/>
        <v>0</v>
      </c>
      <c r="I22" s="555">
        <f t="shared" si="0"/>
        <v>0</v>
      </c>
    </row>
    <row r="23" spans="1:18">
      <c r="A23" s="930"/>
      <c r="B23" t="s">
        <v>678</v>
      </c>
      <c r="C23">
        <f>N9</f>
        <v>2188.7999999999997</v>
      </c>
      <c r="D23" s="558">
        <f>R9</f>
        <v>0</v>
      </c>
      <c r="F23" s="930"/>
      <c r="G23" t="s">
        <v>678</v>
      </c>
      <c r="H23" s="555">
        <f t="shared" si="0"/>
        <v>4377.5999999999995</v>
      </c>
      <c r="I23" s="555">
        <f t="shared" si="0"/>
        <v>0</v>
      </c>
    </row>
    <row r="24" spans="1:18">
      <c r="H24" s="555"/>
      <c r="I24" s="555"/>
    </row>
    <row r="25" spans="1:18" ht="13.5" customHeight="1">
      <c r="A25" s="931" t="s">
        <v>679</v>
      </c>
      <c r="B25" t="s">
        <v>676</v>
      </c>
      <c r="C25" s="556">
        <f>N14+N18</f>
        <v>607.20000000000005</v>
      </c>
      <c r="D25" s="558">
        <f>R14+R18</f>
        <v>41343.839999999997</v>
      </c>
      <c r="F25" s="931" t="s">
        <v>680</v>
      </c>
      <c r="G25" t="s">
        <v>676</v>
      </c>
      <c r="H25" s="555">
        <f t="shared" ref="H25:I27" si="1">C25*2</f>
        <v>1214.4000000000001</v>
      </c>
      <c r="I25" s="555">
        <f t="shared" si="1"/>
        <v>82687.679999999993</v>
      </c>
    </row>
    <row r="26" spans="1:18">
      <c r="A26" s="931"/>
      <c r="B26" t="s">
        <v>667</v>
      </c>
      <c r="C26" s="556">
        <f>N15</f>
        <v>332.37999999999994</v>
      </c>
      <c r="D26" s="558">
        <f>R15</f>
        <v>19909.561999999994</v>
      </c>
      <c r="F26" s="931"/>
      <c r="G26" t="s">
        <v>667</v>
      </c>
      <c r="H26" s="555">
        <f t="shared" si="1"/>
        <v>664.75999999999988</v>
      </c>
      <c r="I26" s="555">
        <f t="shared" si="1"/>
        <v>39819.123999999989</v>
      </c>
    </row>
    <row r="27" spans="1:18">
      <c r="A27" s="931"/>
      <c r="B27" t="s">
        <v>678</v>
      </c>
      <c r="C27" s="556">
        <f>N16</f>
        <v>257.79999999999995</v>
      </c>
      <c r="D27" s="558">
        <f>R16</f>
        <v>0</v>
      </c>
      <c r="F27" s="931"/>
      <c r="G27" t="s">
        <v>678</v>
      </c>
      <c r="H27" s="555">
        <f t="shared" si="1"/>
        <v>515.59999999999991</v>
      </c>
      <c r="I27" s="555">
        <f t="shared" si="1"/>
        <v>0</v>
      </c>
    </row>
  </sheetData>
  <mergeCells count="5">
    <mergeCell ref="P6:Q6"/>
    <mergeCell ref="A21:A23"/>
    <mergeCell ref="A25:A27"/>
    <mergeCell ref="F21:F23"/>
    <mergeCell ref="F25:F27"/>
  </mergeCells>
  <phoneticPr fontId="14"/>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sheetPr codeName="Sheet8">
    <tabColor rgb="FFFFC000"/>
    <pageSetUpPr fitToPage="1"/>
  </sheetPr>
  <dimension ref="B1:AR52"/>
  <sheetViews>
    <sheetView showGridLines="0" view="pageBreakPreview" zoomScaleSheetLayoutView="100" workbookViewId="0">
      <pane xSplit="3" ySplit="8" topLeftCell="D33" activePane="bottomRight" state="frozen"/>
      <selection pane="topRight" activeCell="D1" sqref="D1"/>
      <selection pane="bottomLeft" activeCell="A9" sqref="A9"/>
      <selection pane="bottomRight" activeCell="C52" sqref="C52"/>
    </sheetView>
  </sheetViews>
  <sheetFormatPr defaultRowHeight="12"/>
  <cols>
    <col min="1" max="1" width="2.625" style="11" customWidth="1"/>
    <col min="2" max="2" width="5.875" style="11" customWidth="1"/>
    <col min="3" max="3" width="18.5" style="11" customWidth="1"/>
    <col min="4" max="39" width="6.25" style="11" customWidth="1"/>
    <col min="40" max="40" width="9.125" style="11" bestFit="1" customWidth="1"/>
    <col min="41" max="41" width="4.75" style="11" customWidth="1"/>
    <col min="42" max="16384" width="9" style="11"/>
  </cols>
  <sheetData>
    <row r="1" spans="2:44" ht="17.25" customHeight="1">
      <c r="B1" s="433" t="s">
        <v>129</v>
      </c>
      <c r="C1" s="434"/>
      <c r="N1" s="36"/>
      <c r="O1" s="36"/>
      <c r="Z1" s="36"/>
      <c r="AA1" s="36"/>
      <c r="AL1" s="36"/>
      <c r="AM1" s="36" t="s">
        <v>130</v>
      </c>
    </row>
    <row r="2" spans="2:44">
      <c r="B2" s="806" t="s">
        <v>131</v>
      </c>
      <c r="C2" s="806"/>
      <c r="D2" s="807">
        <v>1</v>
      </c>
      <c r="E2" s="807"/>
      <c r="F2" s="807"/>
      <c r="G2" s="801">
        <v>2</v>
      </c>
      <c r="H2" s="801"/>
      <c r="I2" s="801"/>
      <c r="J2" s="801">
        <v>3</v>
      </c>
      <c r="K2" s="801"/>
      <c r="L2" s="801"/>
      <c r="M2" s="801">
        <v>4</v>
      </c>
      <c r="N2" s="801"/>
      <c r="O2" s="801"/>
      <c r="P2" s="801">
        <v>5</v>
      </c>
      <c r="Q2" s="801"/>
      <c r="R2" s="801"/>
      <c r="S2" s="801">
        <v>6</v>
      </c>
      <c r="T2" s="801"/>
      <c r="U2" s="801"/>
      <c r="V2" s="801">
        <v>7</v>
      </c>
      <c r="W2" s="801"/>
      <c r="X2" s="801"/>
      <c r="Y2" s="801">
        <v>8</v>
      </c>
      <c r="Z2" s="801"/>
      <c r="AA2" s="801"/>
      <c r="AB2" s="801">
        <v>9</v>
      </c>
      <c r="AC2" s="801"/>
      <c r="AD2" s="801"/>
      <c r="AE2" s="801">
        <v>10</v>
      </c>
      <c r="AF2" s="801"/>
      <c r="AG2" s="801"/>
      <c r="AH2" s="801">
        <v>11</v>
      </c>
      <c r="AI2" s="801"/>
      <c r="AJ2" s="801"/>
      <c r="AK2" s="802">
        <v>12</v>
      </c>
      <c r="AL2" s="802"/>
      <c r="AM2" s="802"/>
      <c r="AN2" s="800" t="s">
        <v>132</v>
      </c>
    </row>
    <row r="3" spans="2:44">
      <c r="B3" s="806"/>
      <c r="C3" s="806"/>
      <c r="D3" s="37" t="s">
        <v>133</v>
      </c>
      <c r="E3" s="37" t="s">
        <v>134</v>
      </c>
      <c r="F3" s="37" t="s">
        <v>135</v>
      </c>
      <c r="G3" s="37" t="s">
        <v>133</v>
      </c>
      <c r="H3" s="37" t="s">
        <v>134</v>
      </c>
      <c r="I3" s="37" t="s">
        <v>135</v>
      </c>
      <c r="J3" s="37" t="s">
        <v>133</v>
      </c>
      <c r="K3" s="37" t="s">
        <v>134</v>
      </c>
      <c r="L3" s="37" t="s">
        <v>135</v>
      </c>
      <c r="M3" s="37" t="s">
        <v>133</v>
      </c>
      <c r="N3" s="37" t="s">
        <v>134</v>
      </c>
      <c r="O3" s="37" t="s">
        <v>135</v>
      </c>
      <c r="P3" s="38" t="s">
        <v>133</v>
      </c>
      <c r="Q3" s="37" t="s">
        <v>134</v>
      </c>
      <c r="R3" s="37" t="s">
        <v>135</v>
      </c>
      <c r="S3" s="37" t="s">
        <v>133</v>
      </c>
      <c r="T3" s="37" t="s">
        <v>134</v>
      </c>
      <c r="U3" s="37" t="s">
        <v>135</v>
      </c>
      <c r="V3" s="37" t="s">
        <v>133</v>
      </c>
      <c r="W3" s="37" t="s">
        <v>134</v>
      </c>
      <c r="X3" s="37" t="s">
        <v>135</v>
      </c>
      <c r="Y3" s="37" t="s">
        <v>133</v>
      </c>
      <c r="Z3" s="37" t="s">
        <v>134</v>
      </c>
      <c r="AA3" s="37" t="s">
        <v>135</v>
      </c>
      <c r="AB3" s="38" t="s">
        <v>133</v>
      </c>
      <c r="AC3" s="37" t="s">
        <v>134</v>
      </c>
      <c r="AD3" s="37" t="s">
        <v>135</v>
      </c>
      <c r="AE3" s="37" t="s">
        <v>133</v>
      </c>
      <c r="AF3" s="37" t="s">
        <v>134</v>
      </c>
      <c r="AG3" s="37" t="s">
        <v>135</v>
      </c>
      <c r="AH3" s="37" t="s">
        <v>133</v>
      </c>
      <c r="AI3" s="37" t="s">
        <v>134</v>
      </c>
      <c r="AJ3" s="37" t="s">
        <v>135</v>
      </c>
      <c r="AK3" s="37" t="s">
        <v>133</v>
      </c>
      <c r="AL3" s="37" t="s">
        <v>134</v>
      </c>
      <c r="AM3" s="39" t="s">
        <v>135</v>
      </c>
      <c r="AN3" s="800"/>
    </row>
    <row r="4" spans="2:44" ht="13.5">
      <c r="B4" s="808" t="s">
        <v>274</v>
      </c>
      <c r="C4" s="803" t="s">
        <v>275</v>
      </c>
      <c r="D4" s="40"/>
      <c r="E4" s="41"/>
      <c r="F4" s="41"/>
      <c r="G4" s="41"/>
      <c r="H4" s="41"/>
      <c r="I4" s="42"/>
      <c r="J4" s="42"/>
      <c r="K4" s="41"/>
      <c r="L4" s="41"/>
      <c r="M4" s="41"/>
      <c r="N4" s="41"/>
      <c r="O4" s="41"/>
      <c r="P4" s="40"/>
      <c r="Q4" s="41"/>
      <c r="R4" s="41"/>
      <c r="S4" s="41"/>
      <c r="T4" s="41"/>
      <c r="U4" s="42"/>
      <c r="V4" s="42"/>
      <c r="W4" s="41"/>
      <c r="X4" s="41"/>
      <c r="Y4" s="41"/>
      <c r="Z4" s="41"/>
      <c r="AA4" s="41"/>
      <c r="AB4" s="40"/>
      <c r="AC4" s="41"/>
      <c r="AD4" s="41"/>
      <c r="AE4" s="41"/>
      <c r="AF4" s="41"/>
      <c r="AG4" s="42"/>
      <c r="AH4" s="42"/>
      <c r="AI4" s="41"/>
      <c r="AJ4" s="41"/>
      <c r="AK4" s="41"/>
      <c r="AL4" s="41"/>
      <c r="AM4" s="41"/>
      <c r="AN4" s="43"/>
      <c r="AP4" s="10"/>
      <c r="AQ4" s="10"/>
      <c r="AR4" s="10"/>
    </row>
    <row r="5" spans="2:44" ht="12" customHeight="1">
      <c r="B5" s="809"/>
      <c r="C5" s="804"/>
      <c r="D5" s="40"/>
      <c r="E5" s="41"/>
      <c r="F5" s="41"/>
      <c r="G5" s="41"/>
      <c r="H5" s="41"/>
      <c r="I5" s="41"/>
      <c r="J5" s="41"/>
      <c r="K5" s="41"/>
      <c r="L5" s="42"/>
      <c r="M5" s="41"/>
      <c r="N5" s="689"/>
      <c r="O5" s="689"/>
      <c r="P5" s="689"/>
      <c r="Q5" s="690"/>
      <c r="R5" s="690"/>
      <c r="S5" s="41"/>
      <c r="T5" s="41"/>
      <c r="U5" s="42"/>
      <c r="V5" s="41"/>
      <c r="W5" s="41"/>
      <c r="X5" s="42"/>
      <c r="Y5" s="41"/>
      <c r="Z5" s="41"/>
      <c r="AA5" s="42"/>
      <c r="AB5" s="41"/>
      <c r="AC5" s="41"/>
      <c r="AD5" s="42"/>
      <c r="AE5" s="41"/>
      <c r="AF5" s="41"/>
      <c r="AG5" s="42"/>
      <c r="AH5" s="41"/>
      <c r="AI5" s="41"/>
      <c r="AJ5" s="689"/>
      <c r="AK5" s="41"/>
      <c r="AL5" s="41"/>
      <c r="AM5" s="41"/>
      <c r="AN5" s="43"/>
      <c r="AP5" s="10"/>
      <c r="AQ5" s="10"/>
      <c r="AR5" s="10"/>
    </row>
    <row r="6" spans="2:44" ht="12" customHeight="1">
      <c r="B6" s="809"/>
      <c r="C6" s="804"/>
      <c r="D6" s="40"/>
      <c r="E6" s="41"/>
      <c r="F6" s="41"/>
      <c r="G6" s="41"/>
      <c r="H6" s="42"/>
      <c r="I6" s="42"/>
      <c r="J6" s="42"/>
      <c r="K6" s="42"/>
      <c r="L6" s="41"/>
      <c r="M6" s="41"/>
      <c r="N6" s="689"/>
      <c r="O6" s="689"/>
      <c r="P6" s="689"/>
      <c r="Q6" s="689"/>
      <c r="R6" s="689"/>
      <c r="S6" s="41"/>
      <c r="T6" s="41"/>
      <c r="U6" s="42"/>
      <c r="V6" s="42"/>
      <c r="W6" s="42"/>
      <c r="X6" s="42"/>
      <c r="Y6" s="41"/>
      <c r="Z6" s="41"/>
      <c r="AA6" s="42"/>
      <c r="AB6" s="41"/>
      <c r="AC6" s="41"/>
      <c r="AD6" s="41"/>
      <c r="AE6" s="41"/>
      <c r="AF6" s="689"/>
      <c r="AG6" s="689"/>
      <c r="AH6" s="689"/>
      <c r="AI6" s="689"/>
      <c r="AJ6" s="689"/>
      <c r="AK6" s="41"/>
      <c r="AL6" s="41"/>
      <c r="AM6" s="41"/>
      <c r="AN6" s="43"/>
      <c r="AP6" s="10"/>
      <c r="AQ6" s="10"/>
      <c r="AR6" s="10"/>
    </row>
    <row r="7" spans="2:44" ht="12" customHeight="1">
      <c r="B7" s="809"/>
      <c r="C7" s="804"/>
      <c r="D7" s="40"/>
      <c r="E7" s="41"/>
      <c r="F7" s="41"/>
      <c r="G7" s="41"/>
      <c r="H7" s="41"/>
      <c r="I7" s="41"/>
      <c r="J7" s="41"/>
      <c r="K7" s="41"/>
      <c r="L7" s="41"/>
      <c r="M7" s="41"/>
      <c r="N7" s="689"/>
      <c r="O7" s="689"/>
      <c r="P7" s="689"/>
      <c r="Q7" s="689"/>
      <c r="R7" s="41"/>
      <c r="S7" s="41"/>
      <c r="T7" s="41"/>
      <c r="U7" s="41"/>
      <c r="V7" s="41"/>
      <c r="W7" s="41"/>
      <c r="X7" s="41"/>
      <c r="Y7" s="41"/>
      <c r="Z7" s="41"/>
      <c r="AA7" s="41"/>
      <c r="AB7" s="41"/>
      <c r="AC7" s="41"/>
      <c r="AD7" s="41"/>
      <c r="AE7" s="41"/>
      <c r="AF7" s="41"/>
      <c r="AG7" s="41"/>
      <c r="AH7" s="41"/>
      <c r="AI7" s="41"/>
      <c r="AJ7" s="690"/>
      <c r="AK7" s="41"/>
      <c r="AL7" s="41"/>
      <c r="AM7" s="41"/>
      <c r="AN7" s="43"/>
      <c r="AP7" s="10"/>
      <c r="AQ7" s="10"/>
      <c r="AR7" s="10"/>
    </row>
    <row r="8" spans="2:44" ht="12" customHeight="1">
      <c r="B8" s="810"/>
      <c r="C8" s="805"/>
      <c r="D8" s="44"/>
      <c r="E8" s="45"/>
      <c r="F8" s="45"/>
      <c r="G8" s="45"/>
      <c r="H8" s="45"/>
      <c r="I8" s="45"/>
      <c r="J8" s="45"/>
      <c r="K8" s="45"/>
      <c r="L8" s="45"/>
      <c r="M8" s="45"/>
      <c r="N8" s="45"/>
      <c r="O8" s="45"/>
      <c r="P8" s="44"/>
      <c r="Q8" s="45"/>
      <c r="R8" s="45"/>
      <c r="S8" s="45"/>
      <c r="T8" s="45"/>
      <c r="U8" s="45"/>
      <c r="V8" s="45"/>
      <c r="W8" s="45"/>
      <c r="X8" s="45"/>
      <c r="Y8" s="45"/>
      <c r="Z8" s="45"/>
      <c r="AA8" s="45"/>
      <c r="AB8" s="44"/>
      <c r="AC8" s="45"/>
      <c r="AD8" s="45"/>
      <c r="AE8" s="45"/>
      <c r="AF8" s="45"/>
      <c r="AG8" s="45"/>
      <c r="AH8" s="45"/>
      <c r="AI8" s="45"/>
      <c r="AJ8" s="45"/>
      <c r="AK8" s="45"/>
      <c r="AL8" s="45"/>
      <c r="AM8" s="45"/>
      <c r="AN8" s="43"/>
      <c r="AP8" s="10"/>
      <c r="AQ8" s="10"/>
      <c r="AR8" s="10"/>
    </row>
    <row r="9" spans="2:44" ht="15" customHeight="1">
      <c r="B9" s="811" t="str">
        <f>①技術体系!A6</f>
        <v>妊娠牛導入</v>
      </c>
      <c r="C9" s="812"/>
      <c r="D9" s="369">
        <f>SUMPRODUCT((③労働時間!$A$5:$A$353=作業体系表!$B9)*(③労働時間!$B$5:$B$353="1月上旬")*(③労働時間!$J$5:$J$353))</f>
        <v>0</v>
      </c>
      <c r="E9" s="369">
        <f>SUMPRODUCT((③労働時間!$A$5:$A$353=作業体系表!$B9)*(③労働時間!$B$5:$B$353="1月中旬")*(③労働時間!$J$5:$J$353))</f>
        <v>0</v>
      </c>
      <c r="F9" s="369">
        <f>SUMPRODUCT((③労働時間!$A$5:$A$353=作業体系表!$B9)*(③労働時間!$B$5:$B$353="1月下旬")*(③労働時間!$J$5:$J$353))</f>
        <v>0</v>
      </c>
      <c r="G9" s="369">
        <f>SUMPRODUCT((③労働時間!$A$5:$A$353=作業体系表!$B9)*(③労働時間!$B$5:$B$353="2月上旬")*(③労働時間!$J$5:$J$353))</f>
        <v>0</v>
      </c>
      <c r="H9" s="369">
        <f>SUMPRODUCT((③労働時間!$A$5:$A$353=作業体系表!$B9)*(③労働時間!$B$5:$B$353="2月中旬")*(③労働時間!$J$5:$J$353))</f>
        <v>0</v>
      </c>
      <c r="I9" s="369">
        <f>SUMPRODUCT((③労働時間!$A$5:$A$353=作業体系表!$B9)*(③労働時間!$B$5:$B$353="2月下旬")*(③労働時間!$J$5:$J$353))</f>
        <v>0</v>
      </c>
      <c r="J9" s="369">
        <f>SUMPRODUCT((③労働時間!$A$5:$A$353=作業体系表!$B9)*(③労働時間!$B$5:$B$353="3月上旬")*(③労働時間!$J$5:$J$353))</f>
        <v>0</v>
      </c>
      <c r="K9" s="369">
        <f>SUMPRODUCT((③労働時間!$A$5:$A$353=作業体系表!$B9)*(③労働時間!$B$5:$B$353="3月中旬")*(③労働時間!$J$5:$J$353))</f>
        <v>0</v>
      </c>
      <c r="L9" s="369">
        <f>SUMPRODUCT((③労働時間!$A$5:$A$353=作業体系表!$B9)*(③労働時間!$B$5:$B$353="3月下旬")*(③労働時間!$J$5:$J$353))</f>
        <v>0</v>
      </c>
      <c r="M9" s="369">
        <f>SUMPRODUCT((③労働時間!$A$5:$A$353=作業体系表!$B9)*(③労働時間!$B$5:$B$353="4月上旬")*(③労働時間!$J$5:$J$353))</f>
        <v>0</v>
      </c>
      <c r="N9" s="369">
        <f>SUMPRODUCT((③労働時間!$A$5:$A$353=作業体系表!$B9)*(③労働時間!$B$5:$B$353="4月中旬")*(③労働時間!$J$5:$J$353))</f>
        <v>0</v>
      </c>
      <c r="O9" s="369">
        <f>SUMPRODUCT((③労働時間!$A$5:$A$353=作業体系表!$B9)*(③労働時間!$B$5:$B$353="4月下旬")*(③労働時間!$J$5:$J$353))</f>
        <v>0</v>
      </c>
      <c r="P9" s="370">
        <f>SUMPRODUCT((③労働時間!$A$5:$A$353=作業体系表!$B9)*(③労働時間!$B$5:$B$353="5月上旬")*(③労働時間!$J$5:$J$353))</f>
        <v>0</v>
      </c>
      <c r="Q9" s="369">
        <f>SUMPRODUCT((③労働時間!$A$5:$A$353=作業体系表!$B9)*(③労働時間!$B$5:$B$353="5月中旬")*(③労働時間!$J$5:$J$353))</f>
        <v>0</v>
      </c>
      <c r="R9" s="369">
        <f>SUMPRODUCT((③労働時間!$A$5:$A$353=作業体系表!$B9)*(③労働時間!$B$5:$B$353="5月下旬")*(③労働時間!$J$5:$J$353))</f>
        <v>0</v>
      </c>
      <c r="S9" s="369">
        <f>SUMPRODUCT((③労働時間!$A$5:$A$353=作業体系表!$B9)*(③労働時間!$B$5:$B$353="6月上旬")*(③労働時間!$J$5:$J$353))</f>
        <v>0</v>
      </c>
      <c r="T9" s="369">
        <f>SUMPRODUCT((③労働時間!$A$5:$A$353=作業体系表!$B9)*(③労働時間!$B$5:$B$353="6月中旬")*(③労働時間!$J$5:$J$353))</f>
        <v>0</v>
      </c>
      <c r="U9" s="369">
        <f>SUMPRODUCT((③労働時間!$A$5:$A$353=作業体系表!$B9)*(③労働時間!$B$5:$B$353="6月下旬")*(③労働時間!$J$5:$J$353))</f>
        <v>0</v>
      </c>
      <c r="V9" s="369">
        <f>SUMPRODUCT((③労働時間!$A$5:$A$353=作業体系表!$B9)*(③労働時間!$B$5:$B$353="7月上旬")*(③労働時間!$J$5:$J$353))</f>
        <v>0</v>
      </c>
      <c r="W9" s="369">
        <f>SUMPRODUCT((③労働時間!$A$5:$A$353=作業体系表!$B9)*(③労働時間!$B$5:$B$353="7月中旬")*(③労働時間!$J$5:$J$353))</f>
        <v>0</v>
      </c>
      <c r="X9" s="369">
        <f>SUMPRODUCT((③労働時間!$A$5:$A$353=作業体系表!$B9)*(③労働時間!$B$5:$B$353="7月下旬")*(③労働時間!$J$5:$J$353))</f>
        <v>0</v>
      </c>
      <c r="Y9" s="369">
        <f>SUMPRODUCT((③労働時間!$A$5:$A$353=作業体系表!$B9)*(③労働時間!$B$5:$B$353="8月上旬")*(③労働時間!$J$5:$J$353))</f>
        <v>0</v>
      </c>
      <c r="Z9" s="369">
        <f>SUMPRODUCT((③労働時間!$A$5:$A$353=作業体系表!$B9)*(③労働時間!$B$5:$B$353="8月中旬")*(③労働時間!$J$5:$J$353))</f>
        <v>0</v>
      </c>
      <c r="AA9" s="369">
        <f>SUMPRODUCT((③労働時間!$A$5:$A$353=作業体系表!$B9)*(③労働時間!$B$5:$B$353="8月下旬")*(③労働時間!$J$5:$J$353))</f>
        <v>0</v>
      </c>
      <c r="AB9" s="370">
        <f>SUMPRODUCT((③労働時間!$A$5:$A$353=作業体系表!$B9)*(③労働時間!$B$5:$B$353="9月上旬")*(③労働時間!$J$5:$J$353))</f>
        <v>0</v>
      </c>
      <c r="AC9" s="369">
        <f>SUMPRODUCT((③労働時間!$A$5:$A$353=作業体系表!$B9)*(③労働時間!$B$5:$B$353="9月中旬")*(③労働時間!$J$5:$J$353))</f>
        <v>0</v>
      </c>
      <c r="AD9" s="369">
        <f>SUMPRODUCT((③労働時間!$A$5:$A$353=作業体系表!$B9)*(③労働時間!$B$5:$B$353="9月下旬")*(③労働時間!$J$5:$J$353))</f>
        <v>0</v>
      </c>
      <c r="AE9" s="369">
        <f>SUMPRODUCT((③労働時間!$A$5:$A$353=作業体系表!$B9)*(③労働時間!$B$5:$B$353="10月上旬")*(③労働時間!$J$5:$J$353))</f>
        <v>0</v>
      </c>
      <c r="AF9" s="369">
        <f>SUMPRODUCT((③労働時間!$A$5:$A$353=作業体系表!$B9)*(③労働時間!$B$5:$B$353="10月中旬")*(③労働時間!$J$5:$J$353))</f>
        <v>0</v>
      </c>
      <c r="AG9" s="369">
        <f>SUMPRODUCT((③労働時間!$A$5:$A$353=作業体系表!$B9)*(③労働時間!$B$5:$B$353="10月下旬")*(③労働時間!$J$5:$J$353))</f>
        <v>0</v>
      </c>
      <c r="AH9" s="369">
        <f>SUMPRODUCT((③労働時間!$A$5:$A$353=作業体系表!$B9)*(③労働時間!$B$5:$B$353="11月上旬")*(③労働時間!$J$5:$J$353))</f>
        <v>0</v>
      </c>
      <c r="AI9" s="369">
        <f>SUMPRODUCT((③労働時間!$A$5:$A$353=作業体系表!$B9)*(③労働時間!$B$5:$B$353="11月中旬")*(③労働時間!$J$5:$J$353))</f>
        <v>0</v>
      </c>
      <c r="AJ9" s="369">
        <f>SUMPRODUCT((③労働時間!$A$5:$A$353=作業体系表!$B9)*(③労働時間!$B$5:$B$353="11月下旬")*(③労働時間!$J$5:$J$353))</f>
        <v>0</v>
      </c>
      <c r="AK9" s="369">
        <f>SUMPRODUCT((③労働時間!$A$5:$A$353=作業体系表!$B9)*(③労働時間!$B$5:$B$353="12月上旬")*(③労働時間!$J$5:$J$353))</f>
        <v>0</v>
      </c>
      <c r="AL9" s="369">
        <f>SUMPRODUCT((③労働時間!$A$5:$A$353=作業体系表!$B9)*(③労働時間!$B$5:$B$353="12月中旬")*(③労働時間!$J$5:$J$353))</f>
        <v>0</v>
      </c>
      <c r="AM9" s="371">
        <f>SUMPRODUCT((③労働時間!$A$5:$A$353=作業体系表!$B9)*(③労働時間!$B$5:$B$353="12月下旬")*(③労働時間!$J$5:$J$353))</f>
        <v>0</v>
      </c>
      <c r="AN9" s="372">
        <f>SUM(D9:AM9)</f>
        <v>0</v>
      </c>
      <c r="AP9" s="10"/>
      <c r="AQ9" s="10"/>
      <c r="AR9" s="10"/>
    </row>
    <row r="10" spans="2:44" ht="15" customHeight="1">
      <c r="B10" s="788" t="str">
        <f>①技術体系!A7</f>
        <v>放牧馴致</v>
      </c>
      <c r="C10" s="789"/>
      <c r="D10" s="373">
        <f>SUMPRODUCT((③労働時間!$A$5:$A$353=作業体系表!$B10)*(③労働時間!$B$5:$B$353="1月上旬")*(③労働時間!$J$5:$J$353))</f>
        <v>0</v>
      </c>
      <c r="E10" s="373">
        <f>SUMPRODUCT((③労働時間!$A$5:$A$353=作業体系表!$B10)*(③労働時間!$B$5:$B$353="1月中旬")*(③労働時間!$J$5:$J$353))</f>
        <v>0</v>
      </c>
      <c r="F10" s="373">
        <f>SUMPRODUCT((③労働時間!$A$5:$A$353=作業体系表!$B10)*(③労働時間!$B$5:$B$353="1月下旬")*(③労働時間!$J$5:$J$353))</f>
        <v>0</v>
      </c>
      <c r="G10" s="373">
        <f>SUMPRODUCT((③労働時間!$A$5:$A$353=作業体系表!$B10)*(③労働時間!$B$5:$B$353="2月上旬")*(③労働時間!$J$5:$J$353))</f>
        <v>0</v>
      </c>
      <c r="H10" s="373">
        <f>SUMPRODUCT((③労働時間!$A$5:$A$353=作業体系表!$B10)*(③労働時間!$B$5:$B$353="2月中旬")*(③労働時間!$J$5:$J$353))</f>
        <v>0</v>
      </c>
      <c r="I10" s="373">
        <f>SUMPRODUCT((③労働時間!$A$5:$A$353=作業体系表!$B10)*(③労働時間!$B$5:$B$353="2月下旬")*(③労働時間!$J$5:$J$353))</f>
        <v>0</v>
      </c>
      <c r="J10" s="373">
        <f>SUMPRODUCT((③労働時間!$A$5:$A$353=作業体系表!$B10)*(③労働時間!$B$5:$B$353="3月上旬")*(③労働時間!$J$5:$J$353))</f>
        <v>0</v>
      </c>
      <c r="K10" s="373">
        <f>SUMPRODUCT((③労働時間!$A$5:$A$353=作業体系表!$B10)*(③労働時間!$B$5:$B$353="3月中旬")*(③労働時間!$J$5:$J$353))</f>
        <v>0</v>
      </c>
      <c r="L10" s="373">
        <f>SUMPRODUCT((③労働時間!$A$5:$A$353=作業体系表!$B10)*(③労働時間!$B$5:$B$353="3月下旬")*(③労働時間!$J$5:$J$353))</f>
        <v>0</v>
      </c>
      <c r="M10" s="373">
        <f>SUMPRODUCT((③労働時間!$A$5:$A$353=作業体系表!$B10)*(③労働時間!$B$5:$B$353="4月上旬")*(③労働時間!$J$5:$J$353))</f>
        <v>0</v>
      </c>
      <c r="N10" s="373">
        <f>SUMPRODUCT((③労働時間!$A$5:$A$353=作業体系表!$B10)*(③労働時間!$B$5:$B$353="4月中旬")*(③労働時間!$J$5:$J$353))</f>
        <v>0</v>
      </c>
      <c r="O10" s="373">
        <f>SUMPRODUCT((③労働時間!$A$5:$A$353=作業体系表!$B10)*(③労働時間!$B$5:$B$353="4月下旬")*(③労働時間!$J$5:$J$353))</f>
        <v>0</v>
      </c>
      <c r="P10" s="374">
        <f>SUMPRODUCT((③労働時間!$A$5:$A$353=作業体系表!$B10)*(③労働時間!$B$5:$B$353="5月上旬")*(③労働時間!$J$5:$J$353))</f>
        <v>0</v>
      </c>
      <c r="Q10" s="373">
        <f>SUMPRODUCT((③労働時間!$A$5:$A$353=作業体系表!$B10)*(③労働時間!$B$5:$B$353="5月中旬")*(③労働時間!$J$5:$J$353))</f>
        <v>0</v>
      </c>
      <c r="R10" s="373">
        <f>SUMPRODUCT((③労働時間!$A$5:$A$353=作業体系表!$B10)*(③労働時間!$B$5:$B$353="5月下旬")*(③労働時間!$J$5:$J$353))</f>
        <v>0</v>
      </c>
      <c r="S10" s="373">
        <f>SUMPRODUCT((③労働時間!$A$5:$A$353=作業体系表!$B10)*(③労働時間!$B$5:$B$353="6月上旬")*(③労働時間!$J$5:$J$353))</f>
        <v>0</v>
      </c>
      <c r="T10" s="373">
        <f>SUMPRODUCT((③労働時間!$A$5:$A$353=作業体系表!$B10)*(③労働時間!$B$5:$B$353="6月中旬")*(③労働時間!$J$5:$J$353))</f>
        <v>0</v>
      </c>
      <c r="U10" s="373">
        <f>SUMPRODUCT((③労働時間!$A$5:$A$353=作業体系表!$B10)*(③労働時間!$B$5:$B$353="6月下旬")*(③労働時間!$J$5:$J$353))</f>
        <v>0</v>
      </c>
      <c r="V10" s="373">
        <f>SUMPRODUCT((③労働時間!$A$5:$A$353=作業体系表!$B10)*(③労働時間!$B$5:$B$353="7月上旬")*(③労働時間!$J$5:$J$353))</f>
        <v>0</v>
      </c>
      <c r="W10" s="373">
        <f>SUMPRODUCT((③労働時間!$A$5:$A$353=作業体系表!$B10)*(③労働時間!$B$5:$B$353="7月中旬")*(③労働時間!$J$5:$J$353))</f>
        <v>0</v>
      </c>
      <c r="X10" s="373">
        <f>SUMPRODUCT((③労働時間!$A$5:$A$353=作業体系表!$B10)*(③労働時間!$B$5:$B$353="7月下旬")*(③労働時間!$J$5:$J$353))</f>
        <v>0</v>
      </c>
      <c r="Y10" s="373">
        <f>SUMPRODUCT((③労働時間!$A$5:$A$353=作業体系表!$B10)*(③労働時間!$B$5:$B$353="8月上旬")*(③労働時間!$J$5:$J$353))</f>
        <v>0</v>
      </c>
      <c r="Z10" s="373">
        <f>SUMPRODUCT((③労働時間!$A$5:$A$353=作業体系表!$B10)*(③労働時間!$B$5:$B$353="8月中旬")*(③労働時間!$J$5:$J$353))</f>
        <v>0</v>
      </c>
      <c r="AA10" s="373">
        <f>SUMPRODUCT((③労働時間!$A$5:$A$353=作業体系表!$B10)*(③労働時間!$B$5:$B$353="8月下旬")*(③労働時間!$J$5:$J$353))</f>
        <v>0</v>
      </c>
      <c r="AB10" s="374">
        <f>SUMPRODUCT((③労働時間!$A$5:$A$353=作業体系表!$B10)*(③労働時間!$B$5:$B$353="9月上旬")*(③労働時間!$J$5:$J$353))</f>
        <v>0</v>
      </c>
      <c r="AC10" s="373">
        <f>SUMPRODUCT((③労働時間!$A$5:$A$353=作業体系表!$B10)*(③労働時間!$B$5:$B$353="9月中旬")*(③労働時間!$J$5:$J$353))</f>
        <v>0</v>
      </c>
      <c r="AD10" s="373">
        <f>SUMPRODUCT((③労働時間!$A$5:$A$353=作業体系表!$B10)*(③労働時間!$B$5:$B$353="9月下旬")*(③労働時間!$J$5:$J$353))</f>
        <v>0</v>
      </c>
      <c r="AE10" s="373">
        <f>SUMPRODUCT((③労働時間!$A$5:$A$353=作業体系表!$B10)*(③労働時間!$B$5:$B$353="10月上旬")*(③労働時間!$J$5:$J$353))</f>
        <v>0</v>
      </c>
      <c r="AF10" s="373">
        <f>SUMPRODUCT((③労働時間!$A$5:$A$353=作業体系表!$B10)*(③労働時間!$B$5:$B$353="10月中旬")*(③労働時間!$J$5:$J$353))</f>
        <v>0</v>
      </c>
      <c r="AG10" s="373">
        <f>SUMPRODUCT((③労働時間!$A$5:$A$353=作業体系表!$B10)*(③労働時間!$B$5:$B$353="10月下旬")*(③労働時間!$J$5:$J$353))</f>
        <v>0</v>
      </c>
      <c r="AH10" s="373">
        <f>SUMPRODUCT((③労働時間!$A$5:$A$353=作業体系表!$B10)*(③労働時間!$B$5:$B$353="11月上旬")*(③労働時間!$J$5:$J$353))</f>
        <v>0</v>
      </c>
      <c r="AI10" s="373">
        <f>SUMPRODUCT((③労働時間!$A$5:$A$353=作業体系表!$B10)*(③労働時間!$B$5:$B$353="11月中旬")*(③労働時間!$J$5:$J$353))</f>
        <v>0</v>
      </c>
      <c r="AJ10" s="373">
        <f>SUMPRODUCT((③労働時間!$A$5:$A$353=作業体系表!$B10)*(③労働時間!$B$5:$B$353="11月下旬")*(③労働時間!$J$5:$J$353))</f>
        <v>0</v>
      </c>
      <c r="AK10" s="373">
        <f>SUMPRODUCT((③労働時間!$A$5:$A$353=作業体系表!$B10)*(③労働時間!$B$5:$B$353="12月上旬")*(③労働時間!$J$5:$J$353))</f>
        <v>0</v>
      </c>
      <c r="AL10" s="373">
        <f>SUMPRODUCT((③労働時間!$A$5:$A$353=作業体系表!$B10)*(③労働時間!$B$5:$B$353="12月中旬")*(③労働時間!$J$5:$J$353))</f>
        <v>0</v>
      </c>
      <c r="AM10" s="375">
        <f>SUMPRODUCT((③労働時間!$A$5:$A$353=作業体系表!$B10)*(③労働時間!$B$5:$B$353="12月下旬")*(③労働時間!$J$5:$J$353))</f>
        <v>0</v>
      </c>
      <c r="AN10" s="376">
        <f t="shared" ref="AN10:AN27" si="0">SUM(D10:AM10)</f>
        <v>0</v>
      </c>
      <c r="AP10" s="10"/>
      <c r="AQ10" s="10"/>
      <c r="AR10" s="10"/>
    </row>
    <row r="11" spans="2:44" ht="15" customHeight="1">
      <c r="B11" s="788" t="str">
        <f>①技術体系!A8</f>
        <v>簡易牛舎設置</v>
      </c>
      <c r="C11" s="789"/>
      <c r="D11" s="373">
        <f>SUMPRODUCT((③労働時間!$A$5:$A$353=作業体系表!$B11)*(③労働時間!$B$5:$B$353="1月上旬")*(③労働時間!$J$5:$J$353))</f>
        <v>0</v>
      </c>
      <c r="E11" s="373">
        <f>SUMPRODUCT((③労働時間!$A$5:$A$353=作業体系表!$B11)*(③労働時間!$B$5:$B$353="1月中旬")*(③労働時間!$J$5:$J$353))</f>
        <v>0</v>
      </c>
      <c r="F11" s="373">
        <f>SUMPRODUCT((③労働時間!$A$5:$A$353=作業体系表!$B11)*(③労働時間!$B$5:$B$353="1月下旬")*(③労働時間!$J$5:$J$353))</f>
        <v>0</v>
      </c>
      <c r="G11" s="373">
        <f>SUMPRODUCT((③労働時間!$A$5:$A$353=作業体系表!$B11)*(③労働時間!$B$5:$B$353="2月上旬")*(③労働時間!$J$5:$J$353))</f>
        <v>0</v>
      </c>
      <c r="H11" s="373">
        <f>SUMPRODUCT((③労働時間!$A$5:$A$353=作業体系表!$B11)*(③労働時間!$B$5:$B$353="2月中旬")*(③労働時間!$J$5:$J$353))</f>
        <v>0</v>
      </c>
      <c r="I11" s="373">
        <f>SUMPRODUCT((③労働時間!$A$5:$A$353=作業体系表!$B11)*(③労働時間!$B$5:$B$353="2月下旬")*(③労働時間!$J$5:$J$353))</f>
        <v>0</v>
      </c>
      <c r="J11" s="373">
        <f>SUMPRODUCT((③労働時間!$A$5:$A$353=作業体系表!$B11)*(③労働時間!$B$5:$B$353="3月上旬")*(③労働時間!$J$5:$J$353))</f>
        <v>0</v>
      </c>
      <c r="K11" s="373">
        <f>SUMPRODUCT((③労働時間!$A$5:$A$353=作業体系表!$B11)*(③労働時間!$B$5:$B$353="3月中旬")*(③労働時間!$J$5:$J$353))</f>
        <v>0</v>
      </c>
      <c r="L11" s="373">
        <f>SUMPRODUCT((③労働時間!$A$5:$A$353=作業体系表!$B11)*(③労働時間!$B$5:$B$353="3月下旬")*(③労働時間!$J$5:$J$353))</f>
        <v>0</v>
      </c>
      <c r="M11" s="373">
        <f>SUMPRODUCT((③労働時間!$A$5:$A$353=作業体系表!$B11)*(③労働時間!$B$5:$B$353="4月上旬")*(③労働時間!$J$5:$J$353))</f>
        <v>0</v>
      </c>
      <c r="N11" s="373">
        <f>SUMPRODUCT((③労働時間!$A$5:$A$353=作業体系表!$B11)*(③労働時間!$B$5:$B$353="4月中旬")*(③労働時間!$J$5:$J$353))</f>
        <v>0</v>
      </c>
      <c r="O11" s="373">
        <f>SUMPRODUCT((③労働時間!$A$5:$A$353=作業体系表!$B11)*(③労働時間!$B$5:$B$353="4月下旬")*(③労働時間!$J$5:$J$353))</f>
        <v>0</v>
      </c>
      <c r="P11" s="374">
        <f>SUMPRODUCT((③労働時間!$A$5:$A$353=作業体系表!$B11)*(③労働時間!$B$5:$B$353="5月上旬")*(③労働時間!$J$5:$J$353))</f>
        <v>0</v>
      </c>
      <c r="Q11" s="373">
        <f>SUMPRODUCT((③労働時間!$A$5:$A$353=作業体系表!$B11)*(③労働時間!$B$5:$B$353="5月中旬")*(③労働時間!$J$5:$J$353))</f>
        <v>0</v>
      </c>
      <c r="R11" s="373">
        <f>SUMPRODUCT((③労働時間!$A$5:$A$353=作業体系表!$B11)*(③労働時間!$B$5:$B$353="5月下旬")*(③労働時間!$J$5:$J$353))</f>
        <v>0</v>
      </c>
      <c r="S11" s="373">
        <f>SUMPRODUCT((③労働時間!$A$5:$A$353=作業体系表!$B11)*(③労働時間!$B$5:$B$353="6月上旬")*(③労働時間!$J$5:$J$353))</f>
        <v>0</v>
      </c>
      <c r="T11" s="373">
        <f>SUMPRODUCT((③労働時間!$A$5:$A$353=作業体系表!$B11)*(③労働時間!$B$5:$B$353="6月中旬")*(③労働時間!$J$5:$J$353))</f>
        <v>0</v>
      </c>
      <c r="U11" s="373">
        <f>SUMPRODUCT((③労働時間!$A$5:$A$353=作業体系表!$B11)*(③労働時間!$B$5:$B$353="6月下旬")*(③労働時間!$J$5:$J$353))</f>
        <v>0</v>
      </c>
      <c r="V11" s="373">
        <f>SUMPRODUCT((③労働時間!$A$5:$A$353=作業体系表!$B11)*(③労働時間!$B$5:$B$353="7月上旬")*(③労働時間!$J$5:$J$353))</f>
        <v>0</v>
      </c>
      <c r="W11" s="373">
        <f>SUMPRODUCT((③労働時間!$A$5:$A$353=作業体系表!$B11)*(③労働時間!$B$5:$B$353="7月中旬")*(③労働時間!$J$5:$J$353))</f>
        <v>0</v>
      </c>
      <c r="X11" s="373">
        <f>SUMPRODUCT((③労働時間!$A$5:$A$353=作業体系表!$B11)*(③労働時間!$B$5:$B$353="7月下旬")*(③労働時間!$J$5:$J$353))</f>
        <v>0</v>
      </c>
      <c r="Y11" s="373">
        <f>SUMPRODUCT((③労働時間!$A$5:$A$353=作業体系表!$B11)*(③労働時間!$B$5:$B$353="8月上旬")*(③労働時間!$J$5:$J$353))</f>
        <v>0</v>
      </c>
      <c r="Z11" s="373">
        <f>SUMPRODUCT((③労働時間!$A$5:$A$353=作業体系表!$B11)*(③労働時間!$B$5:$B$353="8月中旬")*(③労働時間!$J$5:$J$353))</f>
        <v>0</v>
      </c>
      <c r="AA11" s="373">
        <f>SUMPRODUCT((③労働時間!$A$5:$A$353=作業体系表!$B11)*(③労働時間!$B$5:$B$353="8月下旬")*(③労働時間!$J$5:$J$353))</f>
        <v>0</v>
      </c>
      <c r="AB11" s="374">
        <f>SUMPRODUCT((③労働時間!$A$5:$A$353=作業体系表!$B11)*(③労働時間!$B$5:$B$353="9月上旬")*(③労働時間!$J$5:$J$353))</f>
        <v>0</v>
      </c>
      <c r="AC11" s="373">
        <f>SUMPRODUCT((③労働時間!$A$5:$A$353=作業体系表!$B11)*(③労働時間!$B$5:$B$353="9月中旬")*(③労働時間!$J$5:$J$353))</f>
        <v>0</v>
      </c>
      <c r="AD11" s="373">
        <f>SUMPRODUCT((③労働時間!$A$5:$A$353=作業体系表!$B11)*(③労働時間!$B$5:$B$353="9月下旬")*(③労働時間!$J$5:$J$353))</f>
        <v>0</v>
      </c>
      <c r="AE11" s="373">
        <f>SUMPRODUCT((③労働時間!$A$5:$A$353=作業体系表!$B11)*(③労働時間!$B$5:$B$353="10月上旬")*(③労働時間!$J$5:$J$353))</f>
        <v>0</v>
      </c>
      <c r="AF11" s="373">
        <f>SUMPRODUCT((③労働時間!$A$5:$A$353=作業体系表!$B11)*(③労働時間!$B$5:$B$353="10月中旬")*(③労働時間!$J$5:$J$353))</f>
        <v>0</v>
      </c>
      <c r="AG11" s="373">
        <f>SUMPRODUCT((③労働時間!$A$5:$A$353=作業体系表!$B11)*(③労働時間!$B$5:$B$353="10月下旬")*(③労働時間!$J$5:$J$353))</f>
        <v>0</v>
      </c>
      <c r="AH11" s="373">
        <f>SUMPRODUCT((③労働時間!$A$5:$A$353=作業体系表!$B11)*(③労働時間!$B$5:$B$353="11月上旬")*(③労働時間!$J$5:$J$353))</f>
        <v>0</v>
      </c>
      <c r="AI11" s="373">
        <f>SUMPRODUCT((③労働時間!$A$5:$A$353=作業体系表!$B11)*(③労働時間!$B$5:$B$353="11月中旬")*(③労働時間!$J$5:$J$353))</f>
        <v>0</v>
      </c>
      <c r="AJ11" s="373">
        <f>SUMPRODUCT((③労働時間!$A$5:$A$353=作業体系表!$B11)*(③労働時間!$B$5:$B$353="11月下旬")*(③労働時間!$J$5:$J$353))</f>
        <v>0</v>
      </c>
      <c r="AK11" s="373">
        <f>SUMPRODUCT((③労働時間!$A$5:$A$353=作業体系表!$B11)*(③労働時間!$B$5:$B$353="12月上旬")*(③労働時間!$J$5:$J$353))</f>
        <v>0</v>
      </c>
      <c r="AL11" s="373">
        <f>SUMPRODUCT((③労働時間!$A$5:$A$353=作業体系表!$B11)*(③労働時間!$B$5:$B$353="12月中旬")*(③労働時間!$J$5:$J$353))</f>
        <v>0</v>
      </c>
      <c r="AM11" s="375">
        <f>SUMPRODUCT((③労働時間!$A$5:$A$353=作業体系表!$B11)*(③労働時間!$B$5:$B$353="12月下旬")*(③労働時間!$J$5:$J$353))</f>
        <v>0</v>
      </c>
      <c r="AN11" s="376">
        <f t="shared" si="0"/>
        <v>0</v>
      </c>
      <c r="AP11" s="10"/>
      <c r="AQ11" s="10"/>
      <c r="AR11" s="10"/>
    </row>
    <row r="12" spans="2:44" ht="15" customHeight="1">
      <c r="B12" s="788" t="str">
        <f>①技術体系!A9</f>
        <v>下草刈り</v>
      </c>
      <c r="C12" s="789"/>
      <c r="D12" s="373">
        <f>SUMPRODUCT((③労働時間!$A$5:$A$353=作業体系表!$B12)*(③労働時間!$B$5:$B$353="1月上旬")*(③労働時間!$J$5:$J$353))</f>
        <v>0</v>
      </c>
      <c r="E12" s="373">
        <f>SUMPRODUCT((③労働時間!$A$5:$A$353=作業体系表!$B12)*(③労働時間!$B$5:$B$353="1月中旬")*(③労働時間!$J$5:$J$353))</f>
        <v>0</v>
      </c>
      <c r="F12" s="373">
        <f>SUMPRODUCT((③労働時間!$A$5:$A$353=作業体系表!$B12)*(③労働時間!$B$5:$B$353="1月下旬")*(③労働時間!$J$5:$J$353))</f>
        <v>0</v>
      </c>
      <c r="G12" s="373">
        <f>SUMPRODUCT((③労働時間!$A$5:$A$353=作業体系表!$B12)*(③労働時間!$B$5:$B$353="2月上旬")*(③労働時間!$J$5:$J$353))</f>
        <v>0</v>
      </c>
      <c r="H12" s="373">
        <f>SUMPRODUCT((③労働時間!$A$5:$A$353=作業体系表!$B12)*(③労働時間!$B$5:$B$353="2月中旬")*(③労働時間!$J$5:$J$353))</f>
        <v>0</v>
      </c>
      <c r="I12" s="373">
        <f>SUMPRODUCT((③労働時間!$A$5:$A$353=作業体系表!$B12)*(③労働時間!$B$5:$B$353="2月下旬")*(③労働時間!$J$5:$J$353))</f>
        <v>0</v>
      </c>
      <c r="J12" s="373">
        <f>SUMPRODUCT((③労働時間!$A$5:$A$353=作業体系表!$B12)*(③労働時間!$B$5:$B$353="3月上旬")*(③労働時間!$J$5:$J$353))</f>
        <v>0</v>
      </c>
      <c r="K12" s="373">
        <f>SUMPRODUCT((③労働時間!$A$5:$A$353=作業体系表!$B12)*(③労働時間!$B$5:$B$353="3月中旬")*(③労働時間!$J$5:$J$353))</f>
        <v>0</v>
      </c>
      <c r="L12" s="373">
        <f>SUMPRODUCT((③労働時間!$A$5:$A$353=作業体系表!$B12)*(③労働時間!$B$5:$B$353="3月下旬")*(③労働時間!$J$5:$J$353))</f>
        <v>0</v>
      </c>
      <c r="M12" s="373">
        <f>SUMPRODUCT((③労働時間!$A$5:$A$353=作業体系表!$B12)*(③労働時間!$B$5:$B$353="4月上旬")*(③労働時間!$J$5:$J$353))</f>
        <v>0</v>
      </c>
      <c r="N12" s="373">
        <f>SUMPRODUCT((③労働時間!$A$5:$A$353=作業体系表!$B12)*(③労働時間!$B$5:$B$353="4月中旬")*(③労働時間!$J$5:$J$353))</f>
        <v>0</v>
      </c>
      <c r="O12" s="373">
        <f>SUMPRODUCT((③労働時間!$A$5:$A$353=作業体系表!$B12)*(③労働時間!$B$5:$B$353="4月下旬")*(③労働時間!$J$5:$J$353))</f>
        <v>0.2</v>
      </c>
      <c r="P12" s="374">
        <f>SUMPRODUCT((③労働時間!$A$5:$A$353=作業体系表!$B12)*(③労働時間!$B$5:$B$353="5月上旬")*(③労働時間!$J$5:$J$353))</f>
        <v>0</v>
      </c>
      <c r="Q12" s="373">
        <f>SUMPRODUCT((③労働時間!$A$5:$A$353=作業体系表!$B12)*(③労働時間!$B$5:$B$353="5月中旬")*(③労働時間!$J$5:$J$353))</f>
        <v>0</v>
      </c>
      <c r="R12" s="373">
        <f>SUMPRODUCT((③労働時間!$A$5:$A$353=作業体系表!$B12)*(③労働時間!$B$5:$B$353="5月下旬")*(③労働時間!$J$5:$J$353))</f>
        <v>0</v>
      </c>
      <c r="S12" s="373">
        <f>SUMPRODUCT((③労働時間!$A$5:$A$353=作業体系表!$B12)*(③労働時間!$B$5:$B$353="6月上旬")*(③労働時間!$J$5:$J$353))</f>
        <v>0</v>
      </c>
      <c r="T12" s="373">
        <f>SUMPRODUCT((③労働時間!$A$5:$A$353=作業体系表!$B12)*(③労働時間!$B$5:$B$353="6月中旬")*(③労働時間!$J$5:$J$353))</f>
        <v>0</v>
      </c>
      <c r="U12" s="373">
        <f>SUMPRODUCT((③労働時間!$A$5:$A$353=作業体系表!$B12)*(③労働時間!$B$5:$B$353="6月下旬")*(③労働時間!$J$5:$J$353))</f>
        <v>0</v>
      </c>
      <c r="V12" s="373">
        <f>SUMPRODUCT((③労働時間!$A$5:$A$353=作業体系表!$B12)*(③労働時間!$B$5:$B$353="7月上旬")*(③労働時間!$J$5:$J$353))</f>
        <v>0</v>
      </c>
      <c r="W12" s="373">
        <f>SUMPRODUCT((③労働時間!$A$5:$A$353=作業体系表!$B12)*(③労働時間!$B$5:$B$353="7月中旬")*(③労働時間!$J$5:$J$353))</f>
        <v>0</v>
      </c>
      <c r="X12" s="373">
        <f>SUMPRODUCT((③労働時間!$A$5:$A$353=作業体系表!$B12)*(③労働時間!$B$5:$B$353="7月下旬")*(③労働時間!$J$5:$J$353))</f>
        <v>0</v>
      </c>
      <c r="Y12" s="373">
        <f>SUMPRODUCT((③労働時間!$A$5:$A$353=作業体系表!$B12)*(③労働時間!$B$5:$B$353="8月上旬")*(③労働時間!$J$5:$J$353))</f>
        <v>0</v>
      </c>
      <c r="Z12" s="373">
        <f>SUMPRODUCT((③労働時間!$A$5:$A$353=作業体系表!$B12)*(③労働時間!$B$5:$B$353="8月中旬")*(③労働時間!$J$5:$J$353))</f>
        <v>0</v>
      </c>
      <c r="AA12" s="373">
        <f>SUMPRODUCT((③労働時間!$A$5:$A$353=作業体系表!$B12)*(③労働時間!$B$5:$B$353="8月下旬")*(③労働時間!$J$5:$J$353))</f>
        <v>0</v>
      </c>
      <c r="AB12" s="374">
        <f>SUMPRODUCT((③労働時間!$A$5:$A$353=作業体系表!$B12)*(③労働時間!$B$5:$B$353="9月上旬")*(③労働時間!$J$5:$J$353))</f>
        <v>0</v>
      </c>
      <c r="AC12" s="373">
        <f>SUMPRODUCT((③労働時間!$A$5:$A$353=作業体系表!$B12)*(③労働時間!$B$5:$B$353="9月中旬")*(③労働時間!$J$5:$J$353))</f>
        <v>0</v>
      </c>
      <c r="AD12" s="373">
        <f>SUMPRODUCT((③労働時間!$A$5:$A$353=作業体系表!$B12)*(③労働時間!$B$5:$B$353="9月下旬")*(③労働時間!$J$5:$J$353))</f>
        <v>0</v>
      </c>
      <c r="AE12" s="373">
        <f>SUMPRODUCT((③労働時間!$A$5:$A$353=作業体系表!$B12)*(③労働時間!$B$5:$B$353="10月上旬")*(③労働時間!$J$5:$J$353))</f>
        <v>0</v>
      </c>
      <c r="AF12" s="373">
        <f>SUMPRODUCT((③労働時間!$A$5:$A$353=作業体系表!$B12)*(③労働時間!$B$5:$B$353="10月中旬")*(③労働時間!$J$5:$J$353))</f>
        <v>0</v>
      </c>
      <c r="AG12" s="373">
        <f>SUMPRODUCT((③労働時間!$A$5:$A$353=作業体系表!$B12)*(③労働時間!$B$5:$B$353="10月下旬")*(③労働時間!$J$5:$J$353))</f>
        <v>0</v>
      </c>
      <c r="AH12" s="373">
        <f>SUMPRODUCT((③労働時間!$A$5:$A$353=作業体系表!$B12)*(③労働時間!$B$5:$B$353="11月上旬")*(③労働時間!$J$5:$J$353))</f>
        <v>0</v>
      </c>
      <c r="AI12" s="373">
        <f>SUMPRODUCT((③労働時間!$A$5:$A$353=作業体系表!$B12)*(③労働時間!$B$5:$B$353="11月中旬")*(③労働時間!$J$5:$J$353))</f>
        <v>0</v>
      </c>
      <c r="AJ12" s="373">
        <f>SUMPRODUCT((③労働時間!$A$5:$A$353=作業体系表!$B12)*(③労働時間!$B$5:$B$353="11月下旬")*(③労働時間!$J$5:$J$353))</f>
        <v>0</v>
      </c>
      <c r="AK12" s="373">
        <f>SUMPRODUCT((③労働時間!$A$5:$A$353=作業体系表!$B12)*(③労働時間!$B$5:$B$353="12月上旬")*(③労働時間!$J$5:$J$353))</f>
        <v>0</v>
      </c>
      <c r="AL12" s="373">
        <f>SUMPRODUCT((③労働時間!$A$5:$A$353=作業体系表!$B12)*(③労働時間!$B$5:$B$353="12月中旬")*(③労働時間!$J$5:$J$353))</f>
        <v>0</v>
      </c>
      <c r="AM12" s="375">
        <f>SUMPRODUCT((③労働時間!$A$5:$A$353=作業体系表!$B12)*(③労働時間!$B$5:$B$353="12月下旬")*(③労働時間!$J$5:$J$353))</f>
        <v>0</v>
      </c>
      <c r="AN12" s="376">
        <f t="shared" si="0"/>
        <v>0.2</v>
      </c>
    </row>
    <row r="13" spans="2:44" ht="15" customHeight="1">
      <c r="B13" s="788" t="str">
        <f>①技術体系!A10</f>
        <v>放牧施設設置</v>
      </c>
      <c r="C13" s="789"/>
      <c r="D13" s="373">
        <f>SUMPRODUCT((③労働時間!$A$5:$A$353=作業体系表!$B13)*(③労働時間!$B$5:$B$353="1月上旬")*(③労働時間!$J$5:$J$353))</f>
        <v>0</v>
      </c>
      <c r="E13" s="373">
        <f>SUMPRODUCT((③労働時間!$A$5:$A$353=作業体系表!$B13)*(③労働時間!$B$5:$B$353="1月中旬")*(③労働時間!$J$5:$J$353))</f>
        <v>0</v>
      </c>
      <c r="F13" s="373">
        <f>SUMPRODUCT((③労働時間!$A$5:$A$353=作業体系表!$B13)*(③労働時間!$B$5:$B$353="1月下旬")*(③労働時間!$J$5:$J$353))</f>
        <v>0</v>
      </c>
      <c r="G13" s="373">
        <f>SUMPRODUCT((③労働時間!$A$5:$A$353=作業体系表!$B13)*(③労働時間!$B$5:$B$353="2月上旬")*(③労働時間!$J$5:$J$353))</f>
        <v>0</v>
      </c>
      <c r="H13" s="373">
        <f>SUMPRODUCT((③労働時間!$A$5:$A$353=作業体系表!$B13)*(③労働時間!$B$5:$B$353="2月中旬")*(③労働時間!$J$5:$J$353))</f>
        <v>0</v>
      </c>
      <c r="I13" s="373">
        <f>SUMPRODUCT((③労働時間!$A$5:$A$353=作業体系表!$B13)*(③労働時間!$B$5:$B$353="2月下旬")*(③労働時間!$J$5:$J$353))</f>
        <v>0</v>
      </c>
      <c r="J13" s="373">
        <f>SUMPRODUCT((③労働時間!$A$5:$A$353=作業体系表!$B13)*(③労働時間!$B$5:$B$353="3月上旬")*(③労働時間!$J$5:$J$353))</f>
        <v>0</v>
      </c>
      <c r="K13" s="373">
        <f>SUMPRODUCT((③労働時間!$A$5:$A$353=作業体系表!$B13)*(③労働時間!$B$5:$B$353="3月中旬")*(③労働時間!$J$5:$J$353))</f>
        <v>0</v>
      </c>
      <c r="L13" s="373">
        <f>SUMPRODUCT((③労働時間!$A$5:$A$353=作業体系表!$B13)*(③労働時間!$B$5:$B$353="3月下旬")*(③労働時間!$J$5:$J$353))</f>
        <v>0</v>
      </c>
      <c r="M13" s="373">
        <f>SUMPRODUCT((③労働時間!$A$5:$A$353=作業体系表!$B13)*(③労働時間!$B$5:$B$353="4月上旬")*(③労働時間!$J$5:$J$353))</f>
        <v>0</v>
      </c>
      <c r="N13" s="373">
        <f>SUMPRODUCT((③労働時間!$A$5:$A$353=作業体系表!$B13)*(③労働時間!$B$5:$B$353="4月中旬")*(③労働時間!$J$5:$J$353))</f>
        <v>0</v>
      </c>
      <c r="O13" s="373">
        <f>SUMPRODUCT((③労働時間!$A$5:$A$353=作業体系表!$B13)*(③労働時間!$B$5:$B$353="4月下旬")*(③労働時間!$J$5:$J$353))</f>
        <v>0.2</v>
      </c>
      <c r="P13" s="374">
        <f>SUMPRODUCT((③労働時間!$A$5:$A$353=作業体系表!$B13)*(③労働時間!$B$5:$B$353="5月上旬")*(③労働時間!$J$5:$J$353))</f>
        <v>0</v>
      </c>
      <c r="Q13" s="373">
        <f>SUMPRODUCT((③労働時間!$A$5:$A$353=作業体系表!$B13)*(③労働時間!$B$5:$B$353="5月中旬")*(③労働時間!$J$5:$J$353))</f>
        <v>0</v>
      </c>
      <c r="R13" s="373">
        <f>SUMPRODUCT((③労働時間!$A$5:$A$353=作業体系表!$B13)*(③労働時間!$B$5:$B$353="5月下旬")*(③労働時間!$J$5:$J$353))</f>
        <v>0</v>
      </c>
      <c r="S13" s="373">
        <f>SUMPRODUCT((③労働時間!$A$5:$A$353=作業体系表!$B13)*(③労働時間!$B$5:$B$353="6月上旬")*(③労働時間!$J$5:$J$353))</f>
        <v>0</v>
      </c>
      <c r="T13" s="373">
        <f>SUMPRODUCT((③労働時間!$A$5:$A$353=作業体系表!$B13)*(③労働時間!$B$5:$B$353="6月中旬")*(③労働時間!$J$5:$J$353))</f>
        <v>0</v>
      </c>
      <c r="U13" s="373">
        <f>SUMPRODUCT((③労働時間!$A$5:$A$353=作業体系表!$B13)*(③労働時間!$B$5:$B$353="6月下旬")*(③労働時間!$J$5:$J$353))</f>
        <v>0</v>
      </c>
      <c r="V13" s="373">
        <f>SUMPRODUCT((③労働時間!$A$5:$A$353=作業体系表!$B13)*(③労働時間!$B$5:$B$353="7月上旬")*(③労働時間!$J$5:$J$353))</f>
        <v>0</v>
      </c>
      <c r="W13" s="373">
        <f>SUMPRODUCT((③労働時間!$A$5:$A$353=作業体系表!$B13)*(③労働時間!$B$5:$B$353="7月中旬")*(③労働時間!$J$5:$J$353))</f>
        <v>0</v>
      </c>
      <c r="X13" s="373">
        <f>SUMPRODUCT((③労働時間!$A$5:$A$353=作業体系表!$B13)*(③労働時間!$B$5:$B$353="7月下旬")*(③労働時間!$J$5:$J$353))</f>
        <v>0</v>
      </c>
      <c r="Y13" s="373">
        <f>SUMPRODUCT((③労働時間!$A$5:$A$353=作業体系表!$B13)*(③労働時間!$B$5:$B$353="8月上旬")*(③労働時間!$J$5:$J$353))</f>
        <v>0</v>
      </c>
      <c r="Z13" s="373">
        <f>SUMPRODUCT((③労働時間!$A$5:$A$353=作業体系表!$B13)*(③労働時間!$B$5:$B$353="8月中旬")*(③労働時間!$J$5:$J$353))</f>
        <v>0</v>
      </c>
      <c r="AA13" s="373">
        <f>SUMPRODUCT((③労働時間!$A$5:$A$353=作業体系表!$B13)*(③労働時間!$B$5:$B$353="8月下旬")*(③労働時間!$J$5:$J$353))</f>
        <v>0</v>
      </c>
      <c r="AB13" s="374">
        <f>SUMPRODUCT((③労働時間!$A$5:$A$353=作業体系表!$B13)*(③労働時間!$B$5:$B$353="9月上旬")*(③労働時間!$J$5:$J$353))</f>
        <v>0</v>
      </c>
      <c r="AC13" s="373">
        <f>SUMPRODUCT((③労働時間!$A$5:$A$353=作業体系表!$B13)*(③労働時間!$B$5:$B$353="9月中旬")*(③労働時間!$J$5:$J$353))</f>
        <v>0</v>
      </c>
      <c r="AD13" s="373">
        <f>SUMPRODUCT((③労働時間!$A$5:$A$353=作業体系表!$B13)*(③労働時間!$B$5:$B$353="9月下旬")*(③労働時間!$J$5:$J$353))</f>
        <v>0</v>
      </c>
      <c r="AE13" s="373">
        <f>SUMPRODUCT((③労働時間!$A$5:$A$353=作業体系表!$B13)*(③労働時間!$B$5:$B$353="10月上旬")*(③労働時間!$J$5:$J$353))</f>
        <v>0</v>
      </c>
      <c r="AF13" s="373">
        <f>SUMPRODUCT((③労働時間!$A$5:$A$353=作業体系表!$B13)*(③労働時間!$B$5:$B$353="10月中旬")*(③労働時間!$J$5:$J$353))</f>
        <v>0</v>
      </c>
      <c r="AG13" s="373">
        <f>SUMPRODUCT((③労働時間!$A$5:$A$353=作業体系表!$B13)*(③労働時間!$B$5:$B$353="10月下旬")*(③労働時間!$J$5:$J$353))</f>
        <v>0</v>
      </c>
      <c r="AH13" s="373">
        <f>SUMPRODUCT((③労働時間!$A$5:$A$353=作業体系表!$B13)*(③労働時間!$B$5:$B$353="11月上旬")*(③労働時間!$J$5:$J$353))</f>
        <v>0</v>
      </c>
      <c r="AI13" s="373">
        <f>SUMPRODUCT((③労働時間!$A$5:$A$353=作業体系表!$B13)*(③労働時間!$B$5:$B$353="11月中旬")*(③労働時間!$J$5:$J$353))</f>
        <v>0</v>
      </c>
      <c r="AJ13" s="373">
        <f>SUMPRODUCT((③労働時間!$A$5:$A$353=作業体系表!$B13)*(③労働時間!$B$5:$B$353="11月下旬")*(③労働時間!$J$5:$J$353))</f>
        <v>0</v>
      </c>
      <c r="AK13" s="373">
        <f>SUMPRODUCT((③労働時間!$A$5:$A$353=作業体系表!$B13)*(③労働時間!$B$5:$B$353="12月上旬")*(③労働時間!$J$5:$J$353))</f>
        <v>0</v>
      </c>
      <c r="AL13" s="373">
        <f>SUMPRODUCT((③労働時間!$A$5:$A$353=作業体系表!$B13)*(③労働時間!$B$5:$B$353="12月中旬")*(③労働時間!$J$5:$J$353))</f>
        <v>0</v>
      </c>
      <c r="AM13" s="375">
        <f>SUMPRODUCT((③労働時間!$A$5:$A$353=作業体系表!$B13)*(③労働時間!$B$5:$B$353="12月下旬")*(③労働時間!$J$5:$J$353))</f>
        <v>0</v>
      </c>
      <c r="AN13" s="376">
        <f t="shared" si="0"/>
        <v>0.2</v>
      </c>
    </row>
    <row r="14" spans="2:44" ht="15" customHeight="1">
      <c r="B14" s="788" t="str">
        <f>①技術体系!A11</f>
        <v>入牧</v>
      </c>
      <c r="C14" s="789"/>
      <c r="D14" s="373">
        <f>SUMPRODUCT((③労働時間!$A$5:$A$353=作業体系表!$B14)*(③労働時間!$B$5:$B$353="1月上旬")*(③労働時間!$J$5:$J$353))</f>
        <v>0</v>
      </c>
      <c r="E14" s="373">
        <f>SUMPRODUCT((③労働時間!$A$5:$A$353=作業体系表!$B14)*(③労働時間!$B$5:$B$353="1月中旬")*(③労働時間!$J$5:$J$353))</f>
        <v>0</v>
      </c>
      <c r="F14" s="373">
        <f>SUMPRODUCT((③労働時間!$A$5:$A$353=作業体系表!$B14)*(③労働時間!$B$5:$B$353="1月下旬")*(③労働時間!$J$5:$J$353))</f>
        <v>0</v>
      </c>
      <c r="G14" s="373">
        <f>SUMPRODUCT((③労働時間!$A$5:$A$353=作業体系表!$B14)*(③労働時間!$B$5:$B$353="2月上旬")*(③労働時間!$J$5:$J$353))</f>
        <v>0</v>
      </c>
      <c r="H14" s="373">
        <f>SUMPRODUCT((③労働時間!$A$5:$A$353=作業体系表!$B14)*(③労働時間!$B$5:$B$353="2月中旬")*(③労働時間!$J$5:$J$353))</f>
        <v>0</v>
      </c>
      <c r="I14" s="373">
        <f>SUMPRODUCT((③労働時間!$A$5:$A$353=作業体系表!$B14)*(③労働時間!$B$5:$B$353="2月下旬")*(③労働時間!$J$5:$J$353))</f>
        <v>0</v>
      </c>
      <c r="J14" s="373">
        <f>SUMPRODUCT((③労働時間!$A$5:$A$353=作業体系表!$B14)*(③労働時間!$B$5:$B$353="3月上旬")*(③労働時間!$J$5:$J$353))</f>
        <v>0</v>
      </c>
      <c r="K14" s="373">
        <f>SUMPRODUCT((③労働時間!$A$5:$A$353=作業体系表!$B14)*(③労働時間!$B$5:$B$353="3月中旬")*(③労働時間!$J$5:$J$353))</f>
        <v>0</v>
      </c>
      <c r="L14" s="373">
        <f>SUMPRODUCT((③労働時間!$A$5:$A$353=作業体系表!$B14)*(③労働時間!$B$5:$B$353="3月下旬")*(③労働時間!$J$5:$J$353))</f>
        <v>0</v>
      </c>
      <c r="M14" s="373">
        <f>SUMPRODUCT((③労働時間!$A$5:$A$353=作業体系表!$B14)*(③労働時間!$B$5:$B$353="4月上旬")*(③労働時間!$J$5:$J$353))</f>
        <v>0</v>
      </c>
      <c r="N14" s="373">
        <f>SUMPRODUCT((③労働時間!$A$5:$A$353=作業体系表!$B14)*(③労働時間!$B$5:$B$353="4月中旬")*(③労働時間!$J$5:$J$353))</f>
        <v>0</v>
      </c>
      <c r="O14" s="373">
        <f>SUMPRODUCT((③労働時間!$A$5:$A$353=作業体系表!$B14)*(③労働時間!$B$5:$B$353="4月下旬")*(③労働時間!$J$5:$J$353))</f>
        <v>0</v>
      </c>
      <c r="P14" s="374">
        <f>SUMPRODUCT((③労働時間!$A$5:$A$353=作業体系表!$B14)*(③労働時間!$B$5:$B$353="5月上旬")*(③労働時間!$J$5:$J$353))</f>
        <v>0</v>
      </c>
      <c r="Q14" s="373">
        <f>SUMPRODUCT((③労働時間!$A$5:$A$353=作業体系表!$B14)*(③労働時間!$B$5:$B$353="5月中旬")*(③労働時間!$J$5:$J$353))</f>
        <v>0.05</v>
      </c>
      <c r="R14" s="373">
        <f>SUMPRODUCT((③労働時間!$A$5:$A$353=作業体系表!$B14)*(③労働時間!$B$5:$B$353="5月下旬")*(③労働時間!$J$5:$J$353))</f>
        <v>0</v>
      </c>
      <c r="S14" s="373">
        <f>SUMPRODUCT((③労働時間!$A$5:$A$353=作業体系表!$B14)*(③労働時間!$B$5:$B$353="6月上旬")*(③労働時間!$J$5:$J$353))</f>
        <v>0</v>
      </c>
      <c r="T14" s="373">
        <f>SUMPRODUCT((③労働時間!$A$5:$A$353=作業体系表!$B14)*(③労働時間!$B$5:$B$353="6月中旬")*(③労働時間!$J$5:$J$353))</f>
        <v>0</v>
      </c>
      <c r="U14" s="373">
        <f>SUMPRODUCT((③労働時間!$A$5:$A$353=作業体系表!$B14)*(③労働時間!$B$5:$B$353="6月下旬")*(③労働時間!$J$5:$J$353))</f>
        <v>0</v>
      </c>
      <c r="V14" s="373">
        <f>SUMPRODUCT((③労働時間!$A$5:$A$353=作業体系表!$B14)*(③労働時間!$B$5:$B$353="7月上旬")*(③労働時間!$J$5:$J$353))</f>
        <v>0</v>
      </c>
      <c r="W14" s="373">
        <f>SUMPRODUCT((③労働時間!$A$5:$A$353=作業体系表!$B14)*(③労働時間!$B$5:$B$353="7月中旬")*(③労働時間!$J$5:$J$353))</f>
        <v>0</v>
      </c>
      <c r="X14" s="373">
        <f>SUMPRODUCT((③労働時間!$A$5:$A$353=作業体系表!$B14)*(③労働時間!$B$5:$B$353="7月下旬")*(③労働時間!$J$5:$J$353))</f>
        <v>0</v>
      </c>
      <c r="Y14" s="373">
        <f>SUMPRODUCT((③労働時間!$A$5:$A$353=作業体系表!$B14)*(③労働時間!$B$5:$B$353="8月上旬")*(③労働時間!$J$5:$J$353))</f>
        <v>0</v>
      </c>
      <c r="Z14" s="373">
        <f>SUMPRODUCT((③労働時間!$A$5:$A$353=作業体系表!$B14)*(③労働時間!$B$5:$B$353="8月中旬")*(③労働時間!$J$5:$J$353))</f>
        <v>0</v>
      </c>
      <c r="AA14" s="373">
        <f>SUMPRODUCT((③労働時間!$A$5:$A$353=作業体系表!$B14)*(③労働時間!$B$5:$B$353="8月下旬")*(③労働時間!$J$5:$J$353))</f>
        <v>0</v>
      </c>
      <c r="AB14" s="374">
        <f>SUMPRODUCT((③労働時間!$A$5:$A$353=作業体系表!$B14)*(③労働時間!$B$5:$B$353="9月上旬")*(③労働時間!$J$5:$J$353))</f>
        <v>0</v>
      </c>
      <c r="AC14" s="373">
        <f>SUMPRODUCT((③労働時間!$A$5:$A$353=作業体系表!$B14)*(③労働時間!$B$5:$B$353="9月中旬")*(③労働時間!$J$5:$J$353))</f>
        <v>0</v>
      </c>
      <c r="AD14" s="373">
        <f>SUMPRODUCT((③労働時間!$A$5:$A$353=作業体系表!$B14)*(③労働時間!$B$5:$B$353="9月下旬")*(③労働時間!$J$5:$J$353))</f>
        <v>0</v>
      </c>
      <c r="AE14" s="373">
        <f>SUMPRODUCT((③労働時間!$A$5:$A$353=作業体系表!$B14)*(③労働時間!$B$5:$B$353="10月上旬")*(③労働時間!$J$5:$J$353))</f>
        <v>0</v>
      </c>
      <c r="AF14" s="373">
        <f>SUMPRODUCT((③労働時間!$A$5:$A$353=作業体系表!$B14)*(③労働時間!$B$5:$B$353="10月中旬")*(③労働時間!$J$5:$J$353))</f>
        <v>0</v>
      </c>
      <c r="AG14" s="373">
        <f>SUMPRODUCT((③労働時間!$A$5:$A$353=作業体系表!$B14)*(③労働時間!$B$5:$B$353="10月下旬")*(③労働時間!$J$5:$J$353))</f>
        <v>0</v>
      </c>
      <c r="AH14" s="373">
        <f>SUMPRODUCT((③労働時間!$A$5:$A$353=作業体系表!$B14)*(③労働時間!$B$5:$B$353="11月上旬")*(③労働時間!$J$5:$J$353))</f>
        <v>0</v>
      </c>
      <c r="AI14" s="373">
        <f>SUMPRODUCT((③労働時間!$A$5:$A$353=作業体系表!$B14)*(③労働時間!$B$5:$B$353="11月中旬")*(③労働時間!$J$5:$J$353))</f>
        <v>0</v>
      </c>
      <c r="AJ14" s="373">
        <f>SUMPRODUCT((③労働時間!$A$5:$A$353=作業体系表!$B14)*(③労働時間!$B$5:$B$353="11月下旬")*(③労働時間!$J$5:$J$353))</f>
        <v>0</v>
      </c>
      <c r="AK14" s="373">
        <f>SUMPRODUCT((③労働時間!$A$5:$A$353=作業体系表!$B14)*(③労働時間!$B$5:$B$353="12月上旬")*(③労働時間!$J$5:$J$353))</f>
        <v>0</v>
      </c>
      <c r="AL14" s="373">
        <f>SUMPRODUCT((③労働時間!$A$5:$A$353=作業体系表!$B14)*(③労働時間!$B$5:$B$353="12月中旬")*(③労働時間!$J$5:$J$353))</f>
        <v>0</v>
      </c>
      <c r="AM14" s="375">
        <f>SUMPRODUCT((③労働時間!$A$5:$A$353=作業体系表!$B14)*(③労働時間!$B$5:$B$353="12月下旬")*(③労働時間!$J$5:$J$353))</f>
        <v>0</v>
      </c>
      <c r="AN14" s="376">
        <f t="shared" si="0"/>
        <v>0.05</v>
      </c>
    </row>
    <row r="15" spans="2:44" ht="15" customHeight="1">
      <c r="B15" s="788" t="str">
        <f>①技術体系!A12</f>
        <v>放牧管理</v>
      </c>
      <c r="C15" s="789"/>
      <c r="D15" s="373">
        <f>SUMPRODUCT((③労働時間!$A$5:$A$353=作業体系表!$B15)*(③労働時間!$B$5:$B$353="1月上旬")*(③労働時間!$J$5:$J$353))</f>
        <v>0</v>
      </c>
      <c r="E15" s="373">
        <f>SUMPRODUCT((③労働時間!$A$5:$A$353=作業体系表!$B15)*(③労働時間!$B$5:$B$353="1月中旬")*(③労働時間!$J$5:$J$353))</f>
        <v>0</v>
      </c>
      <c r="F15" s="373">
        <f>SUMPRODUCT((③労働時間!$A$5:$A$353=作業体系表!$B15)*(③労働時間!$B$5:$B$353="1月下旬")*(③労働時間!$J$5:$J$353))</f>
        <v>0</v>
      </c>
      <c r="G15" s="373">
        <f>SUMPRODUCT((③労働時間!$A$5:$A$353=作業体系表!$B15)*(③労働時間!$B$5:$B$353="2月上旬")*(③労働時間!$J$5:$J$353))</f>
        <v>0</v>
      </c>
      <c r="H15" s="373">
        <f>SUMPRODUCT((③労働時間!$A$5:$A$353=作業体系表!$B15)*(③労働時間!$B$5:$B$353="2月中旬")*(③労働時間!$J$5:$J$353))</f>
        <v>0</v>
      </c>
      <c r="I15" s="373">
        <f>SUMPRODUCT((③労働時間!$A$5:$A$353=作業体系表!$B15)*(③労働時間!$B$5:$B$353="2月下旬")*(③労働時間!$J$5:$J$353))</f>
        <v>0</v>
      </c>
      <c r="J15" s="373">
        <f>SUMPRODUCT((③労働時間!$A$5:$A$353=作業体系表!$B15)*(③労働時間!$B$5:$B$353="3月上旬")*(③労働時間!$J$5:$J$353))</f>
        <v>0</v>
      </c>
      <c r="K15" s="373">
        <f>SUMPRODUCT((③労働時間!$A$5:$A$353=作業体系表!$B15)*(③労働時間!$B$5:$B$353="3月中旬")*(③労働時間!$J$5:$J$353))</f>
        <v>0</v>
      </c>
      <c r="L15" s="373">
        <f>SUMPRODUCT((③労働時間!$A$5:$A$353=作業体系表!$B15)*(③労働時間!$B$5:$B$353="3月下旬")*(③労働時間!$J$5:$J$353))</f>
        <v>0</v>
      </c>
      <c r="M15" s="373">
        <f>SUMPRODUCT((③労働時間!$A$5:$A$353=作業体系表!$B15)*(③労働時間!$B$5:$B$353="4月上旬")*(③労働時間!$J$5:$J$353))</f>
        <v>0</v>
      </c>
      <c r="N15" s="373">
        <f>SUMPRODUCT((③労働時間!$A$5:$A$353=作業体系表!$B15)*(③労働時間!$B$5:$B$353="4月中旬")*(③労働時間!$J$5:$J$353))</f>
        <v>0</v>
      </c>
      <c r="O15" s="373">
        <f>SUMPRODUCT((③労働時間!$A$5:$A$353=作業体系表!$B15)*(③労働時間!$B$5:$B$353="4月下旬")*(③労働時間!$J$5:$J$353))</f>
        <v>0</v>
      </c>
      <c r="P15" s="374">
        <f>SUMPRODUCT((③労働時間!$A$5:$A$353=作業体系表!$B15)*(③労働時間!$B$5:$B$353="5月上旬")*(③労働時間!$J$5:$J$353))</f>
        <v>0</v>
      </c>
      <c r="Q15" s="373">
        <f>SUMPRODUCT((③労働時間!$A$5:$A$353=作業体系表!$B15)*(③労働時間!$B$5:$B$353="5月中旬")*(③労働時間!$J$5:$J$353))</f>
        <v>0.5</v>
      </c>
      <c r="R15" s="373">
        <f>SUMPRODUCT((③労働時間!$A$5:$A$353=作業体系表!$B15)*(③労働時間!$B$5:$B$353="5月下旬")*(③労働時間!$J$5:$J$353))</f>
        <v>0.5</v>
      </c>
      <c r="S15" s="373">
        <f>SUMPRODUCT((③労働時間!$A$5:$A$353=作業体系表!$B15)*(③労働時間!$B$5:$B$353="6月上旬")*(③労働時間!$J$5:$J$353))</f>
        <v>0</v>
      </c>
      <c r="T15" s="373">
        <f>SUMPRODUCT((③労働時間!$A$5:$A$353=作業体系表!$B15)*(③労働時間!$B$5:$B$353="6月中旬")*(③労働時間!$J$5:$J$353))</f>
        <v>0</v>
      </c>
      <c r="U15" s="373">
        <f>SUMPRODUCT((③労働時間!$A$5:$A$353=作業体系表!$B15)*(③労働時間!$B$5:$B$353="6月下旬")*(③労働時間!$J$5:$J$353))</f>
        <v>0</v>
      </c>
      <c r="V15" s="373">
        <f>SUMPRODUCT((③労働時間!$A$5:$A$353=作業体系表!$B15)*(③労働時間!$B$5:$B$353="7月上旬")*(③労働時間!$J$5:$J$353))</f>
        <v>0</v>
      </c>
      <c r="W15" s="373">
        <f>SUMPRODUCT((③労働時間!$A$5:$A$353=作業体系表!$B15)*(③労働時間!$B$5:$B$353="7月中旬")*(③労働時間!$J$5:$J$353))</f>
        <v>0</v>
      </c>
      <c r="X15" s="373">
        <f>SUMPRODUCT((③労働時間!$A$5:$A$353=作業体系表!$B15)*(③労働時間!$B$5:$B$353="7月下旬")*(③労働時間!$J$5:$J$353))</f>
        <v>0</v>
      </c>
      <c r="Y15" s="373">
        <f>SUMPRODUCT((③労働時間!$A$5:$A$353=作業体系表!$B15)*(③労働時間!$B$5:$B$353="8月上旬")*(③労働時間!$J$5:$J$353))</f>
        <v>0</v>
      </c>
      <c r="Z15" s="373">
        <f>SUMPRODUCT((③労働時間!$A$5:$A$353=作業体系表!$B15)*(③労働時間!$B$5:$B$353="8月中旬")*(③労働時間!$J$5:$J$353))</f>
        <v>0</v>
      </c>
      <c r="AA15" s="373">
        <f>SUMPRODUCT((③労働時間!$A$5:$A$353=作業体系表!$B15)*(③労働時間!$B$5:$B$353="8月下旬")*(③労働時間!$J$5:$J$353))</f>
        <v>0</v>
      </c>
      <c r="AB15" s="374">
        <f>SUMPRODUCT((③労働時間!$A$5:$A$353=作業体系表!$B15)*(③労働時間!$B$5:$B$353="9月上旬")*(③労働時間!$J$5:$J$353))</f>
        <v>0</v>
      </c>
      <c r="AC15" s="373">
        <f>SUMPRODUCT((③労働時間!$A$5:$A$353=作業体系表!$B15)*(③労働時間!$B$5:$B$353="9月中旬")*(③労働時間!$J$5:$J$353))</f>
        <v>0</v>
      </c>
      <c r="AD15" s="373">
        <f>SUMPRODUCT((③労働時間!$A$5:$A$353=作業体系表!$B15)*(③労働時間!$B$5:$B$353="9月下旬")*(③労働時間!$J$5:$J$353))</f>
        <v>0</v>
      </c>
      <c r="AE15" s="373">
        <f>SUMPRODUCT((③労働時間!$A$5:$A$353=作業体系表!$B15)*(③労働時間!$B$5:$B$353="10月上旬")*(③労働時間!$J$5:$J$353))</f>
        <v>0</v>
      </c>
      <c r="AF15" s="373">
        <f>SUMPRODUCT((③労働時間!$A$5:$A$353=作業体系表!$B15)*(③労働時間!$B$5:$B$353="10月中旬")*(③労働時間!$J$5:$J$353))</f>
        <v>0</v>
      </c>
      <c r="AG15" s="373">
        <f>SUMPRODUCT((③労働時間!$A$5:$A$353=作業体系表!$B15)*(③労働時間!$B$5:$B$353="10月下旬")*(③労働時間!$J$5:$J$353))</f>
        <v>0</v>
      </c>
      <c r="AH15" s="373">
        <f>SUMPRODUCT((③労働時間!$A$5:$A$353=作業体系表!$B15)*(③労働時間!$B$5:$B$353="11月上旬")*(③労働時間!$J$5:$J$353))</f>
        <v>0</v>
      </c>
      <c r="AI15" s="373">
        <f>SUMPRODUCT((③労働時間!$A$5:$A$353=作業体系表!$B15)*(③労働時間!$B$5:$B$353="11月中旬")*(③労働時間!$J$5:$J$353))</f>
        <v>0</v>
      </c>
      <c r="AJ15" s="373">
        <f>SUMPRODUCT((③労働時間!$A$5:$A$353=作業体系表!$B15)*(③労働時間!$B$5:$B$353="11月下旬")*(③労働時間!$J$5:$J$353))</f>
        <v>0</v>
      </c>
      <c r="AK15" s="373">
        <f>SUMPRODUCT((③労働時間!$A$5:$A$353=作業体系表!$B15)*(③労働時間!$B$5:$B$353="12月上旬")*(③労働時間!$J$5:$J$353))</f>
        <v>0</v>
      </c>
      <c r="AL15" s="373">
        <f>SUMPRODUCT((③労働時間!$A$5:$A$353=作業体系表!$B15)*(③労働時間!$B$5:$B$353="12月中旬")*(③労働時間!$J$5:$J$353))</f>
        <v>0</v>
      </c>
      <c r="AM15" s="375">
        <f>SUMPRODUCT((③労働時間!$A$5:$A$353=作業体系表!$B15)*(③労働時間!$B$5:$B$353="12月下旬")*(③労働時間!$J$5:$J$353))</f>
        <v>0</v>
      </c>
      <c r="AN15" s="376">
        <f t="shared" si="0"/>
        <v>1</v>
      </c>
    </row>
    <row r="16" spans="2:44" ht="15" customHeight="1">
      <c r="B16" s="788" t="str">
        <f>①技術体系!A13</f>
        <v>分娩管理</v>
      </c>
      <c r="C16" s="789"/>
      <c r="D16" s="373">
        <f>SUMPRODUCT((③労働時間!$A$5:$A$353=作業体系表!$B16)*(③労働時間!$B$5:$B$353="1月上旬")*(③労働時間!$J$5:$J$353))</f>
        <v>0</v>
      </c>
      <c r="E16" s="373">
        <f>SUMPRODUCT((③労働時間!$A$5:$A$353=作業体系表!$B16)*(③労働時間!$B$5:$B$353="1月中旬")*(③労働時間!$J$5:$J$353))</f>
        <v>0</v>
      </c>
      <c r="F16" s="373">
        <f>SUMPRODUCT((③労働時間!$A$5:$A$353=作業体系表!$B16)*(③労働時間!$B$5:$B$353="1月下旬")*(③労働時間!$J$5:$J$353))</f>
        <v>0</v>
      </c>
      <c r="G16" s="373">
        <f>SUMPRODUCT((③労働時間!$A$5:$A$353=作業体系表!$B16)*(③労働時間!$B$5:$B$353="2月上旬")*(③労働時間!$J$5:$J$353))</f>
        <v>0</v>
      </c>
      <c r="H16" s="373">
        <f>SUMPRODUCT((③労働時間!$A$5:$A$353=作業体系表!$B16)*(③労働時間!$B$5:$B$353="2月中旬")*(③労働時間!$J$5:$J$353))</f>
        <v>0</v>
      </c>
      <c r="I16" s="373">
        <f>SUMPRODUCT((③労働時間!$A$5:$A$353=作業体系表!$B16)*(③労働時間!$B$5:$B$353="2月下旬")*(③労働時間!$J$5:$J$353))</f>
        <v>0</v>
      </c>
      <c r="J16" s="373">
        <f>SUMPRODUCT((③労働時間!$A$5:$A$353=作業体系表!$B16)*(③労働時間!$B$5:$B$353="3月上旬")*(③労働時間!$J$5:$J$353))</f>
        <v>0</v>
      </c>
      <c r="K16" s="373">
        <f>SUMPRODUCT((③労働時間!$A$5:$A$353=作業体系表!$B16)*(③労働時間!$B$5:$B$353="3月中旬")*(③労働時間!$J$5:$J$353))</f>
        <v>0</v>
      </c>
      <c r="L16" s="373">
        <f>SUMPRODUCT((③労働時間!$A$5:$A$353=作業体系表!$B16)*(③労働時間!$B$5:$B$353="3月下旬")*(③労働時間!$J$5:$J$353))</f>
        <v>0</v>
      </c>
      <c r="M16" s="373">
        <f>SUMPRODUCT((③労働時間!$A$5:$A$353=作業体系表!$B16)*(③労働時間!$B$5:$B$353="4月上旬")*(③労働時間!$J$5:$J$353))</f>
        <v>0</v>
      </c>
      <c r="N16" s="373">
        <f>SUMPRODUCT((③労働時間!$A$5:$A$353=作業体系表!$B16)*(③労働時間!$B$5:$B$353="4月中旬")*(③労働時間!$J$5:$J$353))</f>
        <v>0</v>
      </c>
      <c r="O16" s="373">
        <f>SUMPRODUCT((③労働時間!$A$5:$A$353=作業体系表!$B16)*(③労働時間!$B$5:$B$353="4月下旬")*(③労働時間!$J$5:$J$353))</f>
        <v>0</v>
      </c>
      <c r="P16" s="374">
        <f>SUMPRODUCT((③労働時間!$A$5:$A$353=作業体系表!$B16)*(③労働時間!$B$5:$B$353="5月上旬")*(③労働時間!$J$5:$J$353))</f>
        <v>0</v>
      </c>
      <c r="Q16" s="373">
        <f>SUMPRODUCT((③労働時間!$A$5:$A$353=作業体系表!$B16)*(③労働時間!$B$5:$B$353="5月中旬")*(③労働時間!$J$5:$J$353))</f>
        <v>0</v>
      </c>
      <c r="R16" s="373">
        <f>SUMPRODUCT((③労働時間!$A$5:$A$353=作業体系表!$B16)*(③労働時間!$B$5:$B$353="5月下旬")*(③労働時間!$J$5:$J$353))</f>
        <v>0</v>
      </c>
      <c r="S16" s="373">
        <f>SUMPRODUCT((③労働時間!$A$5:$A$353=作業体系表!$B16)*(③労働時間!$B$5:$B$353="6月上旬")*(③労働時間!$J$5:$J$353))</f>
        <v>0.5</v>
      </c>
      <c r="T16" s="373">
        <f>SUMPRODUCT((③労働時間!$A$5:$A$353=作業体系表!$B16)*(③労働時間!$B$5:$B$353="6月中旬")*(③労働時間!$J$5:$J$353))</f>
        <v>0.7</v>
      </c>
      <c r="U16" s="373">
        <f>SUMPRODUCT((③労働時間!$A$5:$A$353=作業体系表!$B16)*(③労働時間!$B$5:$B$353="6月下旬")*(③労働時間!$J$5:$J$353))</f>
        <v>0.5</v>
      </c>
      <c r="V16" s="373">
        <f>SUMPRODUCT((③労働時間!$A$5:$A$353=作業体系表!$B16)*(③労働時間!$B$5:$B$353="7月上旬")*(③労働時間!$J$5:$J$353))</f>
        <v>0</v>
      </c>
      <c r="W16" s="373">
        <f>SUMPRODUCT((③労働時間!$A$5:$A$353=作業体系表!$B16)*(③労働時間!$B$5:$B$353="7月中旬")*(③労働時間!$J$5:$J$353))</f>
        <v>0</v>
      </c>
      <c r="X16" s="373">
        <f>SUMPRODUCT((③労働時間!$A$5:$A$353=作業体系表!$B16)*(③労働時間!$B$5:$B$353="7月下旬")*(③労働時間!$J$5:$J$353))</f>
        <v>0</v>
      </c>
      <c r="Y16" s="373">
        <f>SUMPRODUCT((③労働時間!$A$5:$A$353=作業体系表!$B16)*(③労働時間!$B$5:$B$353="8月上旬")*(③労働時間!$J$5:$J$353))</f>
        <v>0</v>
      </c>
      <c r="Z16" s="373">
        <f>SUMPRODUCT((③労働時間!$A$5:$A$353=作業体系表!$B16)*(③労働時間!$B$5:$B$353="8月中旬")*(③労働時間!$J$5:$J$353))</f>
        <v>0</v>
      </c>
      <c r="AA16" s="373">
        <f>SUMPRODUCT((③労働時間!$A$5:$A$353=作業体系表!$B16)*(③労働時間!$B$5:$B$353="8月下旬")*(③労働時間!$J$5:$J$353))</f>
        <v>0</v>
      </c>
      <c r="AB16" s="374">
        <f>SUMPRODUCT((③労働時間!$A$5:$A$353=作業体系表!$B16)*(③労働時間!$B$5:$B$353="9月上旬")*(③労働時間!$J$5:$J$353))</f>
        <v>0</v>
      </c>
      <c r="AC16" s="373">
        <f>SUMPRODUCT((③労働時間!$A$5:$A$353=作業体系表!$B16)*(③労働時間!$B$5:$B$353="9月中旬")*(③労働時間!$J$5:$J$353))</f>
        <v>0</v>
      </c>
      <c r="AD16" s="373">
        <f>SUMPRODUCT((③労働時間!$A$5:$A$353=作業体系表!$B16)*(③労働時間!$B$5:$B$353="9月下旬")*(③労働時間!$J$5:$J$353))</f>
        <v>0</v>
      </c>
      <c r="AE16" s="373">
        <f>SUMPRODUCT((③労働時間!$A$5:$A$353=作業体系表!$B16)*(③労働時間!$B$5:$B$353="10月上旬")*(③労働時間!$J$5:$J$353))</f>
        <v>0</v>
      </c>
      <c r="AF16" s="373">
        <f>SUMPRODUCT((③労働時間!$A$5:$A$353=作業体系表!$B16)*(③労働時間!$B$5:$B$353="10月中旬")*(③労働時間!$J$5:$J$353))</f>
        <v>0</v>
      </c>
      <c r="AG16" s="373">
        <f>SUMPRODUCT((③労働時間!$A$5:$A$353=作業体系表!$B16)*(③労働時間!$B$5:$B$353="10月下旬")*(③労働時間!$J$5:$J$353))</f>
        <v>0</v>
      </c>
      <c r="AH16" s="373">
        <f>SUMPRODUCT((③労働時間!$A$5:$A$353=作業体系表!$B16)*(③労働時間!$B$5:$B$353="11月上旬")*(③労働時間!$J$5:$J$353))</f>
        <v>0</v>
      </c>
      <c r="AI16" s="373">
        <f>SUMPRODUCT((③労働時間!$A$5:$A$353=作業体系表!$B16)*(③労働時間!$B$5:$B$353="11月中旬")*(③労働時間!$J$5:$J$353))</f>
        <v>0</v>
      </c>
      <c r="AJ16" s="373">
        <f>SUMPRODUCT((③労働時間!$A$5:$A$353=作業体系表!$B16)*(③労働時間!$B$5:$B$353="11月下旬")*(③労働時間!$J$5:$J$353))</f>
        <v>0</v>
      </c>
      <c r="AK16" s="373">
        <f>SUMPRODUCT((③労働時間!$A$5:$A$353=作業体系表!$B16)*(③労働時間!$B$5:$B$353="12月上旬")*(③労働時間!$J$5:$J$353))</f>
        <v>0</v>
      </c>
      <c r="AL16" s="373">
        <f>SUMPRODUCT((③労働時間!$A$5:$A$353=作業体系表!$B16)*(③労働時間!$B$5:$B$353="12月中旬")*(③労働時間!$J$5:$J$353))</f>
        <v>0</v>
      </c>
      <c r="AM16" s="375">
        <f>SUMPRODUCT((③労働時間!$A$5:$A$353=作業体系表!$B16)*(③労働時間!$B$5:$B$353="12月下旬")*(③労働時間!$J$5:$J$353))</f>
        <v>0</v>
      </c>
      <c r="AN16" s="376">
        <f t="shared" si="0"/>
        <v>1.7</v>
      </c>
    </row>
    <row r="17" spans="2:40" ht="15" customHeight="1">
      <c r="B17" s="788" t="str">
        <f>①技術体系!A14</f>
        <v>親子放牧管理</v>
      </c>
      <c r="C17" s="789"/>
      <c r="D17" s="373">
        <f>SUMPRODUCT((③労働時間!$A$5:$A$353=作業体系表!$B17)*(③労働時間!$B$5:$B$353="1月上旬")*(③労働時間!$J$5:$J$353))</f>
        <v>0</v>
      </c>
      <c r="E17" s="373">
        <f>SUMPRODUCT((③労働時間!$A$5:$A$353=作業体系表!$B17)*(③労働時間!$B$5:$B$353="1月中旬")*(③労働時間!$J$5:$J$353))</f>
        <v>0</v>
      </c>
      <c r="F17" s="373">
        <f>SUMPRODUCT((③労働時間!$A$5:$A$353=作業体系表!$B17)*(③労働時間!$B$5:$B$353="1月下旬")*(③労働時間!$J$5:$J$353))</f>
        <v>0</v>
      </c>
      <c r="G17" s="373">
        <f>SUMPRODUCT((③労働時間!$A$5:$A$353=作業体系表!$B17)*(③労働時間!$B$5:$B$353="2月上旬")*(③労働時間!$J$5:$J$353))</f>
        <v>0</v>
      </c>
      <c r="H17" s="373">
        <f>SUMPRODUCT((③労働時間!$A$5:$A$353=作業体系表!$B17)*(③労働時間!$B$5:$B$353="2月中旬")*(③労働時間!$J$5:$J$353))</f>
        <v>0</v>
      </c>
      <c r="I17" s="373">
        <f>SUMPRODUCT((③労働時間!$A$5:$A$353=作業体系表!$B17)*(③労働時間!$B$5:$B$353="2月下旬")*(③労働時間!$J$5:$J$353))</f>
        <v>0</v>
      </c>
      <c r="J17" s="373">
        <f>SUMPRODUCT((③労働時間!$A$5:$A$353=作業体系表!$B17)*(③労働時間!$B$5:$B$353="3月上旬")*(③労働時間!$J$5:$J$353))</f>
        <v>0</v>
      </c>
      <c r="K17" s="373">
        <f>SUMPRODUCT((③労働時間!$A$5:$A$353=作業体系表!$B17)*(③労働時間!$B$5:$B$353="3月中旬")*(③労働時間!$J$5:$J$353))</f>
        <v>0</v>
      </c>
      <c r="L17" s="373">
        <f>SUMPRODUCT((③労働時間!$A$5:$A$353=作業体系表!$B17)*(③労働時間!$B$5:$B$353="3月下旬")*(③労働時間!$J$5:$J$353))</f>
        <v>0</v>
      </c>
      <c r="M17" s="373">
        <f>SUMPRODUCT((③労働時間!$A$5:$A$353=作業体系表!$B17)*(③労働時間!$B$5:$B$353="4月上旬")*(③労働時間!$J$5:$J$353))</f>
        <v>0</v>
      </c>
      <c r="N17" s="373">
        <f>SUMPRODUCT((③労働時間!$A$5:$A$353=作業体系表!$B17)*(③労働時間!$B$5:$B$353="4月中旬")*(③労働時間!$J$5:$J$353))</f>
        <v>0</v>
      </c>
      <c r="O17" s="373">
        <f>SUMPRODUCT((③労働時間!$A$5:$A$353=作業体系表!$B17)*(③労働時間!$B$5:$B$353="4月下旬")*(③労働時間!$J$5:$J$353))</f>
        <v>0</v>
      </c>
      <c r="P17" s="374">
        <f>SUMPRODUCT((③労働時間!$A$5:$A$353=作業体系表!$B17)*(③労働時間!$B$5:$B$353="5月上旬")*(③労働時間!$J$5:$J$353))</f>
        <v>0</v>
      </c>
      <c r="Q17" s="373">
        <f>SUMPRODUCT((③労働時間!$A$5:$A$353=作業体系表!$B17)*(③労働時間!$B$5:$B$353="5月中旬")*(③労働時間!$J$5:$J$353))</f>
        <v>0</v>
      </c>
      <c r="R17" s="373">
        <f>SUMPRODUCT((③労働時間!$A$5:$A$353=作業体系表!$B17)*(③労働時間!$B$5:$B$353="5月下旬")*(③労働時間!$J$5:$J$353))</f>
        <v>0</v>
      </c>
      <c r="S17" s="373">
        <f>SUMPRODUCT((③労働時間!$A$5:$A$353=作業体系表!$B17)*(③労働時間!$B$5:$B$353="6月上旬")*(③労働時間!$J$5:$J$353))</f>
        <v>0</v>
      </c>
      <c r="T17" s="373">
        <f>SUMPRODUCT((③労働時間!$A$5:$A$353=作業体系表!$B17)*(③労働時間!$B$5:$B$353="6月中旬")*(③労働時間!$J$5:$J$353))</f>
        <v>0</v>
      </c>
      <c r="U17" s="373">
        <f>SUMPRODUCT((③労働時間!$A$5:$A$353=作業体系表!$B17)*(③労働時間!$B$5:$B$353="6月下旬")*(③労働時間!$J$5:$J$353))</f>
        <v>0</v>
      </c>
      <c r="V17" s="373">
        <f>SUMPRODUCT((③労働時間!$A$5:$A$353=作業体系表!$B17)*(③労働時間!$B$5:$B$353="7月上旬")*(③労働時間!$J$5:$J$353))</f>
        <v>0.5</v>
      </c>
      <c r="W17" s="373">
        <f>SUMPRODUCT((③労働時間!$A$5:$A$353=作業体系表!$B17)*(③労働時間!$B$5:$B$353="7月中旬")*(③労働時間!$J$5:$J$353))</f>
        <v>0.5</v>
      </c>
      <c r="X17" s="373">
        <f>SUMPRODUCT((③労働時間!$A$5:$A$353=作業体系表!$B17)*(③労働時間!$B$5:$B$353="7月下旬")*(③労働時間!$J$5:$J$353))</f>
        <v>0.5</v>
      </c>
      <c r="Y17" s="373">
        <f>SUMPRODUCT((③労働時間!$A$5:$A$353=作業体系表!$B17)*(③労働時間!$B$5:$B$353="8月上旬")*(③労働時間!$J$5:$J$353))</f>
        <v>0.5</v>
      </c>
      <c r="Z17" s="373">
        <f>SUMPRODUCT((③労働時間!$A$5:$A$353=作業体系表!$B17)*(③労働時間!$B$5:$B$353="8月中旬")*(③労働時間!$J$5:$J$353))</f>
        <v>0.5</v>
      </c>
      <c r="AA17" s="373">
        <f>SUMPRODUCT((③労働時間!$A$5:$A$353=作業体系表!$B17)*(③労働時間!$B$5:$B$353="8月下旬")*(③労働時間!$J$5:$J$353))</f>
        <v>0.5</v>
      </c>
      <c r="AB17" s="374">
        <f>SUMPRODUCT((③労働時間!$A$5:$A$353=作業体系表!$B17)*(③労働時間!$B$5:$B$353="9月上旬")*(③労働時間!$J$5:$J$353))</f>
        <v>0.5</v>
      </c>
      <c r="AC17" s="373">
        <f>SUMPRODUCT((③労働時間!$A$5:$A$353=作業体系表!$B17)*(③労働時間!$B$5:$B$353="9月中旬")*(③労働時間!$J$5:$J$353))</f>
        <v>0.5</v>
      </c>
      <c r="AD17" s="373">
        <f>SUMPRODUCT((③労働時間!$A$5:$A$353=作業体系表!$B17)*(③労働時間!$B$5:$B$353="9月下旬")*(③労働時間!$J$5:$J$353))</f>
        <v>0.5</v>
      </c>
      <c r="AE17" s="373">
        <f>SUMPRODUCT((③労働時間!$A$5:$A$353=作業体系表!$B17)*(③労働時間!$B$5:$B$353="10月上旬")*(③労働時間!$J$5:$J$353))</f>
        <v>0.5</v>
      </c>
      <c r="AF17" s="373">
        <f>SUMPRODUCT((③労働時間!$A$5:$A$353=作業体系表!$B17)*(③労働時間!$B$5:$B$353="10月中旬")*(③労働時間!$J$5:$J$353))</f>
        <v>0.5</v>
      </c>
      <c r="AG17" s="373">
        <f>SUMPRODUCT((③労働時間!$A$5:$A$353=作業体系表!$B17)*(③労働時間!$B$5:$B$353="10月下旬")*(③労働時間!$J$5:$J$353))</f>
        <v>0.5</v>
      </c>
      <c r="AH17" s="373">
        <f>SUMPRODUCT((③労働時間!$A$5:$A$353=作業体系表!$B17)*(③労働時間!$B$5:$B$353="11月上旬")*(③労働時間!$J$5:$J$353))</f>
        <v>0.5</v>
      </c>
      <c r="AI17" s="373">
        <f>SUMPRODUCT((③労働時間!$A$5:$A$353=作業体系表!$B17)*(③労働時間!$B$5:$B$353="11月中旬")*(③労働時間!$J$5:$J$353))</f>
        <v>0.5</v>
      </c>
      <c r="AJ17" s="373">
        <f>SUMPRODUCT((③労働時間!$A$5:$A$353=作業体系表!$B17)*(③労働時間!$B$5:$B$353="11月下旬")*(③労働時間!$J$5:$J$353))</f>
        <v>0</v>
      </c>
      <c r="AK17" s="373">
        <f>SUMPRODUCT((③労働時間!$A$5:$A$353=作業体系表!$B17)*(③労働時間!$B$5:$B$353="12月上旬")*(③労働時間!$J$5:$J$353))</f>
        <v>0</v>
      </c>
      <c r="AL17" s="373">
        <f>SUMPRODUCT((③労働時間!$A$5:$A$353=作業体系表!$B17)*(③労働時間!$B$5:$B$353="12月中旬")*(③労働時間!$J$5:$J$353))</f>
        <v>0</v>
      </c>
      <c r="AM17" s="375">
        <f>SUMPRODUCT((③労働時間!$A$5:$A$353=作業体系表!$B17)*(③労働時間!$B$5:$B$353="12月下旬")*(③労働時間!$J$5:$J$353))</f>
        <v>0</v>
      </c>
      <c r="AN17" s="376">
        <f t="shared" si="0"/>
        <v>7</v>
      </c>
    </row>
    <row r="18" spans="2:40" ht="15" customHeight="1">
      <c r="B18" s="788" t="str">
        <f>①技術体系!A15</f>
        <v>種付け</v>
      </c>
      <c r="C18" s="789"/>
      <c r="D18" s="373">
        <f>SUMPRODUCT((③労働時間!$A$5:$A$353=作業体系表!$B18)*(③労働時間!$B$5:$B$353="1月上旬")*(③労働時間!$J$5:$J$353))</f>
        <v>0</v>
      </c>
      <c r="E18" s="373">
        <f>SUMPRODUCT((③労働時間!$A$5:$A$353=作業体系表!$B18)*(③労働時間!$B$5:$B$353="1月中旬")*(③労働時間!$J$5:$J$353))</f>
        <v>0</v>
      </c>
      <c r="F18" s="373">
        <f>SUMPRODUCT((③労働時間!$A$5:$A$353=作業体系表!$B18)*(③労働時間!$B$5:$B$353="1月下旬")*(③労働時間!$J$5:$J$353))</f>
        <v>0</v>
      </c>
      <c r="G18" s="373">
        <f>SUMPRODUCT((③労働時間!$A$5:$A$353=作業体系表!$B18)*(③労働時間!$B$5:$B$353="2月上旬")*(③労働時間!$J$5:$J$353))</f>
        <v>0</v>
      </c>
      <c r="H18" s="373">
        <f>SUMPRODUCT((③労働時間!$A$5:$A$353=作業体系表!$B18)*(③労働時間!$B$5:$B$353="2月中旬")*(③労働時間!$J$5:$J$353))</f>
        <v>0</v>
      </c>
      <c r="I18" s="373">
        <f>SUMPRODUCT((③労働時間!$A$5:$A$353=作業体系表!$B18)*(③労働時間!$B$5:$B$353="2月下旬")*(③労働時間!$J$5:$J$353))</f>
        <v>0</v>
      </c>
      <c r="J18" s="373">
        <f>SUMPRODUCT((③労働時間!$A$5:$A$353=作業体系表!$B18)*(③労働時間!$B$5:$B$353="3月上旬")*(③労働時間!$J$5:$J$353))</f>
        <v>0</v>
      </c>
      <c r="K18" s="373">
        <f>SUMPRODUCT((③労働時間!$A$5:$A$353=作業体系表!$B18)*(③労働時間!$B$5:$B$353="3月中旬")*(③労働時間!$J$5:$J$353))</f>
        <v>0</v>
      </c>
      <c r="L18" s="373">
        <f>SUMPRODUCT((③労働時間!$A$5:$A$353=作業体系表!$B18)*(③労働時間!$B$5:$B$353="3月下旬")*(③労働時間!$J$5:$J$353))</f>
        <v>0</v>
      </c>
      <c r="M18" s="373">
        <f>SUMPRODUCT((③労働時間!$A$5:$A$353=作業体系表!$B18)*(③労働時間!$B$5:$B$353="4月上旬")*(③労働時間!$J$5:$J$353))</f>
        <v>0</v>
      </c>
      <c r="N18" s="373">
        <f>SUMPRODUCT((③労働時間!$A$5:$A$353=作業体系表!$B18)*(③労働時間!$B$5:$B$353="4月中旬")*(③労働時間!$J$5:$J$353))</f>
        <v>0</v>
      </c>
      <c r="O18" s="373">
        <f>SUMPRODUCT((③労働時間!$A$5:$A$353=作業体系表!$B18)*(③労働時間!$B$5:$B$353="4月下旬")*(③労働時間!$J$5:$J$353))</f>
        <v>0</v>
      </c>
      <c r="P18" s="374">
        <f>SUMPRODUCT((③労働時間!$A$5:$A$353=作業体系表!$B18)*(③労働時間!$B$5:$B$353="5月上旬")*(③労働時間!$J$5:$J$353))</f>
        <v>0</v>
      </c>
      <c r="Q18" s="373">
        <f>SUMPRODUCT((③労働時間!$A$5:$A$353=作業体系表!$B18)*(③労働時間!$B$5:$B$353="5月中旬")*(③労働時間!$J$5:$J$353))</f>
        <v>0</v>
      </c>
      <c r="R18" s="373">
        <f>SUMPRODUCT((③労働時間!$A$5:$A$353=作業体系表!$B18)*(③労働時間!$B$5:$B$353="5月下旬")*(③労働時間!$J$5:$J$353))</f>
        <v>0</v>
      </c>
      <c r="S18" s="373">
        <f>SUMPRODUCT((③労働時間!$A$5:$A$353=作業体系表!$B18)*(③労働時間!$B$5:$B$353="6月上旬")*(③労働時間!$J$5:$J$353))</f>
        <v>0</v>
      </c>
      <c r="T18" s="373">
        <f>SUMPRODUCT((③労働時間!$A$5:$A$353=作業体系表!$B18)*(③労働時間!$B$5:$B$353="6月中旬")*(③労働時間!$J$5:$J$353))</f>
        <v>0</v>
      </c>
      <c r="U18" s="373">
        <f>SUMPRODUCT((③労働時間!$A$5:$A$353=作業体系表!$B18)*(③労働時間!$B$5:$B$353="6月下旬")*(③労働時間!$J$5:$J$353))</f>
        <v>0</v>
      </c>
      <c r="V18" s="373">
        <f>SUMPRODUCT((③労働時間!$A$5:$A$353=作業体系表!$B18)*(③労働時間!$B$5:$B$353="7月上旬")*(③労働時間!$J$5:$J$353))</f>
        <v>0</v>
      </c>
      <c r="W18" s="373">
        <f>SUMPRODUCT((③労働時間!$A$5:$A$353=作業体系表!$B18)*(③労働時間!$B$5:$B$353="7月中旬")*(③労働時間!$J$5:$J$353))</f>
        <v>0</v>
      </c>
      <c r="X18" s="373">
        <f>SUMPRODUCT((③労働時間!$A$5:$A$353=作業体系表!$B18)*(③労働時間!$B$5:$B$353="7月下旬")*(③労働時間!$J$5:$J$353))</f>
        <v>0</v>
      </c>
      <c r="Y18" s="373">
        <f>SUMPRODUCT((③労働時間!$A$5:$A$353=作業体系表!$B18)*(③労働時間!$B$5:$B$353="8月上旬")*(③労働時間!$J$5:$J$353))</f>
        <v>0</v>
      </c>
      <c r="Z18" s="373">
        <f>SUMPRODUCT((③労働時間!$A$5:$A$353=作業体系表!$B18)*(③労働時間!$B$5:$B$353="8月中旬")*(③労働時間!$J$5:$J$353))</f>
        <v>7.5000000000000011E-2</v>
      </c>
      <c r="AA18" s="373">
        <f>SUMPRODUCT((③労働時間!$A$5:$A$353=作業体系表!$B18)*(③労働時間!$B$5:$B$353="8月下旬")*(③労働時間!$J$5:$J$353))</f>
        <v>0</v>
      </c>
      <c r="AB18" s="374">
        <f>SUMPRODUCT((③労働時間!$A$5:$A$353=作業体系表!$B18)*(③労働時間!$B$5:$B$353="9月上旬")*(③労働時間!$J$5:$J$353))</f>
        <v>0</v>
      </c>
      <c r="AC18" s="373">
        <f>SUMPRODUCT((③労働時間!$A$5:$A$353=作業体系表!$B18)*(③労働時間!$B$5:$B$353="9月中旬")*(③労働時間!$J$5:$J$353))</f>
        <v>0</v>
      </c>
      <c r="AD18" s="373">
        <f>SUMPRODUCT((③労働時間!$A$5:$A$353=作業体系表!$B18)*(③労働時間!$B$5:$B$353="9月下旬")*(③労働時間!$J$5:$J$353))</f>
        <v>0</v>
      </c>
      <c r="AE18" s="373">
        <f>SUMPRODUCT((③労働時間!$A$5:$A$353=作業体系表!$B18)*(③労働時間!$B$5:$B$353="10月上旬")*(③労働時間!$J$5:$J$353))</f>
        <v>0</v>
      </c>
      <c r="AF18" s="373">
        <f>SUMPRODUCT((③労働時間!$A$5:$A$353=作業体系表!$B18)*(③労働時間!$B$5:$B$353="10月中旬")*(③労働時間!$J$5:$J$353))</f>
        <v>0</v>
      </c>
      <c r="AG18" s="373">
        <f>SUMPRODUCT((③労働時間!$A$5:$A$353=作業体系表!$B18)*(③労働時間!$B$5:$B$353="10月下旬")*(③労働時間!$J$5:$J$353))</f>
        <v>0</v>
      </c>
      <c r="AH18" s="373">
        <f>SUMPRODUCT((③労働時間!$A$5:$A$353=作業体系表!$B18)*(③労働時間!$B$5:$B$353="11月上旬")*(③労働時間!$J$5:$J$353))</f>
        <v>0</v>
      </c>
      <c r="AI18" s="373">
        <f>SUMPRODUCT((③労働時間!$A$5:$A$353=作業体系表!$B18)*(③労働時間!$B$5:$B$353="11月中旬")*(③労働時間!$J$5:$J$353))</f>
        <v>0</v>
      </c>
      <c r="AJ18" s="373">
        <f>SUMPRODUCT((③労働時間!$A$5:$A$353=作業体系表!$B18)*(③労働時間!$B$5:$B$353="11月下旬")*(③労働時間!$J$5:$J$353))</f>
        <v>0</v>
      </c>
      <c r="AK18" s="373">
        <f>SUMPRODUCT((③労働時間!$A$5:$A$353=作業体系表!$B18)*(③労働時間!$B$5:$B$353="12月上旬")*(③労働時間!$J$5:$J$353))</f>
        <v>0</v>
      </c>
      <c r="AL18" s="373">
        <f>SUMPRODUCT((③労働時間!$A$5:$A$353=作業体系表!$B18)*(③労働時間!$B$5:$B$353="12月中旬")*(③労働時間!$J$5:$J$353))</f>
        <v>0</v>
      </c>
      <c r="AM18" s="375">
        <f>SUMPRODUCT((③労働時間!$A$5:$A$353=作業体系表!$B18)*(③労働時間!$B$5:$B$353="12月下旬")*(③労働時間!$J$5:$J$353))</f>
        <v>0</v>
      </c>
      <c r="AN18" s="376">
        <f t="shared" si="0"/>
        <v>7.5000000000000011E-2</v>
      </c>
    </row>
    <row r="19" spans="2:40" ht="15" customHeight="1">
      <c r="B19" s="788" t="str">
        <f>①技術体系!A16</f>
        <v>離乳・去勢</v>
      </c>
      <c r="C19" s="789"/>
      <c r="D19" s="373">
        <f>SUMPRODUCT((③労働時間!$A$5:$A$353=作業体系表!$B19)*(③労働時間!$B$5:$B$353="1月上旬")*(③労働時間!$J$5:$J$353))</f>
        <v>0</v>
      </c>
      <c r="E19" s="373">
        <f>SUMPRODUCT((③労働時間!$A$5:$A$353=作業体系表!$B19)*(③労働時間!$B$5:$B$353="1月中旬")*(③労働時間!$J$5:$J$353))</f>
        <v>0</v>
      </c>
      <c r="F19" s="373">
        <f>SUMPRODUCT((③労働時間!$A$5:$A$353=作業体系表!$B19)*(③労働時間!$B$5:$B$353="1月下旬")*(③労働時間!$J$5:$J$353))</f>
        <v>0</v>
      </c>
      <c r="G19" s="373">
        <f>SUMPRODUCT((③労働時間!$A$5:$A$353=作業体系表!$B19)*(③労働時間!$B$5:$B$353="2月上旬")*(③労働時間!$J$5:$J$353))</f>
        <v>0</v>
      </c>
      <c r="H19" s="373">
        <f>SUMPRODUCT((③労働時間!$A$5:$A$353=作業体系表!$B19)*(③労働時間!$B$5:$B$353="2月中旬")*(③労働時間!$J$5:$J$353))</f>
        <v>0</v>
      </c>
      <c r="I19" s="373">
        <f>SUMPRODUCT((③労働時間!$A$5:$A$353=作業体系表!$B19)*(③労働時間!$B$5:$B$353="2月下旬")*(③労働時間!$J$5:$J$353))</f>
        <v>0</v>
      </c>
      <c r="J19" s="373">
        <f>SUMPRODUCT((③労働時間!$A$5:$A$353=作業体系表!$B19)*(③労働時間!$B$5:$B$353="3月上旬")*(③労働時間!$J$5:$J$353))</f>
        <v>0</v>
      </c>
      <c r="K19" s="373">
        <f>SUMPRODUCT((③労働時間!$A$5:$A$353=作業体系表!$B19)*(③労働時間!$B$5:$B$353="3月中旬")*(③労働時間!$J$5:$J$353))</f>
        <v>0</v>
      </c>
      <c r="L19" s="373">
        <f>SUMPRODUCT((③労働時間!$A$5:$A$353=作業体系表!$B19)*(③労働時間!$B$5:$B$353="3月下旬")*(③労働時間!$J$5:$J$353))</f>
        <v>0</v>
      </c>
      <c r="M19" s="373">
        <f>SUMPRODUCT((③労働時間!$A$5:$A$353=作業体系表!$B19)*(③労働時間!$B$5:$B$353="4月上旬")*(③労働時間!$J$5:$J$353))</f>
        <v>0</v>
      </c>
      <c r="N19" s="373">
        <f>SUMPRODUCT((③労働時間!$A$5:$A$353=作業体系表!$B19)*(③労働時間!$B$5:$B$353="4月中旬")*(③労働時間!$J$5:$J$353))</f>
        <v>0</v>
      </c>
      <c r="O19" s="373">
        <f>SUMPRODUCT((③労働時間!$A$5:$A$353=作業体系表!$B19)*(③労働時間!$B$5:$B$353="4月下旬")*(③労働時間!$J$5:$J$353))</f>
        <v>0</v>
      </c>
      <c r="P19" s="374">
        <f>SUMPRODUCT((③労働時間!$A$5:$A$353=作業体系表!$B19)*(③労働時間!$B$5:$B$353="5月上旬")*(③労働時間!$J$5:$J$353))</f>
        <v>0</v>
      </c>
      <c r="Q19" s="373">
        <f>SUMPRODUCT((③労働時間!$A$5:$A$353=作業体系表!$B19)*(③労働時間!$B$5:$B$353="5月中旬")*(③労働時間!$J$5:$J$353))</f>
        <v>0</v>
      </c>
      <c r="R19" s="373">
        <f>SUMPRODUCT((③労働時間!$A$5:$A$353=作業体系表!$B19)*(③労働時間!$B$5:$B$353="5月下旬")*(③労働時間!$J$5:$J$353))</f>
        <v>0</v>
      </c>
      <c r="S19" s="373">
        <f>SUMPRODUCT((③労働時間!$A$5:$A$353=作業体系表!$B19)*(③労働時間!$B$5:$B$353="6月上旬")*(③労働時間!$J$5:$J$353))</f>
        <v>0</v>
      </c>
      <c r="T19" s="373">
        <f>SUMPRODUCT((③労働時間!$A$5:$A$353=作業体系表!$B19)*(③労働時間!$B$5:$B$353="6月中旬")*(③労働時間!$J$5:$J$353))</f>
        <v>0</v>
      </c>
      <c r="U19" s="373">
        <f>SUMPRODUCT((③労働時間!$A$5:$A$353=作業体系表!$B19)*(③労働時間!$B$5:$B$353="6月下旬")*(③労働時間!$J$5:$J$353))</f>
        <v>0</v>
      </c>
      <c r="V19" s="373">
        <f>SUMPRODUCT((③労働時間!$A$5:$A$353=作業体系表!$B19)*(③労働時間!$B$5:$B$353="7月上旬")*(③労働時間!$J$5:$J$353))</f>
        <v>0</v>
      </c>
      <c r="W19" s="373">
        <f>SUMPRODUCT((③労働時間!$A$5:$A$353=作業体系表!$B19)*(③労働時間!$B$5:$B$353="7月中旬")*(③労働時間!$J$5:$J$353))</f>
        <v>0</v>
      </c>
      <c r="X19" s="373">
        <f>SUMPRODUCT((③労働時間!$A$5:$A$353=作業体系表!$B19)*(③労働時間!$B$5:$B$353="7月下旬")*(③労働時間!$J$5:$J$353))</f>
        <v>0</v>
      </c>
      <c r="Y19" s="373">
        <f>SUMPRODUCT((③労働時間!$A$5:$A$353=作業体系表!$B19)*(③労働時間!$B$5:$B$353="8月上旬")*(③労働時間!$J$5:$J$353))</f>
        <v>0</v>
      </c>
      <c r="Z19" s="373">
        <f>SUMPRODUCT((③労働時間!$A$5:$A$353=作業体系表!$B19)*(③労働時間!$B$5:$B$353="8月中旬")*(③労働時間!$J$5:$J$353))</f>
        <v>0</v>
      </c>
      <c r="AA19" s="373">
        <f>SUMPRODUCT((③労働時間!$A$5:$A$353=作業体系表!$B19)*(③労働時間!$B$5:$B$353="8月下旬")*(③労働時間!$J$5:$J$353))</f>
        <v>0</v>
      </c>
      <c r="AB19" s="374">
        <f>SUMPRODUCT((③労働時間!$A$5:$A$353=作業体系表!$B19)*(③労働時間!$B$5:$B$353="9月上旬")*(③労働時間!$J$5:$J$353))</f>
        <v>0</v>
      </c>
      <c r="AC19" s="373">
        <f>SUMPRODUCT((③労働時間!$A$5:$A$353=作業体系表!$B19)*(③労働時間!$B$5:$B$353="9月中旬")*(③労働時間!$J$5:$J$353))</f>
        <v>0</v>
      </c>
      <c r="AD19" s="373">
        <f>SUMPRODUCT((③労働時間!$A$5:$A$353=作業体系表!$B19)*(③労働時間!$B$5:$B$353="9月下旬")*(③労働時間!$J$5:$J$353))</f>
        <v>0</v>
      </c>
      <c r="AE19" s="373">
        <f>SUMPRODUCT((③労働時間!$A$5:$A$353=作業体系表!$B19)*(③労働時間!$B$5:$B$353="10月上旬")*(③労働時間!$J$5:$J$353))</f>
        <v>0</v>
      </c>
      <c r="AF19" s="373">
        <f>SUMPRODUCT((③労働時間!$A$5:$A$353=作業体系表!$B19)*(③労働時間!$B$5:$B$353="10月中旬")*(③労働時間!$J$5:$J$353))</f>
        <v>0</v>
      </c>
      <c r="AG19" s="373">
        <f>SUMPRODUCT((③労働時間!$A$5:$A$353=作業体系表!$B19)*(③労働時間!$B$5:$B$353="10月下旬")*(③労働時間!$J$5:$J$353))</f>
        <v>0</v>
      </c>
      <c r="AH19" s="373">
        <f>SUMPRODUCT((③労働時間!$A$5:$A$353=作業体系表!$B19)*(③労働時間!$B$5:$B$353="11月上旬")*(③労働時間!$J$5:$J$353))</f>
        <v>0</v>
      </c>
      <c r="AI19" s="373">
        <f>SUMPRODUCT((③労働時間!$A$5:$A$353=作業体系表!$B19)*(③労働時間!$B$5:$B$353="11月中旬")*(③労働時間!$J$5:$J$353))</f>
        <v>0.1</v>
      </c>
      <c r="AJ19" s="373">
        <f>SUMPRODUCT((③労働時間!$A$5:$A$353=作業体系表!$B19)*(③労働時間!$B$5:$B$353="11月下旬")*(③労働時間!$J$5:$J$353))</f>
        <v>0</v>
      </c>
      <c r="AK19" s="373">
        <f>SUMPRODUCT((③労働時間!$A$5:$A$353=作業体系表!$B19)*(③労働時間!$B$5:$B$353="12月上旬")*(③労働時間!$J$5:$J$353))</f>
        <v>0</v>
      </c>
      <c r="AL19" s="373">
        <f>SUMPRODUCT((③労働時間!$A$5:$A$353=作業体系表!$B19)*(③労働時間!$B$5:$B$353="12月中旬")*(③労働時間!$J$5:$J$353))</f>
        <v>0</v>
      </c>
      <c r="AM19" s="375">
        <f>SUMPRODUCT((③労働時間!$A$5:$A$353=作業体系表!$B19)*(③労働時間!$B$5:$B$353="12月下旬")*(③労働時間!$J$5:$J$353))</f>
        <v>0</v>
      </c>
      <c r="AN19" s="376">
        <f t="shared" si="0"/>
        <v>0.1</v>
      </c>
    </row>
    <row r="20" spans="2:40" ht="15" customHeight="1">
      <c r="B20" s="788" t="str">
        <f>①技術体系!A17</f>
        <v>親子の別飼管理</v>
      </c>
      <c r="C20" s="789"/>
      <c r="D20" s="373">
        <f>SUMPRODUCT((③労働時間!$A$5:$A$353=作業体系表!$B20)*(③労働時間!$B$5:$B$353="1月上旬")*(③労働時間!$J$5:$J$353))</f>
        <v>0.5</v>
      </c>
      <c r="E20" s="373">
        <f>SUMPRODUCT((③労働時間!$A$5:$A$353=作業体系表!$B20)*(③労働時間!$B$5:$B$353="1月中旬")*(③労働時間!$J$5:$J$353))</f>
        <v>0.5</v>
      </c>
      <c r="F20" s="373">
        <f>SUMPRODUCT((③労働時間!$A$5:$A$353=作業体系表!$B20)*(③労働時間!$B$5:$B$353="1月下旬")*(③労働時間!$J$5:$J$353))</f>
        <v>0.5</v>
      </c>
      <c r="G20" s="373">
        <f>SUMPRODUCT((③労働時間!$A$5:$A$353=作業体系表!$B20)*(③労働時間!$B$5:$B$353="2月上旬")*(③労働時間!$J$5:$J$353))</f>
        <v>0.5</v>
      </c>
      <c r="H20" s="373">
        <f>SUMPRODUCT((③労働時間!$A$5:$A$353=作業体系表!$B20)*(③労働時間!$B$5:$B$353="2月中旬")*(③労働時間!$J$5:$J$353))</f>
        <v>0.5</v>
      </c>
      <c r="I20" s="373">
        <f>SUMPRODUCT((③労働時間!$A$5:$A$353=作業体系表!$B20)*(③労働時間!$B$5:$B$353="2月下旬")*(③労働時間!$J$5:$J$353))</f>
        <v>0.5</v>
      </c>
      <c r="J20" s="373">
        <f>SUMPRODUCT((③労働時間!$A$5:$A$353=作業体系表!$B20)*(③労働時間!$B$5:$B$353="3月上旬")*(③労働時間!$J$5:$J$353))</f>
        <v>0.5</v>
      </c>
      <c r="K20" s="373">
        <f>SUMPRODUCT((③労働時間!$A$5:$A$353=作業体系表!$B20)*(③労働時間!$B$5:$B$353="3月中旬")*(③労働時間!$J$5:$J$353))</f>
        <v>0.5</v>
      </c>
      <c r="L20" s="373">
        <f>SUMPRODUCT((③労働時間!$A$5:$A$353=作業体系表!$B20)*(③労働時間!$B$5:$B$353="3月下旬")*(③労働時間!$J$5:$J$353))</f>
        <v>0</v>
      </c>
      <c r="M20" s="373">
        <f>SUMPRODUCT((③労働時間!$A$5:$A$353=作業体系表!$B20)*(③労働時間!$B$5:$B$353="4月上旬")*(③労働時間!$J$5:$J$353))</f>
        <v>0</v>
      </c>
      <c r="N20" s="373">
        <f>SUMPRODUCT((③労働時間!$A$5:$A$353=作業体系表!$B20)*(③労働時間!$B$5:$B$353="4月中旬")*(③労働時間!$J$5:$J$353))</f>
        <v>0</v>
      </c>
      <c r="O20" s="373">
        <f>SUMPRODUCT((③労働時間!$A$5:$A$353=作業体系表!$B20)*(③労働時間!$B$5:$B$353="4月下旬")*(③労働時間!$J$5:$J$353))</f>
        <v>0</v>
      </c>
      <c r="P20" s="374">
        <f>SUMPRODUCT((③労働時間!$A$5:$A$353=作業体系表!$B20)*(③労働時間!$B$5:$B$353="5月上旬")*(③労働時間!$J$5:$J$353))</f>
        <v>0</v>
      </c>
      <c r="Q20" s="373">
        <f>SUMPRODUCT((③労働時間!$A$5:$A$353=作業体系表!$B20)*(③労働時間!$B$5:$B$353="5月中旬")*(③労働時間!$J$5:$J$353))</f>
        <v>0</v>
      </c>
      <c r="R20" s="373">
        <f>SUMPRODUCT((③労働時間!$A$5:$A$353=作業体系表!$B20)*(③労働時間!$B$5:$B$353="5月下旬")*(③労働時間!$J$5:$J$353))</f>
        <v>0</v>
      </c>
      <c r="S20" s="373">
        <f>SUMPRODUCT((③労働時間!$A$5:$A$353=作業体系表!$B20)*(③労働時間!$B$5:$B$353="6月上旬")*(③労働時間!$J$5:$J$353))</f>
        <v>0</v>
      </c>
      <c r="T20" s="373">
        <f>SUMPRODUCT((③労働時間!$A$5:$A$353=作業体系表!$B20)*(③労働時間!$B$5:$B$353="6月中旬")*(③労働時間!$J$5:$J$353))</f>
        <v>0</v>
      </c>
      <c r="U20" s="373">
        <f>SUMPRODUCT((③労働時間!$A$5:$A$353=作業体系表!$B20)*(③労働時間!$B$5:$B$353="6月下旬")*(③労働時間!$J$5:$J$353))</f>
        <v>0</v>
      </c>
      <c r="V20" s="373">
        <f>SUMPRODUCT((③労働時間!$A$5:$A$353=作業体系表!$B20)*(③労働時間!$B$5:$B$353="7月上旬")*(③労働時間!$J$5:$J$353))</f>
        <v>0</v>
      </c>
      <c r="W20" s="373">
        <f>SUMPRODUCT((③労働時間!$A$5:$A$353=作業体系表!$B20)*(③労働時間!$B$5:$B$353="7月中旬")*(③労働時間!$J$5:$J$353))</f>
        <v>0</v>
      </c>
      <c r="X20" s="373">
        <f>SUMPRODUCT((③労働時間!$A$5:$A$353=作業体系表!$B20)*(③労働時間!$B$5:$B$353="7月下旬")*(③労働時間!$J$5:$J$353))</f>
        <v>0</v>
      </c>
      <c r="Y20" s="373">
        <f>SUMPRODUCT((③労働時間!$A$5:$A$353=作業体系表!$B20)*(③労働時間!$B$5:$B$353="8月上旬")*(③労働時間!$J$5:$J$353))</f>
        <v>0</v>
      </c>
      <c r="Z20" s="373">
        <f>SUMPRODUCT((③労働時間!$A$5:$A$353=作業体系表!$B20)*(③労働時間!$B$5:$B$353="8月中旬")*(③労働時間!$J$5:$J$353))</f>
        <v>0</v>
      </c>
      <c r="AA20" s="373">
        <f>SUMPRODUCT((③労働時間!$A$5:$A$353=作業体系表!$B20)*(③労働時間!$B$5:$B$353="8月下旬")*(③労働時間!$J$5:$J$353))</f>
        <v>0</v>
      </c>
      <c r="AB20" s="374">
        <f>SUMPRODUCT((③労働時間!$A$5:$A$353=作業体系表!$B20)*(③労働時間!$B$5:$B$353="9月上旬")*(③労働時間!$J$5:$J$353))</f>
        <v>0</v>
      </c>
      <c r="AC20" s="373">
        <f>SUMPRODUCT((③労働時間!$A$5:$A$353=作業体系表!$B20)*(③労働時間!$B$5:$B$353="9月中旬")*(③労働時間!$J$5:$J$353))</f>
        <v>0</v>
      </c>
      <c r="AD20" s="373">
        <f>SUMPRODUCT((③労働時間!$A$5:$A$353=作業体系表!$B20)*(③労働時間!$B$5:$B$353="9月下旬")*(③労働時間!$J$5:$J$353))</f>
        <v>0</v>
      </c>
      <c r="AE20" s="373">
        <f>SUMPRODUCT((③労働時間!$A$5:$A$353=作業体系表!$B20)*(③労働時間!$B$5:$B$353="10月上旬")*(③労働時間!$J$5:$J$353))</f>
        <v>0</v>
      </c>
      <c r="AF20" s="373">
        <f>SUMPRODUCT((③労働時間!$A$5:$A$353=作業体系表!$B20)*(③労働時間!$B$5:$B$353="10月中旬")*(③労働時間!$J$5:$J$353))</f>
        <v>0</v>
      </c>
      <c r="AG20" s="373">
        <f>SUMPRODUCT((③労働時間!$A$5:$A$353=作業体系表!$B20)*(③労働時間!$B$5:$B$353="10月下旬")*(③労働時間!$J$5:$J$353))</f>
        <v>0</v>
      </c>
      <c r="AH20" s="373">
        <f>SUMPRODUCT((③労働時間!$A$5:$A$353=作業体系表!$B20)*(③労働時間!$B$5:$B$353="11月上旬")*(③労働時間!$J$5:$J$353))</f>
        <v>0</v>
      </c>
      <c r="AI20" s="373">
        <f>SUMPRODUCT((③労働時間!$A$5:$A$353=作業体系表!$B20)*(③労働時間!$B$5:$B$353="11月中旬")*(③労働時間!$J$5:$J$353))</f>
        <v>0</v>
      </c>
      <c r="AJ20" s="373">
        <f>SUMPRODUCT((③労働時間!$A$5:$A$353=作業体系表!$B20)*(③労働時間!$B$5:$B$353="11月下旬")*(③労働時間!$J$5:$J$353))</f>
        <v>0.5</v>
      </c>
      <c r="AK20" s="373">
        <f>SUMPRODUCT((③労働時間!$A$5:$A$353=作業体系表!$B20)*(③労働時間!$B$5:$B$353="12月上旬")*(③労働時間!$J$5:$J$353))</f>
        <v>0.5</v>
      </c>
      <c r="AL20" s="373">
        <f>SUMPRODUCT((③労働時間!$A$5:$A$353=作業体系表!$B20)*(③労働時間!$B$5:$B$353="12月中旬")*(③労働時間!$J$5:$J$353))</f>
        <v>0.5</v>
      </c>
      <c r="AM20" s="375">
        <f>SUMPRODUCT((③労働時間!$A$5:$A$353=作業体系表!$B20)*(③労働時間!$B$5:$B$353="12月下旬")*(③労働時間!$J$5:$J$353))</f>
        <v>0.5</v>
      </c>
      <c r="AN20" s="376">
        <f t="shared" si="0"/>
        <v>6</v>
      </c>
    </row>
    <row r="21" spans="2:40" ht="15" customHeight="1">
      <c r="B21" s="788" t="str">
        <f>①技術体系!A18</f>
        <v>子牛出荷</v>
      </c>
      <c r="C21" s="789"/>
      <c r="D21" s="373">
        <f>SUMPRODUCT((③労働時間!$A$5:$A$353=作業体系表!$B21)*(③労働時間!$B$5:$B$353="1月上旬")*(③労働時間!$J$5:$J$353))</f>
        <v>0</v>
      </c>
      <c r="E21" s="373">
        <f>SUMPRODUCT((③労働時間!$A$5:$A$353=作業体系表!$B21)*(③労働時間!$B$5:$B$353="1月中旬")*(③労働時間!$J$5:$J$353))</f>
        <v>0</v>
      </c>
      <c r="F21" s="373">
        <f>SUMPRODUCT((③労働時間!$A$5:$A$353=作業体系表!$B21)*(③労働時間!$B$5:$B$353="1月下旬")*(③労働時間!$J$5:$J$353))</f>
        <v>0</v>
      </c>
      <c r="G21" s="373">
        <f>SUMPRODUCT((③労働時間!$A$5:$A$353=作業体系表!$B21)*(③労働時間!$B$5:$B$353="2月上旬")*(③労働時間!$J$5:$J$353))</f>
        <v>0</v>
      </c>
      <c r="H21" s="373">
        <f>SUMPRODUCT((③労働時間!$A$5:$A$353=作業体系表!$B21)*(③労働時間!$B$5:$B$353="2月中旬")*(③労働時間!$J$5:$J$353))</f>
        <v>0</v>
      </c>
      <c r="I21" s="373">
        <f>SUMPRODUCT((③労働時間!$A$5:$A$353=作業体系表!$B21)*(③労働時間!$B$5:$B$353="2月下旬")*(③労働時間!$J$5:$J$353))</f>
        <v>0</v>
      </c>
      <c r="J21" s="373">
        <f>SUMPRODUCT((③労働時間!$A$5:$A$353=作業体系表!$B21)*(③労働時間!$B$5:$B$353="3月上旬")*(③労働時間!$J$5:$J$353))</f>
        <v>0</v>
      </c>
      <c r="K21" s="373">
        <f>SUMPRODUCT((③労働時間!$A$5:$A$353=作業体系表!$B21)*(③労働時間!$B$5:$B$353="3月中旬")*(③労働時間!$J$5:$J$353))</f>
        <v>0.25</v>
      </c>
      <c r="L21" s="373">
        <f>SUMPRODUCT((③労働時間!$A$5:$A$353=作業体系表!$B21)*(③労働時間!$B$5:$B$353="3月下旬")*(③労働時間!$J$5:$J$353))</f>
        <v>0</v>
      </c>
      <c r="M21" s="373">
        <f>SUMPRODUCT((③労働時間!$A$5:$A$353=作業体系表!$B21)*(③労働時間!$B$5:$B$353="4月上旬")*(③労働時間!$J$5:$J$353))</f>
        <v>0</v>
      </c>
      <c r="N21" s="373">
        <f>SUMPRODUCT((③労働時間!$A$5:$A$353=作業体系表!$B21)*(③労働時間!$B$5:$B$353="4月中旬")*(③労働時間!$J$5:$J$353))</f>
        <v>0</v>
      </c>
      <c r="O21" s="373">
        <f>SUMPRODUCT((③労働時間!$A$5:$A$353=作業体系表!$B21)*(③労働時間!$B$5:$B$353="4月下旬")*(③労働時間!$J$5:$J$353))</f>
        <v>0</v>
      </c>
      <c r="P21" s="374">
        <f>SUMPRODUCT((③労働時間!$A$5:$A$353=作業体系表!$B21)*(③労働時間!$B$5:$B$353="5月上旬")*(③労働時間!$J$5:$J$353))</f>
        <v>0</v>
      </c>
      <c r="Q21" s="373">
        <f>SUMPRODUCT((③労働時間!$A$5:$A$353=作業体系表!$B21)*(③労働時間!$B$5:$B$353="5月中旬")*(③労働時間!$J$5:$J$353))</f>
        <v>0</v>
      </c>
      <c r="R21" s="373">
        <f>SUMPRODUCT((③労働時間!$A$5:$A$353=作業体系表!$B21)*(③労働時間!$B$5:$B$353="5月下旬")*(③労働時間!$J$5:$J$353))</f>
        <v>0</v>
      </c>
      <c r="S21" s="373">
        <f>SUMPRODUCT((③労働時間!$A$5:$A$353=作業体系表!$B21)*(③労働時間!$B$5:$B$353="6月上旬")*(③労働時間!$J$5:$J$353))</f>
        <v>0</v>
      </c>
      <c r="T21" s="373">
        <f>SUMPRODUCT((③労働時間!$A$5:$A$353=作業体系表!$B21)*(③労働時間!$B$5:$B$353="6月中旬")*(③労働時間!$J$5:$J$353))</f>
        <v>0</v>
      </c>
      <c r="U21" s="373">
        <f>SUMPRODUCT((③労働時間!$A$5:$A$353=作業体系表!$B21)*(③労働時間!$B$5:$B$353="6月下旬")*(③労働時間!$J$5:$J$353))</f>
        <v>0</v>
      </c>
      <c r="V21" s="373">
        <f>SUMPRODUCT((③労働時間!$A$5:$A$353=作業体系表!$B21)*(③労働時間!$B$5:$B$353="7月上旬")*(③労働時間!$J$5:$J$353))</f>
        <v>0</v>
      </c>
      <c r="W21" s="373">
        <f>SUMPRODUCT((③労働時間!$A$5:$A$353=作業体系表!$B21)*(③労働時間!$B$5:$B$353="7月中旬")*(③労働時間!$J$5:$J$353))</f>
        <v>0</v>
      </c>
      <c r="X21" s="373">
        <f>SUMPRODUCT((③労働時間!$A$5:$A$353=作業体系表!$B21)*(③労働時間!$B$5:$B$353="7月下旬")*(③労働時間!$J$5:$J$353))</f>
        <v>0</v>
      </c>
      <c r="Y21" s="373">
        <f>SUMPRODUCT((③労働時間!$A$5:$A$353=作業体系表!$B21)*(③労働時間!$B$5:$B$353="8月上旬")*(③労働時間!$J$5:$J$353))</f>
        <v>0</v>
      </c>
      <c r="Z21" s="373">
        <f>SUMPRODUCT((③労働時間!$A$5:$A$353=作業体系表!$B21)*(③労働時間!$B$5:$B$353="8月中旬")*(③労働時間!$J$5:$J$353))</f>
        <v>0</v>
      </c>
      <c r="AA21" s="373">
        <f>SUMPRODUCT((③労働時間!$A$5:$A$353=作業体系表!$B21)*(③労働時間!$B$5:$B$353="8月下旬")*(③労働時間!$J$5:$J$353))</f>
        <v>0</v>
      </c>
      <c r="AB21" s="374">
        <f>SUMPRODUCT((③労働時間!$A$5:$A$353=作業体系表!$B21)*(③労働時間!$B$5:$B$353="9月上旬")*(③労働時間!$J$5:$J$353))</f>
        <v>0</v>
      </c>
      <c r="AC21" s="373">
        <f>SUMPRODUCT((③労働時間!$A$5:$A$353=作業体系表!$B21)*(③労働時間!$B$5:$B$353="9月中旬")*(③労働時間!$J$5:$J$353))</f>
        <v>0</v>
      </c>
      <c r="AD21" s="373">
        <f>SUMPRODUCT((③労働時間!$A$5:$A$353=作業体系表!$B21)*(③労働時間!$B$5:$B$353="9月下旬")*(③労働時間!$J$5:$J$353))</f>
        <v>0</v>
      </c>
      <c r="AE21" s="373">
        <f>SUMPRODUCT((③労働時間!$A$5:$A$353=作業体系表!$B21)*(③労働時間!$B$5:$B$353="10月上旬")*(③労働時間!$J$5:$J$353))</f>
        <v>0</v>
      </c>
      <c r="AF21" s="373">
        <f>SUMPRODUCT((③労働時間!$A$5:$A$353=作業体系表!$B21)*(③労働時間!$B$5:$B$353="10月中旬")*(③労働時間!$J$5:$J$353))</f>
        <v>0</v>
      </c>
      <c r="AG21" s="373">
        <f>SUMPRODUCT((③労働時間!$A$5:$A$353=作業体系表!$B21)*(③労働時間!$B$5:$B$353="10月下旬")*(③労働時間!$J$5:$J$353))</f>
        <v>0</v>
      </c>
      <c r="AH21" s="373">
        <f>SUMPRODUCT((③労働時間!$A$5:$A$353=作業体系表!$B21)*(③労働時間!$B$5:$B$353="11月上旬")*(③労働時間!$J$5:$J$353))</f>
        <v>0</v>
      </c>
      <c r="AI21" s="373">
        <f>SUMPRODUCT((③労働時間!$A$5:$A$353=作業体系表!$B21)*(③労働時間!$B$5:$B$353="11月中旬")*(③労働時間!$J$5:$J$353))</f>
        <v>0</v>
      </c>
      <c r="AJ21" s="373">
        <f>SUMPRODUCT((③労働時間!$A$5:$A$353=作業体系表!$B21)*(③労働時間!$B$5:$B$353="11月下旬")*(③労働時間!$J$5:$J$353))</f>
        <v>0</v>
      </c>
      <c r="AK21" s="373">
        <f>SUMPRODUCT((③労働時間!$A$5:$A$353=作業体系表!$B21)*(③労働時間!$B$5:$B$353="12月上旬")*(③労働時間!$J$5:$J$353))</f>
        <v>0</v>
      </c>
      <c r="AL21" s="373">
        <f>SUMPRODUCT((③労働時間!$A$5:$A$353=作業体系表!$B21)*(③労働時間!$B$5:$B$353="12月中旬")*(③労働時間!$J$5:$J$353))</f>
        <v>0</v>
      </c>
      <c r="AM21" s="375">
        <f>SUMPRODUCT((③労働時間!$A$5:$A$353=作業体系表!$B21)*(③労働時間!$B$5:$B$353="12月下旬")*(③労働時間!$J$5:$J$353))</f>
        <v>0</v>
      </c>
      <c r="AN21" s="376">
        <f t="shared" si="0"/>
        <v>0.25</v>
      </c>
    </row>
    <row r="22" spans="2:40" ht="15" customHeight="1">
      <c r="B22" s="788" t="str">
        <f>①技術体系!A19</f>
        <v>親牛飼養管理</v>
      </c>
      <c r="C22" s="789"/>
      <c r="D22" s="373">
        <f>SUMPRODUCT((③労働時間!$A$5:$A$353=作業体系表!$B22)*(③労働時間!$B$5:$B$353="1月上旬")*(③労働時間!$J$5:$J$353))</f>
        <v>0</v>
      </c>
      <c r="E22" s="373">
        <f>SUMPRODUCT((③労働時間!$A$5:$A$353=作業体系表!$B22)*(③労働時間!$B$5:$B$353="1月中旬")*(③労働時間!$J$5:$J$353))</f>
        <v>0</v>
      </c>
      <c r="F22" s="373">
        <f>SUMPRODUCT((③労働時間!$A$5:$A$353=作業体系表!$B22)*(③労働時間!$B$5:$B$353="1月下旬")*(③労働時間!$J$5:$J$353))</f>
        <v>0</v>
      </c>
      <c r="G22" s="373">
        <f>SUMPRODUCT((③労働時間!$A$5:$A$353=作業体系表!$B22)*(③労働時間!$B$5:$B$353="2月上旬")*(③労働時間!$J$5:$J$353))</f>
        <v>0</v>
      </c>
      <c r="H22" s="373">
        <f>SUMPRODUCT((③労働時間!$A$5:$A$353=作業体系表!$B22)*(③労働時間!$B$5:$B$353="2月中旬")*(③労働時間!$J$5:$J$353))</f>
        <v>0</v>
      </c>
      <c r="I22" s="373">
        <f>SUMPRODUCT((③労働時間!$A$5:$A$353=作業体系表!$B22)*(③労働時間!$B$5:$B$353="2月下旬")*(③労働時間!$J$5:$J$353))</f>
        <v>0</v>
      </c>
      <c r="J22" s="373">
        <f>SUMPRODUCT((③労働時間!$A$5:$A$353=作業体系表!$B22)*(③労働時間!$B$5:$B$353="3月上旬")*(③労働時間!$J$5:$J$353))</f>
        <v>0</v>
      </c>
      <c r="K22" s="373">
        <f>SUMPRODUCT((③労働時間!$A$5:$A$353=作業体系表!$B22)*(③労働時間!$B$5:$B$353="3月中旬")*(③労働時間!$J$5:$J$353))</f>
        <v>0</v>
      </c>
      <c r="L22" s="373">
        <f>SUMPRODUCT((③労働時間!$A$5:$A$353=作業体系表!$B22)*(③労働時間!$B$5:$B$353="3月下旬")*(③労働時間!$J$5:$J$353))</f>
        <v>0.5</v>
      </c>
      <c r="M22" s="373">
        <f>SUMPRODUCT((③労働時間!$A$5:$A$353=作業体系表!$B22)*(③労働時間!$B$5:$B$353="4月上旬")*(③労働時間!$J$5:$J$353))</f>
        <v>0</v>
      </c>
      <c r="N22" s="373">
        <f>SUMPRODUCT((③労働時間!$A$5:$A$353=作業体系表!$B22)*(③労働時間!$B$5:$B$353="4月中旬")*(③労働時間!$J$5:$J$353))</f>
        <v>0</v>
      </c>
      <c r="O22" s="373">
        <f>SUMPRODUCT((③労働時間!$A$5:$A$353=作業体系表!$B22)*(③労働時間!$B$5:$B$353="4月下旬")*(③労働時間!$J$5:$J$353))</f>
        <v>0</v>
      </c>
      <c r="P22" s="374">
        <f>SUMPRODUCT((③労働時間!$A$5:$A$353=作業体系表!$B22)*(③労働時間!$B$5:$B$353="5月上旬")*(③労働時間!$J$5:$J$353))</f>
        <v>0</v>
      </c>
      <c r="Q22" s="373">
        <f>SUMPRODUCT((③労働時間!$A$5:$A$353=作業体系表!$B22)*(③労働時間!$B$5:$B$353="5月中旬")*(③労働時間!$J$5:$J$353))</f>
        <v>0</v>
      </c>
      <c r="R22" s="373">
        <f>SUMPRODUCT((③労働時間!$A$5:$A$353=作業体系表!$B22)*(③労働時間!$B$5:$B$353="5月下旬")*(③労働時間!$J$5:$J$353))</f>
        <v>0</v>
      </c>
      <c r="S22" s="373">
        <f>SUMPRODUCT((③労働時間!$A$5:$A$353=作業体系表!$B22)*(③労働時間!$B$5:$B$353="6月上旬")*(③労働時間!$J$5:$J$353))</f>
        <v>0</v>
      </c>
      <c r="T22" s="373">
        <f>SUMPRODUCT((③労働時間!$A$5:$A$353=作業体系表!$B22)*(③労働時間!$B$5:$B$353="6月中旬")*(③労働時間!$J$5:$J$353))</f>
        <v>0</v>
      </c>
      <c r="U22" s="373">
        <f>SUMPRODUCT((③労働時間!$A$5:$A$353=作業体系表!$B22)*(③労働時間!$B$5:$B$353="6月下旬")*(③労働時間!$J$5:$J$353))</f>
        <v>0</v>
      </c>
      <c r="V22" s="373">
        <f>SUMPRODUCT((③労働時間!$A$5:$A$353=作業体系表!$B22)*(③労働時間!$B$5:$B$353="7月上旬")*(③労働時間!$J$5:$J$353))</f>
        <v>0</v>
      </c>
      <c r="W22" s="373">
        <f>SUMPRODUCT((③労働時間!$A$5:$A$353=作業体系表!$B22)*(③労働時間!$B$5:$B$353="7月中旬")*(③労働時間!$J$5:$J$353))</f>
        <v>0</v>
      </c>
      <c r="X22" s="373">
        <f>SUMPRODUCT((③労働時間!$A$5:$A$353=作業体系表!$B22)*(③労働時間!$B$5:$B$353="7月下旬")*(③労働時間!$J$5:$J$353))</f>
        <v>0</v>
      </c>
      <c r="Y22" s="373">
        <f>SUMPRODUCT((③労働時間!$A$5:$A$353=作業体系表!$B22)*(③労働時間!$B$5:$B$353="8月上旬")*(③労働時間!$J$5:$J$353))</f>
        <v>0</v>
      </c>
      <c r="Z22" s="373">
        <f>SUMPRODUCT((③労働時間!$A$5:$A$353=作業体系表!$B22)*(③労働時間!$B$5:$B$353="8月中旬")*(③労働時間!$J$5:$J$353))</f>
        <v>0</v>
      </c>
      <c r="AA22" s="373">
        <f>SUMPRODUCT((③労働時間!$A$5:$A$353=作業体系表!$B22)*(③労働時間!$B$5:$B$353="8月下旬")*(③労働時間!$J$5:$J$353))</f>
        <v>0</v>
      </c>
      <c r="AB22" s="374">
        <f>SUMPRODUCT((③労働時間!$A$5:$A$353=作業体系表!$B22)*(③労働時間!$B$5:$B$353="9月上旬")*(③労働時間!$J$5:$J$353))</f>
        <v>0</v>
      </c>
      <c r="AC22" s="373">
        <f>SUMPRODUCT((③労働時間!$A$5:$A$353=作業体系表!$B22)*(③労働時間!$B$5:$B$353="9月中旬")*(③労働時間!$J$5:$J$353))</f>
        <v>0</v>
      </c>
      <c r="AD22" s="373">
        <f>SUMPRODUCT((③労働時間!$A$5:$A$353=作業体系表!$B22)*(③労働時間!$B$5:$B$353="9月下旬")*(③労働時間!$J$5:$J$353))</f>
        <v>0</v>
      </c>
      <c r="AE22" s="373">
        <f>SUMPRODUCT((③労働時間!$A$5:$A$353=作業体系表!$B22)*(③労働時間!$B$5:$B$353="10月上旬")*(③労働時間!$J$5:$J$353))</f>
        <v>0</v>
      </c>
      <c r="AF22" s="373">
        <f>SUMPRODUCT((③労働時間!$A$5:$A$353=作業体系表!$B22)*(③労働時間!$B$5:$B$353="10月中旬")*(③労働時間!$J$5:$J$353))</f>
        <v>0</v>
      </c>
      <c r="AG22" s="373">
        <f>SUMPRODUCT((③労働時間!$A$5:$A$353=作業体系表!$B22)*(③労働時間!$B$5:$B$353="10月下旬")*(③労働時間!$J$5:$J$353))</f>
        <v>0</v>
      </c>
      <c r="AH22" s="373">
        <f>SUMPRODUCT((③労働時間!$A$5:$A$353=作業体系表!$B22)*(③労働時間!$B$5:$B$353="11月上旬")*(③労働時間!$J$5:$J$353))</f>
        <v>0</v>
      </c>
      <c r="AI22" s="373">
        <f>SUMPRODUCT((③労働時間!$A$5:$A$353=作業体系表!$B22)*(③労働時間!$B$5:$B$353="11月中旬")*(③労働時間!$J$5:$J$353))</f>
        <v>0</v>
      </c>
      <c r="AJ22" s="373">
        <f>SUMPRODUCT((③労働時間!$A$5:$A$353=作業体系表!$B22)*(③労働時間!$B$5:$B$353="11月下旬")*(③労働時間!$J$5:$J$353))</f>
        <v>0</v>
      </c>
      <c r="AK22" s="373">
        <f>SUMPRODUCT((③労働時間!$A$5:$A$353=作業体系表!$B22)*(③労働時間!$B$5:$B$353="12月上旬")*(③労働時間!$J$5:$J$353))</f>
        <v>0</v>
      </c>
      <c r="AL22" s="373">
        <f>SUMPRODUCT((③労働時間!$A$5:$A$353=作業体系表!$B22)*(③労働時間!$B$5:$B$353="12月中旬")*(③労働時間!$J$5:$J$353))</f>
        <v>0</v>
      </c>
      <c r="AM22" s="375">
        <f>SUMPRODUCT((③労働時間!$A$5:$A$353=作業体系表!$B22)*(③労働時間!$B$5:$B$353="12月下旬")*(③労働時間!$J$5:$J$353))</f>
        <v>0</v>
      </c>
      <c r="AN22" s="376">
        <f t="shared" si="0"/>
        <v>0.5</v>
      </c>
    </row>
    <row r="23" spans="2:40" ht="15" customHeight="1">
      <c r="B23" s="788" t="str">
        <f>①技術体系!A20</f>
        <v>(WCS)</v>
      </c>
      <c r="C23" s="789"/>
      <c r="D23" s="373">
        <f>SUMPRODUCT((③労働時間!$A$5:$A$353=作業体系表!$B23)*(③労働時間!$B$5:$B$353="1月上旬")*(③労働時間!$J$5:$J$353))</f>
        <v>0</v>
      </c>
      <c r="E23" s="373">
        <f>SUMPRODUCT((③労働時間!$A$5:$A$353=作業体系表!$B23)*(③労働時間!$B$5:$B$353="1月中旬")*(③労働時間!$J$5:$J$353))</f>
        <v>0</v>
      </c>
      <c r="F23" s="373">
        <f>SUMPRODUCT((③労働時間!$A$5:$A$353=作業体系表!$B23)*(③労働時間!$B$5:$B$353="1月下旬")*(③労働時間!$J$5:$J$353))</f>
        <v>0</v>
      </c>
      <c r="G23" s="373">
        <f>SUMPRODUCT((③労働時間!$A$5:$A$353=作業体系表!$B23)*(③労働時間!$B$5:$B$353="2月上旬")*(③労働時間!$J$5:$J$353))</f>
        <v>0</v>
      </c>
      <c r="H23" s="373">
        <f>SUMPRODUCT((③労働時間!$A$5:$A$353=作業体系表!$B23)*(③労働時間!$B$5:$B$353="2月中旬")*(③労働時間!$J$5:$J$353))</f>
        <v>0</v>
      </c>
      <c r="I23" s="373">
        <f>SUMPRODUCT((③労働時間!$A$5:$A$353=作業体系表!$B23)*(③労働時間!$B$5:$B$353="2月下旬")*(③労働時間!$J$5:$J$353))</f>
        <v>0</v>
      </c>
      <c r="J23" s="373">
        <f>SUMPRODUCT((③労働時間!$A$5:$A$353=作業体系表!$B23)*(③労働時間!$B$5:$B$353="3月上旬")*(③労働時間!$J$5:$J$353))</f>
        <v>0</v>
      </c>
      <c r="K23" s="373">
        <f>SUMPRODUCT((③労働時間!$A$5:$A$353=作業体系表!$B23)*(③労働時間!$B$5:$B$353="3月中旬")*(③労働時間!$J$5:$J$353))</f>
        <v>0</v>
      </c>
      <c r="L23" s="373">
        <f>SUMPRODUCT((③労働時間!$A$5:$A$353=作業体系表!$B23)*(③労働時間!$B$5:$B$353="3月下旬")*(③労働時間!$J$5:$J$353))</f>
        <v>0</v>
      </c>
      <c r="M23" s="373">
        <f>SUMPRODUCT((③労働時間!$A$5:$A$353=作業体系表!$B23)*(③労働時間!$B$5:$B$353="4月上旬")*(③労働時間!$J$5:$J$353))</f>
        <v>0</v>
      </c>
      <c r="N23" s="373">
        <f>SUMPRODUCT((③労働時間!$A$5:$A$353=作業体系表!$B23)*(③労働時間!$B$5:$B$353="4月中旬")*(③労働時間!$J$5:$J$353))</f>
        <v>0</v>
      </c>
      <c r="O23" s="373">
        <f>SUMPRODUCT((③労働時間!$A$5:$A$353=作業体系表!$B23)*(③労働時間!$B$5:$B$353="4月下旬")*(③労働時間!$J$5:$J$353))</f>
        <v>0</v>
      </c>
      <c r="P23" s="374">
        <f>SUMPRODUCT((③労働時間!$A$5:$A$353=作業体系表!$B23)*(③労働時間!$B$5:$B$353="5月上旬")*(③労働時間!$J$5:$J$353))</f>
        <v>0</v>
      </c>
      <c r="Q23" s="373">
        <f>SUMPRODUCT((③労働時間!$A$5:$A$353=作業体系表!$B23)*(③労働時間!$B$5:$B$353="5月中旬")*(③労働時間!$J$5:$J$353))</f>
        <v>0</v>
      </c>
      <c r="R23" s="373">
        <f>SUMPRODUCT((③労働時間!$A$5:$A$353=作業体系表!$B23)*(③労働時間!$B$5:$B$353="5月下旬")*(③労働時間!$J$5:$J$353))</f>
        <v>0</v>
      </c>
      <c r="S23" s="373">
        <f>SUMPRODUCT((③労働時間!$A$5:$A$353=作業体系表!$B23)*(③労働時間!$B$5:$B$353="6月上旬")*(③労働時間!$J$5:$J$353))</f>
        <v>0</v>
      </c>
      <c r="T23" s="373">
        <f>SUMPRODUCT((③労働時間!$A$5:$A$353=作業体系表!$B23)*(③労働時間!$B$5:$B$353="6月中旬")*(③労働時間!$J$5:$J$353))</f>
        <v>0</v>
      </c>
      <c r="U23" s="373">
        <f>SUMPRODUCT((③労働時間!$A$5:$A$353=作業体系表!$B23)*(③労働時間!$B$5:$B$353="6月下旬")*(③労働時間!$J$5:$J$353))</f>
        <v>0</v>
      </c>
      <c r="V23" s="373">
        <f>SUMPRODUCT((③労働時間!$A$5:$A$353=作業体系表!$B23)*(③労働時間!$B$5:$B$353="7月上旬")*(③労働時間!$J$5:$J$353))</f>
        <v>0</v>
      </c>
      <c r="W23" s="373">
        <f>SUMPRODUCT((③労働時間!$A$5:$A$353=作業体系表!$B23)*(③労働時間!$B$5:$B$353="7月中旬")*(③労働時間!$J$5:$J$353))</f>
        <v>0</v>
      </c>
      <c r="X23" s="373">
        <f>SUMPRODUCT((③労働時間!$A$5:$A$353=作業体系表!$B23)*(③労働時間!$B$5:$B$353="7月下旬")*(③労働時間!$J$5:$J$353))</f>
        <v>0</v>
      </c>
      <c r="Y23" s="373">
        <f>SUMPRODUCT((③労働時間!$A$5:$A$353=作業体系表!$B23)*(③労働時間!$B$5:$B$353="8月上旬")*(③労働時間!$J$5:$J$353))</f>
        <v>0</v>
      </c>
      <c r="Z23" s="373">
        <f>SUMPRODUCT((③労働時間!$A$5:$A$353=作業体系表!$B23)*(③労働時間!$B$5:$B$353="8月中旬")*(③労働時間!$J$5:$J$353))</f>
        <v>0</v>
      </c>
      <c r="AA23" s="373">
        <f>SUMPRODUCT((③労働時間!$A$5:$A$353=作業体系表!$B23)*(③労働時間!$B$5:$B$353="8月下旬")*(③労働時間!$J$5:$J$353))</f>
        <v>0</v>
      </c>
      <c r="AB23" s="374">
        <f>SUMPRODUCT((③労働時間!$A$5:$A$353=作業体系表!$B23)*(③労働時間!$B$5:$B$353="9月上旬")*(③労働時間!$J$5:$J$353))</f>
        <v>0</v>
      </c>
      <c r="AC23" s="373">
        <f>SUMPRODUCT((③労働時間!$A$5:$A$353=作業体系表!$B23)*(③労働時間!$B$5:$B$353="9月中旬")*(③労働時間!$J$5:$J$353))</f>
        <v>0</v>
      </c>
      <c r="AD23" s="373">
        <f>SUMPRODUCT((③労働時間!$A$5:$A$353=作業体系表!$B23)*(③労働時間!$B$5:$B$353="9月下旬")*(③労働時間!$J$5:$J$353))</f>
        <v>0</v>
      </c>
      <c r="AE23" s="373">
        <f>SUMPRODUCT((③労働時間!$A$5:$A$353=作業体系表!$B23)*(③労働時間!$B$5:$B$353="10月上旬")*(③労働時間!$J$5:$J$353))</f>
        <v>0</v>
      </c>
      <c r="AF23" s="373">
        <f>SUMPRODUCT((③労働時間!$A$5:$A$353=作業体系表!$B23)*(③労働時間!$B$5:$B$353="10月中旬")*(③労働時間!$J$5:$J$353))</f>
        <v>0</v>
      </c>
      <c r="AG23" s="373">
        <f>SUMPRODUCT((③労働時間!$A$5:$A$353=作業体系表!$B23)*(③労働時間!$B$5:$B$353="10月下旬")*(③労働時間!$J$5:$J$353))</f>
        <v>0</v>
      </c>
      <c r="AH23" s="373">
        <f>SUMPRODUCT((③労働時間!$A$5:$A$353=作業体系表!$B23)*(③労働時間!$B$5:$B$353="11月上旬")*(③労働時間!$J$5:$J$353))</f>
        <v>0</v>
      </c>
      <c r="AI23" s="373">
        <f>SUMPRODUCT((③労働時間!$A$5:$A$353=作業体系表!$B23)*(③労働時間!$B$5:$B$353="11月中旬")*(③労働時間!$J$5:$J$353))</f>
        <v>0</v>
      </c>
      <c r="AJ23" s="373">
        <f>SUMPRODUCT((③労働時間!$A$5:$A$353=作業体系表!$B23)*(③労働時間!$B$5:$B$353="11月下旬")*(③労働時間!$J$5:$J$353))</f>
        <v>0</v>
      </c>
      <c r="AK23" s="373">
        <f>SUMPRODUCT((③労働時間!$A$5:$A$353=作業体系表!$B23)*(③労働時間!$B$5:$B$353="12月上旬")*(③労働時間!$J$5:$J$353))</f>
        <v>0</v>
      </c>
      <c r="AL23" s="373">
        <f>SUMPRODUCT((③労働時間!$A$5:$A$353=作業体系表!$B23)*(③労働時間!$B$5:$B$353="12月中旬")*(③労働時間!$J$5:$J$353))</f>
        <v>0</v>
      </c>
      <c r="AM23" s="375">
        <f>SUMPRODUCT((③労働時間!$A$5:$A$353=作業体系表!$B23)*(③労働時間!$B$5:$B$353="12月下旬")*(③労働時間!$J$5:$J$353))</f>
        <v>0</v>
      </c>
      <c r="AN23" s="376">
        <f t="shared" si="0"/>
        <v>0</v>
      </c>
    </row>
    <row r="24" spans="2:40" ht="15" customHeight="1">
      <c r="B24" s="788" t="str">
        <f>①技術体系!A21</f>
        <v>改良資材散布</v>
      </c>
      <c r="C24" s="789"/>
      <c r="D24" s="373">
        <f>SUMPRODUCT((③労働時間!$A$5:$A$353=作業体系表!$B24)*(③労働時間!$B$5:$B$353="1月上旬")*(③労働時間!$J$5:$J$353))</f>
        <v>0</v>
      </c>
      <c r="E24" s="373">
        <f>SUMPRODUCT((③労働時間!$A$5:$A$353=作業体系表!$B24)*(③労働時間!$B$5:$B$353="1月中旬")*(③労働時間!$J$5:$J$353))</f>
        <v>0</v>
      </c>
      <c r="F24" s="373">
        <f>SUMPRODUCT((③労働時間!$A$5:$A$353=作業体系表!$B24)*(③労働時間!$B$5:$B$353="1月下旬")*(③労働時間!$J$5:$J$353))</f>
        <v>0</v>
      </c>
      <c r="G24" s="373">
        <f>SUMPRODUCT((③労働時間!$A$5:$A$353=作業体系表!$B24)*(③労働時間!$B$5:$B$353="2月上旬")*(③労働時間!$J$5:$J$353))</f>
        <v>0</v>
      </c>
      <c r="H24" s="373">
        <f>SUMPRODUCT((③労働時間!$A$5:$A$353=作業体系表!$B24)*(③労働時間!$B$5:$B$353="2月中旬")*(③労働時間!$J$5:$J$353))</f>
        <v>0</v>
      </c>
      <c r="I24" s="373">
        <f>SUMPRODUCT((③労働時間!$A$5:$A$353=作業体系表!$B24)*(③労働時間!$B$5:$B$353="2月下旬")*(③労働時間!$J$5:$J$353))</f>
        <v>0</v>
      </c>
      <c r="J24" s="373">
        <f>SUMPRODUCT((③労働時間!$A$5:$A$353=作業体系表!$B24)*(③労働時間!$B$5:$B$353="3月上旬")*(③労働時間!$J$5:$J$353))</f>
        <v>0</v>
      </c>
      <c r="K24" s="373">
        <f>SUMPRODUCT((③労働時間!$A$5:$A$353=作業体系表!$B24)*(③労働時間!$B$5:$B$353="3月中旬")*(③労働時間!$J$5:$J$353))</f>
        <v>0</v>
      </c>
      <c r="L24" s="373">
        <f>SUMPRODUCT((③労働時間!$A$5:$A$353=作業体系表!$B24)*(③労働時間!$B$5:$B$353="3月下旬")*(③労働時間!$J$5:$J$353))</f>
        <v>0</v>
      </c>
      <c r="M24" s="373">
        <f>SUMPRODUCT((③労働時間!$A$5:$A$353=作業体系表!$B24)*(③労働時間!$B$5:$B$353="4月上旬")*(③労働時間!$J$5:$J$353))</f>
        <v>0</v>
      </c>
      <c r="N24" s="373">
        <f>SUMPRODUCT((③労働時間!$A$5:$A$353=作業体系表!$B24)*(③労働時間!$B$5:$B$353="4月中旬")*(③労働時間!$J$5:$J$353))</f>
        <v>0</v>
      </c>
      <c r="O24" s="373">
        <f>SUMPRODUCT((③労働時間!$A$5:$A$353=作業体系表!$B24)*(③労働時間!$B$5:$B$353="4月下旬")*(③労働時間!$J$5:$J$353))</f>
        <v>0.15096618357487901</v>
      </c>
      <c r="P24" s="374">
        <f>SUMPRODUCT((③労働時間!$A$5:$A$353=作業体系表!$B24)*(③労働時間!$B$5:$B$353="5月上旬")*(③労働時間!$J$5:$J$353))</f>
        <v>0</v>
      </c>
      <c r="Q24" s="373">
        <f>SUMPRODUCT((③労働時間!$A$5:$A$353=作業体系表!$B24)*(③労働時間!$B$5:$B$353="5月中旬")*(③労働時間!$J$5:$J$353))</f>
        <v>0</v>
      </c>
      <c r="R24" s="373">
        <f>SUMPRODUCT((③労働時間!$A$5:$A$353=作業体系表!$B24)*(③労働時間!$B$5:$B$353="5月下旬")*(③労働時間!$J$5:$J$353))</f>
        <v>0</v>
      </c>
      <c r="S24" s="373">
        <f>SUMPRODUCT((③労働時間!$A$5:$A$353=作業体系表!$B24)*(③労働時間!$B$5:$B$353="6月上旬")*(③労働時間!$J$5:$J$353))</f>
        <v>0</v>
      </c>
      <c r="T24" s="373">
        <f>SUMPRODUCT((③労働時間!$A$5:$A$353=作業体系表!$B24)*(③労働時間!$B$5:$B$353="6月中旬")*(③労働時間!$J$5:$J$353))</f>
        <v>0</v>
      </c>
      <c r="U24" s="373">
        <f>SUMPRODUCT((③労働時間!$A$5:$A$353=作業体系表!$B24)*(③労働時間!$B$5:$B$353="6月下旬")*(③労働時間!$J$5:$J$353))</f>
        <v>0</v>
      </c>
      <c r="V24" s="373">
        <f>SUMPRODUCT((③労働時間!$A$5:$A$353=作業体系表!$B24)*(③労働時間!$B$5:$B$353="7月上旬")*(③労働時間!$J$5:$J$353))</f>
        <v>0</v>
      </c>
      <c r="W24" s="373">
        <f>SUMPRODUCT((③労働時間!$A$5:$A$353=作業体系表!$B24)*(③労働時間!$B$5:$B$353="7月中旬")*(③労働時間!$J$5:$J$353))</f>
        <v>0</v>
      </c>
      <c r="X24" s="373">
        <f>SUMPRODUCT((③労働時間!$A$5:$A$353=作業体系表!$B24)*(③労働時間!$B$5:$B$353="7月下旬")*(③労働時間!$J$5:$J$353))</f>
        <v>0</v>
      </c>
      <c r="Y24" s="373">
        <f>SUMPRODUCT((③労働時間!$A$5:$A$353=作業体系表!$B24)*(③労働時間!$B$5:$B$353="8月上旬")*(③労働時間!$J$5:$J$353))</f>
        <v>0</v>
      </c>
      <c r="Z24" s="373">
        <f>SUMPRODUCT((③労働時間!$A$5:$A$353=作業体系表!$B24)*(③労働時間!$B$5:$B$353="8月中旬")*(③労働時間!$J$5:$J$353))</f>
        <v>0</v>
      </c>
      <c r="AA24" s="373">
        <f>SUMPRODUCT((③労働時間!$A$5:$A$353=作業体系表!$B24)*(③労働時間!$B$5:$B$353="8月下旬")*(③労働時間!$J$5:$J$353))</f>
        <v>0</v>
      </c>
      <c r="AB24" s="374">
        <f>SUMPRODUCT((③労働時間!$A$5:$A$353=作業体系表!$B24)*(③労働時間!$B$5:$B$353="9月上旬")*(③労働時間!$J$5:$J$353))</f>
        <v>0</v>
      </c>
      <c r="AC24" s="373">
        <f>SUMPRODUCT((③労働時間!$A$5:$A$353=作業体系表!$B24)*(③労働時間!$B$5:$B$353="9月中旬")*(③労働時間!$J$5:$J$353))</f>
        <v>0</v>
      </c>
      <c r="AD24" s="373">
        <f>SUMPRODUCT((③労働時間!$A$5:$A$353=作業体系表!$B24)*(③労働時間!$B$5:$B$353="9月下旬")*(③労働時間!$J$5:$J$353))</f>
        <v>0</v>
      </c>
      <c r="AE24" s="373">
        <f>SUMPRODUCT((③労働時間!$A$5:$A$353=作業体系表!$B24)*(③労働時間!$B$5:$B$353="10月上旬")*(③労働時間!$J$5:$J$353))</f>
        <v>0</v>
      </c>
      <c r="AF24" s="373">
        <f>SUMPRODUCT((③労働時間!$A$5:$A$353=作業体系表!$B24)*(③労働時間!$B$5:$B$353="10月中旬")*(③労働時間!$J$5:$J$353))</f>
        <v>0</v>
      </c>
      <c r="AG24" s="373">
        <f>SUMPRODUCT((③労働時間!$A$5:$A$353=作業体系表!$B24)*(③労働時間!$B$5:$B$353="10月下旬")*(③労働時間!$J$5:$J$353))</f>
        <v>0</v>
      </c>
      <c r="AH24" s="373">
        <f>SUMPRODUCT((③労働時間!$A$5:$A$353=作業体系表!$B24)*(③労働時間!$B$5:$B$353="11月上旬")*(③労働時間!$J$5:$J$353))</f>
        <v>0</v>
      </c>
      <c r="AI24" s="373">
        <f>SUMPRODUCT((③労働時間!$A$5:$A$353=作業体系表!$B24)*(③労働時間!$B$5:$B$353="11月中旬")*(③労働時間!$J$5:$J$353))</f>
        <v>0</v>
      </c>
      <c r="AJ24" s="373">
        <f>SUMPRODUCT((③労働時間!$A$5:$A$353=作業体系表!$B24)*(③労働時間!$B$5:$B$353="11月下旬")*(③労働時間!$J$5:$J$353))</f>
        <v>0</v>
      </c>
      <c r="AK24" s="373">
        <f>SUMPRODUCT((③労働時間!$A$5:$A$353=作業体系表!$B24)*(③労働時間!$B$5:$B$353="12月上旬")*(③労働時間!$J$5:$J$353))</f>
        <v>0</v>
      </c>
      <c r="AL24" s="373">
        <f>SUMPRODUCT((③労働時間!$A$5:$A$353=作業体系表!$B24)*(③労働時間!$B$5:$B$353="12月中旬")*(③労働時間!$J$5:$J$353))</f>
        <v>0</v>
      </c>
      <c r="AM24" s="375">
        <f>SUMPRODUCT((③労働時間!$A$5:$A$353=作業体系表!$B24)*(③労働時間!$B$5:$B$353="12月下旬")*(③労働時間!$J$5:$J$353))</f>
        <v>0</v>
      </c>
      <c r="AN24" s="376">
        <f t="shared" si="0"/>
        <v>0.15096618357487901</v>
      </c>
    </row>
    <row r="25" spans="2:40" ht="15" customHeight="1">
      <c r="B25" s="788" t="str">
        <f>①技術体系!A22</f>
        <v>耕転</v>
      </c>
      <c r="C25" s="789"/>
      <c r="D25" s="373">
        <f>SUMPRODUCT((③労働時間!$A$5:$A$353=作業体系表!$B25)*(③労働時間!$B$5:$B$353="1月上旬")*(③労働時間!$J$5:$J$353))</f>
        <v>0</v>
      </c>
      <c r="E25" s="373">
        <f>SUMPRODUCT((③労働時間!$A$5:$A$353=作業体系表!$B25)*(③労働時間!$B$5:$B$353="1月中旬")*(③労働時間!$J$5:$J$353))</f>
        <v>0</v>
      </c>
      <c r="F25" s="373">
        <f>SUMPRODUCT((③労働時間!$A$5:$A$353=作業体系表!$B25)*(③労働時間!$B$5:$B$353="1月下旬")*(③労働時間!$J$5:$J$353))</f>
        <v>0</v>
      </c>
      <c r="G25" s="373">
        <f>SUMPRODUCT((③労働時間!$A$5:$A$353=作業体系表!$B25)*(③労働時間!$B$5:$B$353="2月上旬")*(③労働時間!$J$5:$J$353))</f>
        <v>0</v>
      </c>
      <c r="H25" s="373">
        <f>SUMPRODUCT((③労働時間!$A$5:$A$353=作業体系表!$B25)*(③労働時間!$B$5:$B$353="2月中旬")*(③労働時間!$J$5:$J$353))</f>
        <v>0</v>
      </c>
      <c r="I25" s="373">
        <f>SUMPRODUCT((③労働時間!$A$5:$A$353=作業体系表!$B25)*(③労働時間!$B$5:$B$353="2月下旬")*(③労働時間!$J$5:$J$353))</f>
        <v>0</v>
      </c>
      <c r="J25" s="373">
        <f>SUMPRODUCT((③労働時間!$A$5:$A$353=作業体系表!$B25)*(③労働時間!$B$5:$B$353="3月上旬")*(③労働時間!$J$5:$J$353))</f>
        <v>0</v>
      </c>
      <c r="K25" s="373">
        <f>SUMPRODUCT((③労働時間!$A$5:$A$353=作業体系表!$B25)*(③労働時間!$B$5:$B$353="3月中旬")*(③労働時間!$J$5:$J$353))</f>
        <v>0</v>
      </c>
      <c r="L25" s="373">
        <f>SUMPRODUCT((③労働時間!$A$5:$A$353=作業体系表!$B25)*(③労働時間!$B$5:$B$353="3月下旬")*(③労働時間!$J$5:$J$353))</f>
        <v>0</v>
      </c>
      <c r="M25" s="373">
        <f>SUMPRODUCT((③労働時間!$A$5:$A$353=作業体系表!$B25)*(③労働時間!$B$5:$B$353="4月上旬")*(③労働時間!$J$5:$J$353))</f>
        <v>0</v>
      </c>
      <c r="N25" s="373">
        <f>SUMPRODUCT((③労働時間!$A$5:$A$353=作業体系表!$B25)*(③労働時間!$B$5:$B$353="4月中旬")*(③労働時間!$J$5:$J$353))</f>
        <v>0</v>
      </c>
      <c r="O25" s="373">
        <f>SUMPRODUCT((③労働時間!$A$5:$A$353=作業体系表!$B25)*(③労働時間!$B$5:$B$353="4月下旬")*(③労働時間!$J$5:$J$353))</f>
        <v>0.30259017187121751</v>
      </c>
      <c r="P25" s="374">
        <f>SUMPRODUCT((③労働時間!$A$5:$A$353=作業体系表!$B25)*(③労働時間!$B$5:$B$353="5月上旬")*(③労働時間!$J$5:$J$353))</f>
        <v>0</v>
      </c>
      <c r="Q25" s="373">
        <f>SUMPRODUCT((③労働時間!$A$5:$A$353=作業体系表!$B25)*(③労働時間!$B$5:$B$353="5月中旬")*(③労働時間!$J$5:$J$353))</f>
        <v>0</v>
      </c>
      <c r="R25" s="373">
        <f>SUMPRODUCT((③労働時間!$A$5:$A$353=作業体系表!$B25)*(③労働時間!$B$5:$B$353="5月下旬")*(③労働時間!$J$5:$J$353))</f>
        <v>0</v>
      </c>
      <c r="S25" s="373">
        <f>SUMPRODUCT((③労働時間!$A$5:$A$353=作業体系表!$B25)*(③労働時間!$B$5:$B$353="6月上旬")*(③労働時間!$J$5:$J$353))</f>
        <v>0</v>
      </c>
      <c r="T25" s="373">
        <f>SUMPRODUCT((③労働時間!$A$5:$A$353=作業体系表!$B25)*(③労働時間!$B$5:$B$353="6月中旬")*(③労働時間!$J$5:$J$353))</f>
        <v>0</v>
      </c>
      <c r="U25" s="373">
        <f>SUMPRODUCT((③労働時間!$A$5:$A$353=作業体系表!$B25)*(③労働時間!$B$5:$B$353="6月下旬")*(③労働時間!$J$5:$J$353))</f>
        <v>0</v>
      </c>
      <c r="V25" s="373">
        <f>SUMPRODUCT((③労働時間!$A$5:$A$353=作業体系表!$B25)*(③労働時間!$B$5:$B$353="7月上旬")*(③労働時間!$J$5:$J$353))</f>
        <v>0</v>
      </c>
      <c r="W25" s="373">
        <f>SUMPRODUCT((③労働時間!$A$5:$A$353=作業体系表!$B25)*(③労働時間!$B$5:$B$353="7月中旬")*(③労働時間!$J$5:$J$353))</f>
        <v>0</v>
      </c>
      <c r="X25" s="373">
        <f>SUMPRODUCT((③労働時間!$A$5:$A$353=作業体系表!$B25)*(③労働時間!$B$5:$B$353="7月下旬")*(③労働時間!$J$5:$J$353))</f>
        <v>0</v>
      </c>
      <c r="Y25" s="373">
        <f>SUMPRODUCT((③労働時間!$A$5:$A$353=作業体系表!$B25)*(③労働時間!$B$5:$B$353="8月上旬")*(③労働時間!$J$5:$J$353))</f>
        <v>0</v>
      </c>
      <c r="Z25" s="373">
        <f>SUMPRODUCT((③労働時間!$A$5:$A$353=作業体系表!$B25)*(③労働時間!$B$5:$B$353="8月中旬")*(③労働時間!$J$5:$J$353))</f>
        <v>0</v>
      </c>
      <c r="AA25" s="373">
        <f>SUMPRODUCT((③労働時間!$A$5:$A$353=作業体系表!$B25)*(③労働時間!$B$5:$B$353="8月下旬")*(③労働時間!$J$5:$J$353))</f>
        <v>0</v>
      </c>
      <c r="AB25" s="374">
        <f>SUMPRODUCT((③労働時間!$A$5:$A$353=作業体系表!$B25)*(③労働時間!$B$5:$B$353="9月上旬")*(③労働時間!$J$5:$J$353))</f>
        <v>0</v>
      </c>
      <c r="AC25" s="373">
        <f>SUMPRODUCT((③労働時間!$A$5:$A$353=作業体系表!$B25)*(③労働時間!$B$5:$B$353="9月中旬")*(③労働時間!$J$5:$J$353))</f>
        <v>0</v>
      </c>
      <c r="AD25" s="373">
        <f>SUMPRODUCT((③労働時間!$A$5:$A$353=作業体系表!$B25)*(③労働時間!$B$5:$B$353="9月下旬")*(③労働時間!$J$5:$J$353))</f>
        <v>0</v>
      </c>
      <c r="AE25" s="373">
        <f>SUMPRODUCT((③労働時間!$A$5:$A$353=作業体系表!$B25)*(③労働時間!$B$5:$B$353="10月上旬")*(③労働時間!$J$5:$J$353))</f>
        <v>0</v>
      </c>
      <c r="AF25" s="373">
        <f>SUMPRODUCT((③労働時間!$A$5:$A$353=作業体系表!$B25)*(③労働時間!$B$5:$B$353="10月中旬")*(③労働時間!$J$5:$J$353))</f>
        <v>0</v>
      </c>
      <c r="AG25" s="373">
        <f>SUMPRODUCT((③労働時間!$A$5:$A$353=作業体系表!$B25)*(③労働時間!$B$5:$B$353="10月下旬")*(③労働時間!$J$5:$J$353))</f>
        <v>0</v>
      </c>
      <c r="AH25" s="373">
        <f>SUMPRODUCT((③労働時間!$A$5:$A$353=作業体系表!$B25)*(③労働時間!$B$5:$B$353="11月上旬")*(③労働時間!$J$5:$J$353))</f>
        <v>0</v>
      </c>
      <c r="AI25" s="373">
        <f>SUMPRODUCT((③労働時間!$A$5:$A$353=作業体系表!$B25)*(③労働時間!$B$5:$B$353="11月中旬")*(③労働時間!$J$5:$J$353))</f>
        <v>0</v>
      </c>
      <c r="AJ25" s="373">
        <f>SUMPRODUCT((③労働時間!$A$5:$A$353=作業体系表!$B25)*(③労働時間!$B$5:$B$353="11月下旬")*(③労働時間!$J$5:$J$353))</f>
        <v>0</v>
      </c>
      <c r="AK25" s="373">
        <f>SUMPRODUCT((③労働時間!$A$5:$A$353=作業体系表!$B25)*(③労働時間!$B$5:$B$353="12月上旬")*(③労働時間!$J$5:$J$353))</f>
        <v>0</v>
      </c>
      <c r="AL25" s="373">
        <f>SUMPRODUCT((③労働時間!$A$5:$A$353=作業体系表!$B25)*(③労働時間!$B$5:$B$353="12月中旬")*(③労働時間!$J$5:$J$353))</f>
        <v>0</v>
      </c>
      <c r="AM25" s="375">
        <f>SUMPRODUCT((③労働時間!$A$5:$A$353=作業体系表!$B25)*(③労働時間!$B$5:$B$353="12月下旬")*(③労働時間!$J$5:$J$353))</f>
        <v>0</v>
      </c>
      <c r="AN25" s="376">
        <f t="shared" si="0"/>
        <v>0.30259017187121751</v>
      </c>
    </row>
    <row r="26" spans="2:40" ht="15" customHeight="1">
      <c r="B26" s="788" t="str">
        <f>①技術体系!A23</f>
        <v>播種</v>
      </c>
      <c r="C26" s="789"/>
      <c r="D26" s="373">
        <f>SUMPRODUCT((③労働時間!$A$5:$A$353=作業体系表!$B26)*(③労働時間!$B$5:$B$353="1月上旬")*(③労働時間!$J$5:$J$353))</f>
        <v>0</v>
      </c>
      <c r="E26" s="373">
        <f>SUMPRODUCT((③労働時間!$A$5:$A$353=作業体系表!$B26)*(③労働時間!$B$5:$B$353="1月中旬")*(③労働時間!$J$5:$J$353))</f>
        <v>0</v>
      </c>
      <c r="F26" s="373">
        <f>SUMPRODUCT((③労働時間!$A$5:$A$353=作業体系表!$B26)*(③労働時間!$B$5:$B$353="1月下旬")*(③労働時間!$J$5:$J$353))</f>
        <v>0</v>
      </c>
      <c r="G26" s="373">
        <f>SUMPRODUCT((③労働時間!$A$5:$A$353=作業体系表!$B26)*(③労働時間!$B$5:$B$353="2月上旬")*(③労働時間!$J$5:$J$353))</f>
        <v>0</v>
      </c>
      <c r="H26" s="373">
        <f>SUMPRODUCT((③労働時間!$A$5:$A$353=作業体系表!$B26)*(③労働時間!$B$5:$B$353="2月中旬")*(③労働時間!$J$5:$J$353))</f>
        <v>0</v>
      </c>
      <c r="I26" s="373">
        <f>SUMPRODUCT((③労働時間!$A$5:$A$353=作業体系表!$B26)*(③労働時間!$B$5:$B$353="2月下旬")*(③労働時間!$J$5:$J$353))</f>
        <v>0</v>
      </c>
      <c r="J26" s="373">
        <f>SUMPRODUCT((③労働時間!$A$5:$A$353=作業体系表!$B26)*(③労働時間!$B$5:$B$353="3月上旬")*(③労働時間!$J$5:$J$353))</f>
        <v>0</v>
      </c>
      <c r="K26" s="373">
        <f>SUMPRODUCT((③労働時間!$A$5:$A$353=作業体系表!$B26)*(③労働時間!$B$5:$B$353="3月中旬")*(③労働時間!$J$5:$J$353))</f>
        <v>0</v>
      </c>
      <c r="L26" s="373">
        <f>SUMPRODUCT((③労働時間!$A$5:$A$353=作業体系表!$B26)*(③労働時間!$B$5:$B$353="3月下旬")*(③労働時間!$J$5:$J$353))</f>
        <v>0</v>
      </c>
      <c r="M26" s="373">
        <f>SUMPRODUCT((③労働時間!$A$5:$A$353=作業体系表!$B26)*(③労働時間!$B$5:$B$353="4月上旬")*(③労働時間!$J$5:$J$353))</f>
        <v>0</v>
      </c>
      <c r="N26" s="373">
        <f>SUMPRODUCT((③労働時間!$A$5:$A$353=作業体系表!$B26)*(③労働時間!$B$5:$B$353="4月中旬")*(③労働時間!$J$5:$J$353))</f>
        <v>0</v>
      </c>
      <c r="O26" s="373">
        <f>SUMPRODUCT((③労働時間!$A$5:$A$353=作業体系表!$B26)*(③労働時間!$B$5:$B$353="4月下旬")*(③労働時間!$J$5:$J$353))</f>
        <v>0</v>
      </c>
      <c r="P26" s="374">
        <f>SUMPRODUCT((③労働時間!$A$5:$A$353=作業体系表!$B26)*(③労働時間!$B$5:$B$353="5月上旬")*(③労働時間!$J$5:$J$353))</f>
        <v>0</v>
      </c>
      <c r="Q26" s="373">
        <f>SUMPRODUCT((③労働時間!$A$5:$A$353=作業体系表!$B26)*(③労働時間!$B$5:$B$353="5月中旬")*(③労働時間!$J$5:$J$353))</f>
        <v>0.7</v>
      </c>
      <c r="R26" s="373">
        <f>SUMPRODUCT((③労働時間!$A$5:$A$353=作業体系表!$B26)*(③労働時間!$B$5:$B$353="5月下旬")*(③労働時間!$J$5:$J$353))</f>
        <v>0</v>
      </c>
      <c r="S26" s="373">
        <f>SUMPRODUCT((③労働時間!$A$5:$A$353=作業体系表!$B26)*(③労働時間!$B$5:$B$353="6月上旬")*(③労働時間!$J$5:$J$353))</f>
        <v>0</v>
      </c>
      <c r="T26" s="373">
        <f>SUMPRODUCT((③労働時間!$A$5:$A$353=作業体系表!$B26)*(③労働時間!$B$5:$B$353="6月中旬")*(③労働時間!$J$5:$J$353))</f>
        <v>0</v>
      </c>
      <c r="U26" s="373">
        <f>SUMPRODUCT((③労働時間!$A$5:$A$353=作業体系表!$B26)*(③労働時間!$B$5:$B$353="6月下旬")*(③労働時間!$J$5:$J$353))</f>
        <v>0</v>
      </c>
      <c r="V26" s="373">
        <f>SUMPRODUCT((③労働時間!$A$5:$A$353=作業体系表!$B26)*(③労働時間!$B$5:$B$353="7月上旬")*(③労働時間!$J$5:$J$353))</f>
        <v>0</v>
      </c>
      <c r="W26" s="373">
        <f>SUMPRODUCT((③労働時間!$A$5:$A$353=作業体系表!$B26)*(③労働時間!$B$5:$B$353="7月中旬")*(③労働時間!$J$5:$J$353))</f>
        <v>0</v>
      </c>
      <c r="X26" s="373">
        <f>SUMPRODUCT((③労働時間!$A$5:$A$353=作業体系表!$B26)*(③労働時間!$B$5:$B$353="7月下旬")*(③労働時間!$J$5:$J$353))</f>
        <v>0</v>
      </c>
      <c r="Y26" s="373">
        <f>SUMPRODUCT((③労働時間!$A$5:$A$353=作業体系表!$B26)*(③労働時間!$B$5:$B$353="8月上旬")*(③労働時間!$J$5:$J$353))</f>
        <v>0</v>
      </c>
      <c r="Z26" s="373">
        <f>SUMPRODUCT((③労働時間!$A$5:$A$353=作業体系表!$B26)*(③労働時間!$B$5:$B$353="8月中旬")*(③労働時間!$J$5:$J$353))</f>
        <v>0</v>
      </c>
      <c r="AA26" s="373">
        <f>SUMPRODUCT((③労働時間!$A$5:$A$353=作業体系表!$B26)*(③労働時間!$B$5:$B$353="8月下旬")*(③労働時間!$J$5:$J$353))</f>
        <v>0</v>
      </c>
      <c r="AB26" s="374">
        <f>SUMPRODUCT((③労働時間!$A$5:$A$353=作業体系表!$B26)*(③労働時間!$B$5:$B$353="9月上旬")*(③労働時間!$J$5:$J$353))</f>
        <v>0</v>
      </c>
      <c r="AC26" s="373">
        <f>SUMPRODUCT((③労働時間!$A$5:$A$353=作業体系表!$B26)*(③労働時間!$B$5:$B$353="9月中旬")*(③労働時間!$J$5:$J$353))</f>
        <v>0</v>
      </c>
      <c r="AD26" s="373">
        <f>SUMPRODUCT((③労働時間!$A$5:$A$353=作業体系表!$B26)*(③労働時間!$B$5:$B$353="9月下旬")*(③労働時間!$J$5:$J$353))</f>
        <v>0</v>
      </c>
      <c r="AE26" s="373">
        <f>SUMPRODUCT((③労働時間!$A$5:$A$353=作業体系表!$B26)*(③労働時間!$B$5:$B$353="10月上旬")*(③労働時間!$J$5:$J$353))</f>
        <v>0</v>
      </c>
      <c r="AF26" s="373">
        <f>SUMPRODUCT((③労働時間!$A$5:$A$353=作業体系表!$B26)*(③労働時間!$B$5:$B$353="10月中旬")*(③労働時間!$J$5:$J$353))</f>
        <v>0</v>
      </c>
      <c r="AG26" s="373">
        <f>SUMPRODUCT((③労働時間!$A$5:$A$353=作業体系表!$B26)*(③労働時間!$B$5:$B$353="10月下旬")*(③労働時間!$J$5:$J$353))</f>
        <v>0</v>
      </c>
      <c r="AH26" s="373">
        <f>SUMPRODUCT((③労働時間!$A$5:$A$353=作業体系表!$B26)*(③労働時間!$B$5:$B$353="11月上旬")*(③労働時間!$J$5:$J$353))</f>
        <v>0</v>
      </c>
      <c r="AI26" s="373">
        <f>SUMPRODUCT((③労働時間!$A$5:$A$353=作業体系表!$B26)*(③労働時間!$B$5:$B$353="11月中旬")*(③労働時間!$J$5:$J$353))</f>
        <v>0</v>
      </c>
      <c r="AJ26" s="373">
        <f>SUMPRODUCT((③労働時間!$A$5:$A$353=作業体系表!$B26)*(③労働時間!$B$5:$B$353="11月下旬")*(③労働時間!$J$5:$J$353))</f>
        <v>0</v>
      </c>
      <c r="AK26" s="373">
        <f>SUMPRODUCT((③労働時間!$A$5:$A$353=作業体系表!$B26)*(③労働時間!$B$5:$B$353="12月上旬")*(③労働時間!$J$5:$J$353))</f>
        <v>0</v>
      </c>
      <c r="AL26" s="373">
        <f>SUMPRODUCT((③労働時間!$A$5:$A$353=作業体系表!$B26)*(③労働時間!$B$5:$B$353="12月中旬")*(③労働時間!$J$5:$J$353))</f>
        <v>0</v>
      </c>
      <c r="AM26" s="375">
        <f>SUMPRODUCT((③労働時間!$A$5:$A$353=作業体系表!$B26)*(③労働時間!$B$5:$B$353="12月下旬")*(③労働時間!$J$5:$J$353))</f>
        <v>0</v>
      </c>
      <c r="AN26" s="376">
        <f t="shared" si="0"/>
        <v>0.7</v>
      </c>
    </row>
    <row r="27" spans="2:40" ht="15" customHeight="1">
      <c r="B27" s="788" t="str">
        <f>①技術体系!A24</f>
        <v>育苗</v>
      </c>
      <c r="C27" s="789"/>
      <c r="D27" s="373">
        <f>SUMPRODUCT((③労働時間!$A$5:$A$353=作業体系表!$B27)*(③労働時間!$B$5:$B$353="1月上旬")*(③労働時間!$J$5:$J$353))</f>
        <v>0</v>
      </c>
      <c r="E27" s="373">
        <f>SUMPRODUCT((③労働時間!$A$5:$A$353=作業体系表!$B27)*(③労働時間!$B$5:$B$353="1月中旬")*(③労働時間!$J$5:$J$353))</f>
        <v>0</v>
      </c>
      <c r="F27" s="373">
        <f>SUMPRODUCT((③労働時間!$A$5:$A$353=作業体系表!$B27)*(③労働時間!$B$5:$B$353="1月下旬")*(③労働時間!$J$5:$J$353))</f>
        <v>0</v>
      </c>
      <c r="G27" s="373">
        <f>SUMPRODUCT((③労働時間!$A$5:$A$353=作業体系表!$B27)*(③労働時間!$B$5:$B$353="2月上旬")*(③労働時間!$J$5:$J$353))</f>
        <v>0</v>
      </c>
      <c r="H27" s="373">
        <f>SUMPRODUCT((③労働時間!$A$5:$A$353=作業体系表!$B27)*(③労働時間!$B$5:$B$353="2月中旬")*(③労働時間!$J$5:$J$353))</f>
        <v>0</v>
      </c>
      <c r="I27" s="373">
        <f>SUMPRODUCT((③労働時間!$A$5:$A$353=作業体系表!$B27)*(③労働時間!$B$5:$B$353="2月下旬")*(③労働時間!$J$5:$J$353))</f>
        <v>0</v>
      </c>
      <c r="J27" s="373">
        <f>SUMPRODUCT((③労働時間!$A$5:$A$353=作業体系表!$B27)*(③労働時間!$B$5:$B$353="3月上旬")*(③労働時間!$J$5:$J$353))</f>
        <v>0</v>
      </c>
      <c r="K27" s="373">
        <f>SUMPRODUCT((③労働時間!$A$5:$A$353=作業体系表!$B27)*(③労働時間!$B$5:$B$353="3月中旬")*(③労働時間!$J$5:$J$353))</f>
        <v>0</v>
      </c>
      <c r="L27" s="373">
        <f>SUMPRODUCT((③労働時間!$A$5:$A$353=作業体系表!$B27)*(③労働時間!$B$5:$B$353="3月下旬")*(③労働時間!$J$5:$J$353))</f>
        <v>0</v>
      </c>
      <c r="M27" s="373">
        <f>SUMPRODUCT((③労働時間!$A$5:$A$353=作業体系表!$B27)*(③労働時間!$B$5:$B$353="4月上旬")*(③労働時間!$J$5:$J$353))</f>
        <v>0</v>
      </c>
      <c r="N27" s="373">
        <f>SUMPRODUCT((③労働時間!$A$5:$A$353=作業体系表!$B27)*(③労働時間!$B$5:$B$353="4月中旬")*(③労働時間!$J$5:$J$353))</f>
        <v>0</v>
      </c>
      <c r="O27" s="373">
        <f>SUMPRODUCT((③労働時間!$A$5:$A$353=作業体系表!$B27)*(③労働時間!$B$5:$B$353="4月下旬")*(③労働時間!$J$5:$J$353))</f>
        <v>0</v>
      </c>
      <c r="P27" s="374">
        <f>SUMPRODUCT((③労働時間!$A$5:$A$353=作業体系表!$B27)*(③労働時間!$B$5:$B$353="5月上旬")*(③労働時間!$J$5:$J$353))</f>
        <v>0</v>
      </c>
      <c r="Q27" s="373">
        <f>SUMPRODUCT((③労働時間!$A$5:$A$353=作業体系表!$B27)*(③労働時間!$B$5:$B$353="5月中旬")*(③労働時間!$J$5:$J$353))</f>
        <v>1</v>
      </c>
      <c r="R27" s="373">
        <f>SUMPRODUCT((③労働時間!$A$5:$A$353=作業体系表!$B27)*(③労働時間!$B$5:$B$353="5月下旬")*(③労働時間!$J$5:$J$353))</f>
        <v>1.1000000000000001</v>
      </c>
      <c r="S27" s="373">
        <f>SUMPRODUCT((③労働時間!$A$5:$A$353=作業体系表!$B27)*(③労働時間!$B$5:$B$353="6月上旬")*(③労働時間!$J$5:$J$353))</f>
        <v>1</v>
      </c>
      <c r="T27" s="373">
        <f>SUMPRODUCT((③労働時間!$A$5:$A$353=作業体系表!$B27)*(③労働時間!$B$5:$B$353="6月中旬")*(③労働時間!$J$5:$J$353))</f>
        <v>0</v>
      </c>
      <c r="U27" s="373">
        <f>SUMPRODUCT((③労働時間!$A$5:$A$353=作業体系表!$B27)*(③労働時間!$B$5:$B$353="6月下旬")*(③労働時間!$J$5:$J$353))</f>
        <v>0</v>
      </c>
      <c r="V27" s="373">
        <f>SUMPRODUCT((③労働時間!$A$5:$A$353=作業体系表!$B27)*(③労働時間!$B$5:$B$353="7月上旬")*(③労働時間!$J$5:$J$353))</f>
        <v>0</v>
      </c>
      <c r="W27" s="373">
        <f>SUMPRODUCT((③労働時間!$A$5:$A$353=作業体系表!$B27)*(③労働時間!$B$5:$B$353="7月中旬")*(③労働時間!$J$5:$J$353))</f>
        <v>0</v>
      </c>
      <c r="X27" s="373">
        <f>SUMPRODUCT((③労働時間!$A$5:$A$353=作業体系表!$B27)*(③労働時間!$B$5:$B$353="7月下旬")*(③労働時間!$J$5:$J$353))</f>
        <v>0</v>
      </c>
      <c r="Y27" s="373">
        <f>SUMPRODUCT((③労働時間!$A$5:$A$353=作業体系表!$B27)*(③労働時間!$B$5:$B$353="8月上旬")*(③労働時間!$J$5:$J$353))</f>
        <v>0</v>
      </c>
      <c r="Z27" s="373">
        <f>SUMPRODUCT((③労働時間!$A$5:$A$353=作業体系表!$B27)*(③労働時間!$B$5:$B$353="8月中旬")*(③労働時間!$J$5:$J$353))</f>
        <v>0</v>
      </c>
      <c r="AA27" s="373">
        <f>SUMPRODUCT((③労働時間!$A$5:$A$353=作業体系表!$B27)*(③労働時間!$B$5:$B$353="8月下旬")*(③労働時間!$J$5:$J$353))</f>
        <v>0</v>
      </c>
      <c r="AB27" s="374">
        <f>SUMPRODUCT((③労働時間!$A$5:$A$353=作業体系表!$B27)*(③労働時間!$B$5:$B$353="9月上旬")*(③労働時間!$J$5:$J$353))</f>
        <v>0</v>
      </c>
      <c r="AC27" s="373">
        <f>SUMPRODUCT((③労働時間!$A$5:$A$353=作業体系表!$B27)*(③労働時間!$B$5:$B$353="9月中旬")*(③労働時間!$J$5:$J$353))</f>
        <v>0</v>
      </c>
      <c r="AD27" s="373">
        <f>SUMPRODUCT((③労働時間!$A$5:$A$353=作業体系表!$B27)*(③労働時間!$B$5:$B$353="9月下旬")*(③労働時間!$J$5:$J$353))</f>
        <v>0</v>
      </c>
      <c r="AE27" s="373">
        <f>SUMPRODUCT((③労働時間!$A$5:$A$353=作業体系表!$B27)*(③労働時間!$B$5:$B$353="10月上旬")*(③労働時間!$J$5:$J$353))</f>
        <v>0</v>
      </c>
      <c r="AF27" s="373">
        <f>SUMPRODUCT((③労働時間!$A$5:$A$353=作業体系表!$B27)*(③労働時間!$B$5:$B$353="10月中旬")*(③労働時間!$J$5:$J$353))</f>
        <v>0</v>
      </c>
      <c r="AG27" s="373">
        <f>SUMPRODUCT((③労働時間!$A$5:$A$353=作業体系表!$B27)*(③労働時間!$B$5:$B$353="10月下旬")*(③労働時間!$J$5:$J$353))</f>
        <v>0</v>
      </c>
      <c r="AH27" s="373">
        <f>SUMPRODUCT((③労働時間!$A$5:$A$353=作業体系表!$B27)*(③労働時間!$B$5:$B$353="11月上旬")*(③労働時間!$J$5:$J$353))</f>
        <v>0</v>
      </c>
      <c r="AI27" s="373">
        <f>SUMPRODUCT((③労働時間!$A$5:$A$353=作業体系表!$B27)*(③労働時間!$B$5:$B$353="11月中旬")*(③労働時間!$J$5:$J$353))</f>
        <v>0</v>
      </c>
      <c r="AJ27" s="373">
        <f>SUMPRODUCT((③労働時間!$A$5:$A$353=作業体系表!$B27)*(③労働時間!$B$5:$B$353="11月下旬")*(③労働時間!$J$5:$J$353))</f>
        <v>0</v>
      </c>
      <c r="AK27" s="373">
        <f>SUMPRODUCT((③労働時間!$A$5:$A$353=作業体系表!$B27)*(③労働時間!$B$5:$B$353="12月上旬")*(③労働時間!$J$5:$J$353))</f>
        <v>0</v>
      </c>
      <c r="AL27" s="373">
        <f>SUMPRODUCT((③労働時間!$A$5:$A$353=作業体系表!$B27)*(③労働時間!$B$5:$B$353="12月中旬")*(③労働時間!$J$5:$J$353))</f>
        <v>0</v>
      </c>
      <c r="AM27" s="375">
        <f>SUMPRODUCT((③労働時間!$A$5:$A$353=作業体系表!$B27)*(③労働時間!$B$5:$B$353="12月下旬")*(③労働時間!$J$5:$J$353))</f>
        <v>0</v>
      </c>
      <c r="AN27" s="376">
        <f t="shared" si="0"/>
        <v>3.1</v>
      </c>
    </row>
    <row r="28" spans="2:40" ht="15" customHeight="1">
      <c r="B28" s="788" t="str">
        <f>①技術体系!A25</f>
        <v>代かき</v>
      </c>
      <c r="C28" s="789"/>
      <c r="D28" s="373">
        <f>SUMPRODUCT((③労働時間!$A$5:$A$353=作業体系表!$B28)*(③労働時間!$B$5:$B$353="1月上旬")*(③労働時間!$J$5:$J$353))</f>
        <v>0</v>
      </c>
      <c r="E28" s="373">
        <f>SUMPRODUCT((③労働時間!$A$5:$A$353=作業体系表!$B28)*(③労働時間!$B$5:$B$353="1月中旬")*(③労働時間!$J$5:$J$353))</f>
        <v>0</v>
      </c>
      <c r="F28" s="373">
        <f>SUMPRODUCT((③労働時間!$A$5:$A$353=作業体系表!$B28)*(③労働時間!$B$5:$B$353="1月下旬")*(③労働時間!$J$5:$J$353))</f>
        <v>0</v>
      </c>
      <c r="G28" s="373">
        <f>SUMPRODUCT((③労働時間!$A$5:$A$353=作業体系表!$B28)*(③労働時間!$B$5:$B$353="2月上旬")*(③労働時間!$J$5:$J$353))</f>
        <v>0</v>
      </c>
      <c r="H28" s="373">
        <f>SUMPRODUCT((③労働時間!$A$5:$A$353=作業体系表!$B28)*(③労働時間!$B$5:$B$353="2月中旬")*(③労働時間!$J$5:$J$353))</f>
        <v>0</v>
      </c>
      <c r="I28" s="373">
        <f>SUMPRODUCT((③労働時間!$A$5:$A$353=作業体系表!$B28)*(③労働時間!$B$5:$B$353="2月下旬")*(③労働時間!$J$5:$J$353))</f>
        <v>0</v>
      </c>
      <c r="J28" s="373">
        <f>SUMPRODUCT((③労働時間!$A$5:$A$353=作業体系表!$B28)*(③労働時間!$B$5:$B$353="3月上旬")*(③労働時間!$J$5:$J$353))</f>
        <v>0</v>
      </c>
      <c r="K28" s="373">
        <f>SUMPRODUCT((③労働時間!$A$5:$A$353=作業体系表!$B28)*(③労働時間!$B$5:$B$353="3月中旬")*(③労働時間!$J$5:$J$353))</f>
        <v>0</v>
      </c>
      <c r="L28" s="373">
        <f>SUMPRODUCT((③労働時間!$A$5:$A$353=作業体系表!$B28)*(③労働時間!$B$5:$B$353="3月下旬")*(③労働時間!$J$5:$J$353))</f>
        <v>0</v>
      </c>
      <c r="M28" s="373">
        <f>SUMPRODUCT((③労働時間!$A$5:$A$353=作業体系表!$B28)*(③労働時間!$B$5:$B$353="4月上旬")*(③労働時間!$J$5:$J$353))</f>
        <v>0</v>
      </c>
      <c r="N28" s="373">
        <f>SUMPRODUCT((③労働時間!$A$5:$A$353=作業体系表!$B28)*(③労働時間!$B$5:$B$353="4月中旬")*(③労働時間!$J$5:$J$353))</f>
        <v>0</v>
      </c>
      <c r="O28" s="373">
        <f>SUMPRODUCT((③労働時間!$A$5:$A$353=作業体系表!$B28)*(③労働時間!$B$5:$B$353="4月下旬")*(③労働時間!$J$5:$J$353))</f>
        <v>0</v>
      </c>
      <c r="P28" s="374">
        <f>SUMPRODUCT((③労働時間!$A$5:$A$353=作業体系表!$B28)*(③労働時間!$B$5:$B$353="5月上旬")*(③労働時間!$J$5:$J$353))</f>
        <v>0</v>
      </c>
      <c r="Q28" s="373">
        <f>SUMPRODUCT((③労働時間!$A$5:$A$353=作業体系表!$B28)*(③労働時間!$B$5:$B$353="5月中旬")*(③労働時間!$J$5:$J$353))</f>
        <v>0</v>
      </c>
      <c r="R28" s="373">
        <f>SUMPRODUCT((③労働時間!$A$5:$A$353=作業体系表!$B28)*(③労働時間!$B$5:$B$353="5月下旬")*(③労働時間!$J$5:$J$353))</f>
        <v>0.15151515151515149</v>
      </c>
      <c r="S28" s="373">
        <f>SUMPRODUCT((③労働時間!$A$5:$A$353=作業体系表!$B28)*(③労働時間!$B$5:$B$353="6月上旬")*(③労働時間!$J$5:$J$353))</f>
        <v>0.15151515151515149</v>
      </c>
      <c r="T28" s="373">
        <f>SUMPRODUCT((③労働時間!$A$5:$A$353=作業体系表!$B28)*(③労働時間!$B$5:$B$353="6月中旬")*(③労働時間!$J$5:$J$353))</f>
        <v>0</v>
      </c>
      <c r="U28" s="373">
        <f>SUMPRODUCT((③労働時間!$A$5:$A$353=作業体系表!$B28)*(③労働時間!$B$5:$B$353="6月下旬")*(③労働時間!$J$5:$J$353))</f>
        <v>0</v>
      </c>
      <c r="V28" s="373">
        <f>SUMPRODUCT((③労働時間!$A$5:$A$353=作業体系表!$B28)*(③労働時間!$B$5:$B$353="7月上旬")*(③労働時間!$J$5:$J$353))</f>
        <v>0</v>
      </c>
      <c r="W28" s="373">
        <f>SUMPRODUCT((③労働時間!$A$5:$A$353=作業体系表!$B28)*(③労働時間!$B$5:$B$353="7月中旬")*(③労働時間!$J$5:$J$353))</f>
        <v>0</v>
      </c>
      <c r="X28" s="373">
        <f>SUMPRODUCT((③労働時間!$A$5:$A$353=作業体系表!$B28)*(③労働時間!$B$5:$B$353="7月下旬")*(③労働時間!$J$5:$J$353))</f>
        <v>0</v>
      </c>
      <c r="Y28" s="373">
        <f>SUMPRODUCT((③労働時間!$A$5:$A$353=作業体系表!$B28)*(③労働時間!$B$5:$B$353="8月上旬")*(③労働時間!$J$5:$J$353))</f>
        <v>0</v>
      </c>
      <c r="Z28" s="373">
        <f>SUMPRODUCT((③労働時間!$A$5:$A$353=作業体系表!$B28)*(③労働時間!$B$5:$B$353="8月中旬")*(③労働時間!$J$5:$J$353))</f>
        <v>0</v>
      </c>
      <c r="AA28" s="373">
        <f>SUMPRODUCT((③労働時間!$A$5:$A$353=作業体系表!$B28)*(③労働時間!$B$5:$B$353="8月下旬")*(③労働時間!$J$5:$J$353))</f>
        <v>0</v>
      </c>
      <c r="AB28" s="374">
        <f>SUMPRODUCT((③労働時間!$A$5:$A$353=作業体系表!$B28)*(③労働時間!$B$5:$B$353="9月上旬")*(③労働時間!$J$5:$J$353))</f>
        <v>0</v>
      </c>
      <c r="AC28" s="373">
        <f>SUMPRODUCT((③労働時間!$A$5:$A$353=作業体系表!$B28)*(③労働時間!$B$5:$B$353="9月中旬")*(③労働時間!$J$5:$J$353))</f>
        <v>0</v>
      </c>
      <c r="AD28" s="373">
        <f>SUMPRODUCT((③労働時間!$A$5:$A$353=作業体系表!$B28)*(③労働時間!$B$5:$B$353="9月下旬")*(③労働時間!$J$5:$J$353))</f>
        <v>0</v>
      </c>
      <c r="AE28" s="373">
        <f>SUMPRODUCT((③労働時間!$A$5:$A$353=作業体系表!$B28)*(③労働時間!$B$5:$B$353="10月上旬")*(③労働時間!$J$5:$J$353))</f>
        <v>0</v>
      </c>
      <c r="AF28" s="373">
        <f>SUMPRODUCT((③労働時間!$A$5:$A$353=作業体系表!$B28)*(③労働時間!$B$5:$B$353="10月中旬")*(③労働時間!$J$5:$J$353))</f>
        <v>0</v>
      </c>
      <c r="AG28" s="373">
        <f>SUMPRODUCT((③労働時間!$A$5:$A$353=作業体系表!$B28)*(③労働時間!$B$5:$B$353="10月下旬")*(③労働時間!$J$5:$J$353))</f>
        <v>0</v>
      </c>
      <c r="AH28" s="373">
        <f>SUMPRODUCT((③労働時間!$A$5:$A$353=作業体系表!$B28)*(③労働時間!$B$5:$B$353="11月上旬")*(③労働時間!$J$5:$J$353))</f>
        <v>0</v>
      </c>
      <c r="AI28" s="373">
        <f>SUMPRODUCT((③労働時間!$A$5:$A$353=作業体系表!$B28)*(③労働時間!$B$5:$B$353="11月中旬")*(③労働時間!$J$5:$J$353))</f>
        <v>0</v>
      </c>
      <c r="AJ28" s="373">
        <f>SUMPRODUCT((③労働時間!$A$5:$A$353=作業体系表!$B28)*(③労働時間!$B$5:$B$353="11月下旬")*(③労働時間!$J$5:$J$353))</f>
        <v>0</v>
      </c>
      <c r="AK28" s="373">
        <f>SUMPRODUCT((③労働時間!$A$5:$A$353=作業体系表!$B28)*(③労働時間!$B$5:$B$353="12月上旬")*(③労働時間!$J$5:$J$353))</f>
        <v>0</v>
      </c>
      <c r="AL28" s="373">
        <f>SUMPRODUCT((③労働時間!$A$5:$A$353=作業体系表!$B28)*(③労働時間!$B$5:$B$353="12月中旬")*(③労働時間!$J$5:$J$353))</f>
        <v>0</v>
      </c>
      <c r="AM28" s="375">
        <f>SUMPRODUCT((③労働時間!$A$5:$A$353=作業体系表!$B28)*(③労働時間!$B$5:$B$353="12月下旬")*(③労働時間!$J$5:$J$353))</f>
        <v>0</v>
      </c>
      <c r="AN28" s="376">
        <f t="shared" ref="AN28:AN39" si="1">SUM(D28:AM28)</f>
        <v>0.30303030303030298</v>
      </c>
    </row>
    <row r="29" spans="2:40" ht="15" customHeight="1">
      <c r="B29" s="788" t="str">
        <f>①技術体系!A26</f>
        <v>苗運搬</v>
      </c>
      <c r="C29" s="789"/>
      <c r="D29" s="373">
        <f>SUMPRODUCT((③労働時間!$A$5:$A$353=作業体系表!$B29)*(③労働時間!$B$5:$B$353="1月上旬")*(③労働時間!$J$5:$J$353))</f>
        <v>0</v>
      </c>
      <c r="E29" s="373">
        <f>SUMPRODUCT((③労働時間!$A$5:$A$353=作業体系表!$B29)*(③労働時間!$B$5:$B$353="1月中旬")*(③労働時間!$J$5:$J$353))</f>
        <v>0</v>
      </c>
      <c r="F29" s="373">
        <f>SUMPRODUCT((③労働時間!$A$5:$A$353=作業体系表!$B29)*(③労働時間!$B$5:$B$353="1月下旬")*(③労働時間!$J$5:$J$353))</f>
        <v>0</v>
      </c>
      <c r="G29" s="373">
        <f>SUMPRODUCT((③労働時間!$A$5:$A$353=作業体系表!$B29)*(③労働時間!$B$5:$B$353="2月上旬")*(③労働時間!$J$5:$J$353))</f>
        <v>0</v>
      </c>
      <c r="H29" s="373">
        <f>SUMPRODUCT((③労働時間!$A$5:$A$353=作業体系表!$B29)*(③労働時間!$B$5:$B$353="2月中旬")*(③労働時間!$J$5:$J$353))</f>
        <v>0</v>
      </c>
      <c r="I29" s="373">
        <f>SUMPRODUCT((③労働時間!$A$5:$A$353=作業体系表!$B29)*(③労働時間!$B$5:$B$353="2月下旬")*(③労働時間!$J$5:$J$353))</f>
        <v>0</v>
      </c>
      <c r="J29" s="373">
        <f>SUMPRODUCT((③労働時間!$A$5:$A$353=作業体系表!$B29)*(③労働時間!$B$5:$B$353="3月上旬")*(③労働時間!$J$5:$J$353))</f>
        <v>0</v>
      </c>
      <c r="K29" s="373">
        <f>SUMPRODUCT((③労働時間!$A$5:$A$353=作業体系表!$B29)*(③労働時間!$B$5:$B$353="3月中旬")*(③労働時間!$J$5:$J$353))</f>
        <v>0</v>
      </c>
      <c r="L29" s="373">
        <f>SUMPRODUCT((③労働時間!$A$5:$A$353=作業体系表!$B29)*(③労働時間!$B$5:$B$353="3月下旬")*(③労働時間!$J$5:$J$353))</f>
        <v>0</v>
      </c>
      <c r="M29" s="373">
        <f>SUMPRODUCT((③労働時間!$A$5:$A$353=作業体系表!$B29)*(③労働時間!$B$5:$B$353="4月上旬")*(③労働時間!$J$5:$J$353))</f>
        <v>0</v>
      </c>
      <c r="N29" s="373">
        <f>SUMPRODUCT((③労働時間!$A$5:$A$353=作業体系表!$B29)*(③労働時間!$B$5:$B$353="4月中旬")*(③労働時間!$J$5:$J$353))</f>
        <v>0</v>
      </c>
      <c r="O29" s="373">
        <f>SUMPRODUCT((③労働時間!$A$5:$A$353=作業体系表!$B29)*(③労働時間!$B$5:$B$353="4月下旬")*(③労働時間!$J$5:$J$353))</f>
        <v>0</v>
      </c>
      <c r="P29" s="374">
        <f>SUMPRODUCT((③労働時間!$A$5:$A$353=作業体系表!$B29)*(③労働時間!$B$5:$B$353="5月上旬")*(③労働時間!$J$5:$J$353))</f>
        <v>0</v>
      </c>
      <c r="Q29" s="373">
        <f>SUMPRODUCT((③労働時間!$A$5:$A$353=作業体系表!$B29)*(③労働時間!$B$5:$B$353="5月中旬")*(③労働時間!$J$5:$J$353))</f>
        <v>0</v>
      </c>
      <c r="R29" s="373">
        <f>SUMPRODUCT((③労働時間!$A$5:$A$353=作業体系表!$B29)*(③労働時間!$B$5:$B$353="5月下旬")*(③労働時間!$J$5:$J$353))</f>
        <v>0</v>
      </c>
      <c r="S29" s="373">
        <f>SUMPRODUCT((③労働時間!$A$5:$A$353=作業体系表!$B29)*(③労働時間!$B$5:$B$353="6月上旬")*(③労働時間!$J$5:$J$353))</f>
        <v>0.3</v>
      </c>
      <c r="T29" s="373">
        <f>SUMPRODUCT((③労働時間!$A$5:$A$353=作業体系表!$B29)*(③労働時間!$B$5:$B$353="6月中旬")*(③労働時間!$J$5:$J$353))</f>
        <v>0</v>
      </c>
      <c r="U29" s="373">
        <f>SUMPRODUCT((③労働時間!$A$5:$A$353=作業体系表!$B29)*(③労働時間!$B$5:$B$353="6月下旬")*(③労働時間!$J$5:$J$353))</f>
        <v>0</v>
      </c>
      <c r="V29" s="373">
        <f>SUMPRODUCT((③労働時間!$A$5:$A$353=作業体系表!$B29)*(③労働時間!$B$5:$B$353="7月上旬")*(③労働時間!$J$5:$J$353))</f>
        <v>0</v>
      </c>
      <c r="W29" s="373">
        <f>SUMPRODUCT((③労働時間!$A$5:$A$353=作業体系表!$B29)*(③労働時間!$B$5:$B$353="7月中旬")*(③労働時間!$J$5:$J$353))</f>
        <v>0</v>
      </c>
      <c r="X29" s="373">
        <f>SUMPRODUCT((③労働時間!$A$5:$A$353=作業体系表!$B29)*(③労働時間!$B$5:$B$353="7月下旬")*(③労働時間!$J$5:$J$353))</f>
        <v>0</v>
      </c>
      <c r="Y29" s="373">
        <f>SUMPRODUCT((③労働時間!$A$5:$A$353=作業体系表!$B29)*(③労働時間!$B$5:$B$353="8月上旬")*(③労働時間!$J$5:$J$353))</f>
        <v>0</v>
      </c>
      <c r="Z29" s="373">
        <f>SUMPRODUCT((③労働時間!$A$5:$A$353=作業体系表!$B29)*(③労働時間!$B$5:$B$353="8月中旬")*(③労働時間!$J$5:$J$353))</f>
        <v>0</v>
      </c>
      <c r="AA29" s="373">
        <f>SUMPRODUCT((③労働時間!$A$5:$A$353=作業体系表!$B29)*(③労働時間!$B$5:$B$353="8月下旬")*(③労働時間!$J$5:$J$353))</f>
        <v>0</v>
      </c>
      <c r="AB29" s="374">
        <f>SUMPRODUCT((③労働時間!$A$5:$A$353=作業体系表!$B29)*(③労働時間!$B$5:$B$353="9月上旬")*(③労働時間!$J$5:$J$353))</f>
        <v>0</v>
      </c>
      <c r="AC29" s="373">
        <f>SUMPRODUCT((③労働時間!$A$5:$A$353=作業体系表!$B29)*(③労働時間!$B$5:$B$353="9月中旬")*(③労働時間!$J$5:$J$353))</f>
        <v>0</v>
      </c>
      <c r="AD29" s="373">
        <f>SUMPRODUCT((③労働時間!$A$5:$A$353=作業体系表!$B29)*(③労働時間!$B$5:$B$353="9月下旬")*(③労働時間!$J$5:$J$353))</f>
        <v>0</v>
      </c>
      <c r="AE29" s="373">
        <f>SUMPRODUCT((③労働時間!$A$5:$A$353=作業体系表!$B29)*(③労働時間!$B$5:$B$353="10月上旬")*(③労働時間!$J$5:$J$353))</f>
        <v>0</v>
      </c>
      <c r="AF29" s="373">
        <f>SUMPRODUCT((③労働時間!$A$5:$A$353=作業体系表!$B29)*(③労働時間!$B$5:$B$353="10月中旬")*(③労働時間!$J$5:$J$353))</f>
        <v>0</v>
      </c>
      <c r="AG29" s="373">
        <f>SUMPRODUCT((③労働時間!$A$5:$A$353=作業体系表!$B29)*(③労働時間!$B$5:$B$353="10月下旬")*(③労働時間!$J$5:$J$353))</f>
        <v>0</v>
      </c>
      <c r="AH29" s="373">
        <f>SUMPRODUCT((③労働時間!$A$5:$A$353=作業体系表!$B29)*(③労働時間!$B$5:$B$353="11月上旬")*(③労働時間!$J$5:$J$353))</f>
        <v>0</v>
      </c>
      <c r="AI29" s="373">
        <f>SUMPRODUCT((③労働時間!$A$5:$A$353=作業体系表!$B29)*(③労働時間!$B$5:$B$353="11月中旬")*(③労働時間!$J$5:$J$353))</f>
        <v>0</v>
      </c>
      <c r="AJ29" s="373">
        <f>SUMPRODUCT((③労働時間!$A$5:$A$353=作業体系表!$B29)*(③労働時間!$B$5:$B$353="11月下旬")*(③労働時間!$J$5:$J$353))</f>
        <v>0</v>
      </c>
      <c r="AK29" s="373">
        <f>SUMPRODUCT((③労働時間!$A$5:$A$353=作業体系表!$B29)*(③労働時間!$B$5:$B$353="12月上旬")*(③労働時間!$J$5:$J$353))</f>
        <v>0</v>
      </c>
      <c r="AL29" s="373">
        <f>SUMPRODUCT((③労働時間!$A$5:$A$353=作業体系表!$B29)*(③労働時間!$B$5:$B$353="12月中旬")*(③労働時間!$J$5:$J$353))</f>
        <v>0</v>
      </c>
      <c r="AM29" s="375">
        <f>SUMPRODUCT((③労働時間!$A$5:$A$353=作業体系表!$B29)*(③労働時間!$B$5:$B$353="12月下旬")*(③労働時間!$J$5:$J$353))</f>
        <v>0</v>
      </c>
      <c r="AN29" s="376">
        <f t="shared" si="1"/>
        <v>0.3</v>
      </c>
    </row>
    <row r="30" spans="2:40" ht="15" customHeight="1">
      <c r="B30" s="788" t="str">
        <f>①技術体系!A27</f>
        <v>箱施用</v>
      </c>
      <c r="C30" s="789"/>
      <c r="D30" s="373">
        <f>SUMPRODUCT((③労働時間!$A$5:$A$353=作業体系表!$B30)*(③労働時間!$B$5:$B$353="1月上旬")*(③労働時間!$J$5:$J$353))</f>
        <v>0</v>
      </c>
      <c r="E30" s="373">
        <f>SUMPRODUCT((③労働時間!$A$5:$A$353=作業体系表!$B30)*(③労働時間!$B$5:$B$353="1月中旬")*(③労働時間!$J$5:$J$353))</f>
        <v>0</v>
      </c>
      <c r="F30" s="373">
        <f>SUMPRODUCT((③労働時間!$A$5:$A$353=作業体系表!$B30)*(③労働時間!$B$5:$B$353="1月下旬")*(③労働時間!$J$5:$J$353))</f>
        <v>0</v>
      </c>
      <c r="G30" s="373">
        <f>SUMPRODUCT((③労働時間!$A$5:$A$353=作業体系表!$B30)*(③労働時間!$B$5:$B$353="2月上旬")*(③労働時間!$J$5:$J$353))</f>
        <v>0</v>
      </c>
      <c r="H30" s="373">
        <f>SUMPRODUCT((③労働時間!$A$5:$A$353=作業体系表!$B30)*(③労働時間!$B$5:$B$353="2月中旬")*(③労働時間!$J$5:$J$353))</f>
        <v>0</v>
      </c>
      <c r="I30" s="373">
        <f>SUMPRODUCT((③労働時間!$A$5:$A$353=作業体系表!$B30)*(③労働時間!$B$5:$B$353="2月下旬")*(③労働時間!$J$5:$J$353))</f>
        <v>0</v>
      </c>
      <c r="J30" s="373">
        <f>SUMPRODUCT((③労働時間!$A$5:$A$353=作業体系表!$B30)*(③労働時間!$B$5:$B$353="3月上旬")*(③労働時間!$J$5:$J$353))</f>
        <v>0</v>
      </c>
      <c r="K30" s="373">
        <f>SUMPRODUCT((③労働時間!$A$5:$A$353=作業体系表!$B30)*(③労働時間!$B$5:$B$353="3月中旬")*(③労働時間!$J$5:$J$353))</f>
        <v>0</v>
      </c>
      <c r="L30" s="373">
        <f>SUMPRODUCT((③労働時間!$A$5:$A$353=作業体系表!$B30)*(③労働時間!$B$5:$B$353="3月下旬")*(③労働時間!$J$5:$J$353))</f>
        <v>0</v>
      </c>
      <c r="M30" s="373">
        <f>SUMPRODUCT((③労働時間!$A$5:$A$353=作業体系表!$B30)*(③労働時間!$B$5:$B$353="4月上旬")*(③労働時間!$J$5:$J$353))</f>
        <v>0</v>
      </c>
      <c r="N30" s="373">
        <f>SUMPRODUCT((③労働時間!$A$5:$A$353=作業体系表!$B30)*(③労働時間!$B$5:$B$353="4月中旬")*(③労働時間!$J$5:$J$353))</f>
        <v>0</v>
      </c>
      <c r="O30" s="373">
        <f>SUMPRODUCT((③労働時間!$A$5:$A$353=作業体系表!$B30)*(③労働時間!$B$5:$B$353="4月下旬")*(③労働時間!$J$5:$J$353))</f>
        <v>0</v>
      </c>
      <c r="P30" s="374">
        <f>SUMPRODUCT((③労働時間!$A$5:$A$353=作業体系表!$B30)*(③労働時間!$B$5:$B$353="5月上旬")*(③労働時間!$J$5:$J$353))</f>
        <v>0</v>
      </c>
      <c r="Q30" s="373">
        <f>SUMPRODUCT((③労働時間!$A$5:$A$353=作業体系表!$B30)*(③労働時間!$B$5:$B$353="5月中旬")*(③労働時間!$J$5:$J$353))</f>
        <v>0</v>
      </c>
      <c r="R30" s="373">
        <f>SUMPRODUCT((③労働時間!$A$5:$A$353=作業体系表!$B30)*(③労働時間!$B$5:$B$353="5月下旬")*(③労働時間!$J$5:$J$353))</f>
        <v>0</v>
      </c>
      <c r="S30" s="373">
        <f>SUMPRODUCT((③労働時間!$A$5:$A$353=作業体系表!$B30)*(③労働時間!$B$5:$B$353="6月上旬")*(③労働時間!$J$5:$J$353))</f>
        <v>0.1</v>
      </c>
      <c r="T30" s="373">
        <f>SUMPRODUCT((③労働時間!$A$5:$A$353=作業体系表!$B30)*(③労働時間!$B$5:$B$353="6月中旬")*(③労働時間!$J$5:$J$353))</f>
        <v>0</v>
      </c>
      <c r="U30" s="373">
        <f>SUMPRODUCT((③労働時間!$A$5:$A$353=作業体系表!$B30)*(③労働時間!$B$5:$B$353="6月下旬")*(③労働時間!$J$5:$J$353))</f>
        <v>0</v>
      </c>
      <c r="V30" s="373">
        <f>SUMPRODUCT((③労働時間!$A$5:$A$353=作業体系表!$B30)*(③労働時間!$B$5:$B$353="7月上旬")*(③労働時間!$J$5:$J$353))</f>
        <v>0</v>
      </c>
      <c r="W30" s="373">
        <f>SUMPRODUCT((③労働時間!$A$5:$A$353=作業体系表!$B30)*(③労働時間!$B$5:$B$353="7月中旬")*(③労働時間!$J$5:$J$353))</f>
        <v>0</v>
      </c>
      <c r="X30" s="373">
        <f>SUMPRODUCT((③労働時間!$A$5:$A$353=作業体系表!$B30)*(③労働時間!$B$5:$B$353="7月下旬")*(③労働時間!$J$5:$J$353))</f>
        <v>0</v>
      </c>
      <c r="Y30" s="373">
        <f>SUMPRODUCT((③労働時間!$A$5:$A$353=作業体系表!$B30)*(③労働時間!$B$5:$B$353="8月上旬")*(③労働時間!$J$5:$J$353))</f>
        <v>0</v>
      </c>
      <c r="Z30" s="373">
        <f>SUMPRODUCT((③労働時間!$A$5:$A$353=作業体系表!$B30)*(③労働時間!$B$5:$B$353="8月中旬")*(③労働時間!$J$5:$J$353))</f>
        <v>0</v>
      </c>
      <c r="AA30" s="373">
        <f>SUMPRODUCT((③労働時間!$A$5:$A$353=作業体系表!$B30)*(③労働時間!$B$5:$B$353="8月下旬")*(③労働時間!$J$5:$J$353))</f>
        <v>0</v>
      </c>
      <c r="AB30" s="374">
        <f>SUMPRODUCT((③労働時間!$A$5:$A$353=作業体系表!$B30)*(③労働時間!$B$5:$B$353="9月上旬")*(③労働時間!$J$5:$J$353))</f>
        <v>0</v>
      </c>
      <c r="AC30" s="373">
        <f>SUMPRODUCT((③労働時間!$A$5:$A$353=作業体系表!$B30)*(③労働時間!$B$5:$B$353="9月中旬")*(③労働時間!$J$5:$J$353))</f>
        <v>0</v>
      </c>
      <c r="AD30" s="373">
        <f>SUMPRODUCT((③労働時間!$A$5:$A$353=作業体系表!$B30)*(③労働時間!$B$5:$B$353="9月下旬")*(③労働時間!$J$5:$J$353))</f>
        <v>0</v>
      </c>
      <c r="AE30" s="373">
        <f>SUMPRODUCT((③労働時間!$A$5:$A$353=作業体系表!$B30)*(③労働時間!$B$5:$B$353="10月上旬")*(③労働時間!$J$5:$J$353))</f>
        <v>0</v>
      </c>
      <c r="AF30" s="373">
        <f>SUMPRODUCT((③労働時間!$A$5:$A$353=作業体系表!$B30)*(③労働時間!$B$5:$B$353="10月中旬")*(③労働時間!$J$5:$J$353))</f>
        <v>0</v>
      </c>
      <c r="AG30" s="373">
        <f>SUMPRODUCT((③労働時間!$A$5:$A$353=作業体系表!$B30)*(③労働時間!$B$5:$B$353="10月下旬")*(③労働時間!$J$5:$J$353))</f>
        <v>0</v>
      </c>
      <c r="AH30" s="373">
        <f>SUMPRODUCT((③労働時間!$A$5:$A$353=作業体系表!$B30)*(③労働時間!$B$5:$B$353="11月上旬")*(③労働時間!$J$5:$J$353))</f>
        <v>0</v>
      </c>
      <c r="AI30" s="373">
        <f>SUMPRODUCT((③労働時間!$A$5:$A$353=作業体系表!$B30)*(③労働時間!$B$5:$B$353="11月中旬")*(③労働時間!$J$5:$J$353))</f>
        <v>0</v>
      </c>
      <c r="AJ30" s="373">
        <f>SUMPRODUCT((③労働時間!$A$5:$A$353=作業体系表!$B30)*(③労働時間!$B$5:$B$353="11月下旬")*(③労働時間!$J$5:$J$353))</f>
        <v>0</v>
      </c>
      <c r="AK30" s="373">
        <f>SUMPRODUCT((③労働時間!$A$5:$A$353=作業体系表!$B30)*(③労働時間!$B$5:$B$353="12月上旬")*(③労働時間!$J$5:$J$353))</f>
        <v>0</v>
      </c>
      <c r="AL30" s="373">
        <f>SUMPRODUCT((③労働時間!$A$5:$A$353=作業体系表!$B30)*(③労働時間!$B$5:$B$353="12月中旬")*(③労働時間!$J$5:$J$353))</f>
        <v>0</v>
      </c>
      <c r="AM30" s="375">
        <f>SUMPRODUCT((③労働時間!$A$5:$A$353=作業体系表!$B30)*(③労働時間!$B$5:$B$353="12月下旬")*(③労働時間!$J$5:$J$353))</f>
        <v>0</v>
      </c>
      <c r="AN30" s="376">
        <f t="shared" si="1"/>
        <v>0.1</v>
      </c>
    </row>
    <row r="31" spans="2:40" ht="15" customHeight="1">
      <c r="B31" s="788" t="str">
        <f>①技術体系!A28</f>
        <v>移植・施肥</v>
      </c>
      <c r="C31" s="789"/>
      <c r="D31" s="373">
        <f>SUMPRODUCT((③労働時間!$A$5:$A$353=作業体系表!$B31)*(③労働時間!$B$5:$B$353="1月上旬")*(③労働時間!$J$5:$J$353))</f>
        <v>0</v>
      </c>
      <c r="E31" s="373">
        <f>SUMPRODUCT((③労働時間!$A$5:$A$353=作業体系表!$B31)*(③労働時間!$B$5:$B$353="1月中旬")*(③労働時間!$J$5:$J$353))</f>
        <v>0</v>
      </c>
      <c r="F31" s="373">
        <f>SUMPRODUCT((③労働時間!$A$5:$A$353=作業体系表!$B31)*(③労働時間!$B$5:$B$353="1月下旬")*(③労働時間!$J$5:$J$353))</f>
        <v>0</v>
      </c>
      <c r="G31" s="373">
        <f>SUMPRODUCT((③労働時間!$A$5:$A$353=作業体系表!$B31)*(③労働時間!$B$5:$B$353="2月上旬")*(③労働時間!$J$5:$J$353))</f>
        <v>0</v>
      </c>
      <c r="H31" s="373">
        <f>SUMPRODUCT((③労働時間!$A$5:$A$353=作業体系表!$B31)*(③労働時間!$B$5:$B$353="2月中旬")*(③労働時間!$J$5:$J$353))</f>
        <v>0</v>
      </c>
      <c r="I31" s="373">
        <f>SUMPRODUCT((③労働時間!$A$5:$A$353=作業体系表!$B31)*(③労働時間!$B$5:$B$353="2月下旬")*(③労働時間!$J$5:$J$353))</f>
        <v>0</v>
      </c>
      <c r="J31" s="373">
        <f>SUMPRODUCT((③労働時間!$A$5:$A$353=作業体系表!$B31)*(③労働時間!$B$5:$B$353="3月上旬")*(③労働時間!$J$5:$J$353))</f>
        <v>0</v>
      </c>
      <c r="K31" s="373">
        <f>SUMPRODUCT((③労働時間!$A$5:$A$353=作業体系表!$B31)*(③労働時間!$B$5:$B$353="3月中旬")*(③労働時間!$J$5:$J$353))</f>
        <v>0</v>
      </c>
      <c r="L31" s="373">
        <f>SUMPRODUCT((③労働時間!$A$5:$A$353=作業体系表!$B31)*(③労働時間!$B$5:$B$353="3月下旬")*(③労働時間!$J$5:$J$353))</f>
        <v>0</v>
      </c>
      <c r="M31" s="373">
        <f>SUMPRODUCT((③労働時間!$A$5:$A$353=作業体系表!$B31)*(③労働時間!$B$5:$B$353="4月上旬")*(③労働時間!$J$5:$J$353))</f>
        <v>0</v>
      </c>
      <c r="N31" s="373">
        <f>SUMPRODUCT((③労働時間!$A$5:$A$353=作業体系表!$B31)*(③労働時間!$B$5:$B$353="4月中旬")*(③労働時間!$J$5:$J$353))</f>
        <v>0</v>
      </c>
      <c r="O31" s="373">
        <f>SUMPRODUCT((③労働時間!$A$5:$A$353=作業体系表!$B31)*(③労働時間!$B$5:$B$353="4月下旬")*(③労働時間!$J$5:$J$353))</f>
        <v>0</v>
      </c>
      <c r="P31" s="374">
        <f>SUMPRODUCT((③労働時間!$A$5:$A$353=作業体系表!$B31)*(③労働時間!$B$5:$B$353="5月上旬")*(③労働時間!$J$5:$J$353))</f>
        <v>0</v>
      </c>
      <c r="Q31" s="373">
        <f>SUMPRODUCT((③労働時間!$A$5:$A$353=作業体系表!$B31)*(③労働時間!$B$5:$B$353="5月中旬")*(③労働時間!$J$5:$J$353))</f>
        <v>0</v>
      </c>
      <c r="R31" s="373">
        <f>SUMPRODUCT((③労働時間!$A$5:$A$353=作業体系表!$B31)*(③労働時間!$B$5:$B$353="5月下旬")*(③労働時間!$J$5:$J$353))</f>
        <v>0</v>
      </c>
      <c r="S31" s="373">
        <f>SUMPRODUCT((③労働時間!$A$5:$A$353=作業体系表!$B31)*(③労働時間!$B$5:$B$353="6月上旬")*(③労働時間!$J$5:$J$353))</f>
        <v>0.4</v>
      </c>
      <c r="T31" s="373">
        <f>SUMPRODUCT((③労働時間!$A$5:$A$353=作業体系表!$B31)*(③労働時間!$B$5:$B$353="6月中旬")*(③労働時間!$J$5:$J$353))</f>
        <v>0</v>
      </c>
      <c r="U31" s="373">
        <f>SUMPRODUCT((③労働時間!$A$5:$A$353=作業体系表!$B31)*(③労働時間!$B$5:$B$353="6月下旬")*(③労働時間!$J$5:$J$353))</f>
        <v>0</v>
      </c>
      <c r="V31" s="373">
        <f>SUMPRODUCT((③労働時間!$A$5:$A$353=作業体系表!$B31)*(③労働時間!$B$5:$B$353="7月上旬")*(③労働時間!$J$5:$J$353))</f>
        <v>0</v>
      </c>
      <c r="W31" s="373">
        <f>SUMPRODUCT((③労働時間!$A$5:$A$353=作業体系表!$B31)*(③労働時間!$B$5:$B$353="7月中旬")*(③労働時間!$J$5:$J$353))</f>
        <v>0</v>
      </c>
      <c r="X31" s="373">
        <f>SUMPRODUCT((③労働時間!$A$5:$A$353=作業体系表!$B31)*(③労働時間!$B$5:$B$353="7月下旬")*(③労働時間!$J$5:$J$353))</f>
        <v>0</v>
      </c>
      <c r="Y31" s="373">
        <f>SUMPRODUCT((③労働時間!$A$5:$A$353=作業体系表!$B31)*(③労働時間!$B$5:$B$353="8月上旬")*(③労働時間!$J$5:$J$353))</f>
        <v>0</v>
      </c>
      <c r="Z31" s="373">
        <f>SUMPRODUCT((③労働時間!$A$5:$A$353=作業体系表!$B31)*(③労働時間!$B$5:$B$353="8月中旬")*(③労働時間!$J$5:$J$353))</f>
        <v>0</v>
      </c>
      <c r="AA31" s="373">
        <f>SUMPRODUCT((③労働時間!$A$5:$A$353=作業体系表!$B31)*(③労働時間!$B$5:$B$353="8月下旬")*(③労働時間!$J$5:$J$353))</f>
        <v>0</v>
      </c>
      <c r="AB31" s="374">
        <f>SUMPRODUCT((③労働時間!$A$5:$A$353=作業体系表!$B31)*(③労働時間!$B$5:$B$353="9月上旬")*(③労働時間!$J$5:$J$353))</f>
        <v>0</v>
      </c>
      <c r="AC31" s="373">
        <f>SUMPRODUCT((③労働時間!$A$5:$A$353=作業体系表!$B31)*(③労働時間!$B$5:$B$353="9月中旬")*(③労働時間!$J$5:$J$353))</f>
        <v>0</v>
      </c>
      <c r="AD31" s="373">
        <f>SUMPRODUCT((③労働時間!$A$5:$A$353=作業体系表!$B31)*(③労働時間!$B$5:$B$353="9月下旬")*(③労働時間!$J$5:$J$353))</f>
        <v>0</v>
      </c>
      <c r="AE31" s="373">
        <f>SUMPRODUCT((③労働時間!$A$5:$A$353=作業体系表!$B31)*(③労働時間!$B$5:$B$353="10月上旬")*(③労働時間!$J$5:$J$353))</f>
        <v>0</v>
      </c>
      <c r="AF31" s="373">
        <f>SUMPRODUCT((③労働時間!$A$5:$A$353=作業体系表!$B31)*(③労働時間!$B$5:$B$353="10月中旬")*(③労働時間!$J$5:$J$353))</f>
        <v>0</v>
      </c>
      <c r="AG31" s="373">
        <f>SUMPRODUCT((③労働時間!$A$5:$A$353=作業体系表!$B31)*(③労働時間!$B$5:$B$353="10月下旬")*(③労働時間!$J$5:$J$353))</f>
        <v>0</v>
      </c>
      <c r="AH31" s="373">
        <f>SUMPRODUCT((③労働時間!$A$5:$A$353=作業体系表!$B31)*(③労働時間!$B$5:$B$353="11月上旬")*(③労働時間!$J$5:$J$353))</f>
        <v>0</v>
      </c>
      <c r="AI31" s="373">
        <f>SUMPRODUCT((③労働時間!$A$5:$A$353=作業体系表!$B31)*(③労働時間!$B$5:$B$353="11月中旬")*(③労働時間!$J$5:$J$353))</f>
        <v>0</v>
      </c>
      <c r="AJ31" s="373">
        <f>SUMPRODUCT((③労働時間!$A$5:$A$353=作業体系表!$B31)*(③労働時間!$B$5:$B$353="11月下旬")*(③労働時間!$J$5:$J$353))</f>
        <v>0</v>
      </c>
      <c r="AK31" s="373">
        <f>SUMPRODUCT((③労働時間!$A$5:$A$353=作業体系表!$B31)*(③労働時間!$B$5:$B$353="12月上旬")*(③労働時間!$J$5:$J$353))</f>
        <v>0</v>
      </c>
      <c r="AL31" s="373">
        <f>SUMPRODUCT((③労働時間!$A$5:$A$353=作業体系表!$B31)*(③労働時間!$B$5:$B$353="12月中旬")*(③労働時間!$J$5:$J$353))</f>
        <v>0</v>
      </c>
      <c r="AM31" s="375">
        <f>SUMPRODUCT((③労働時間!$A$5:$A$353=作業体系表!$B31)*(③労働時間!$B$5:$B$353="12月下旬")*(③労働時間!$J$5:$J$353))</f>
        <v>0</v>
      </c>
      <c r="AN31" s="376">
        <f t="shared" si="1"/>
        <v>0.4</v>
      </c>
    </row>
    <row r="32" spans="2:40" ht="15" customHeight="1">
      <c r="B32" s="788" t="str">
        <f>①技術体系!A29</f>
        <v>移植・施肥補助</v>
      </c>
      <c r="C32" s="789"/>
      <c r="D32" s="373">
        <f>SUMPRODUCT((③労働時間!$A$5:$A$353=作業体系表!$B32)*(③労働時間!$B$5:$B$353="1月上旬")*(③労働時間!$J$5:$J$353))</f>
        <v>0</v>
      </c>
      <c r="E32" s="373">
        <f>SUMPRODUCT((③労働時間!$A$5:$A$353=作業体系表!$B32)*(③労働時間!$B$5:$B$353="1月中旬")*(③労働時間!$J$5:$J$353))</f>
        <v>0</v>
      </c>
      <c r="F32" s="373">
        <f>SUMPRODUCT((③労働時間!$A$5:$A$353=作業体系表!$B32)*(③労働時間!$B$5:$B$353="1月下旬")*(③労働時間!$J$5:$J$353))</f>
        <v>0</v>
      </c>
      <c r="G32" s="373">
        <f>SUMPRODUCT((③労働時間!$A$5:$A$353=作業体系表!$B32)*(③労働時間!$B$5:$B$353="2月上旬")*(③労働時間!$J$5:$J$353))</f>
        <v>0</v>
      </c>
      <c r="H32" s="373">
        <f>SUMPRODUCT((③労働時間!$A$5:$A$353=作業体系表!$B32)*(③労働時間!$B$5:$B$353="2月中旬")*(③労働時間!$J$5:$J$353))</f>
        <v>0</v>
      </c>
      <c r="I32" s="373">
        <f>SUMPRODUCT((③労働時間!$A$5:$A$353=作業体系表!$B32)*(③労働時間!$B$5:$B$353="2月下旬")*(③労働時間!$J$5:$J$353))</f>
        <v>0</v>
      </c>
      <c r="J32" s="373">
        <f>SUMPRODUCT((③労働時間!$A$5:$A$353=作業体系表!$B32)*(③労働時間!$B$5:$B$353="3月上旬")*(③労働時間!$J$5:$J$353))</f>
        <v>0</v>
      </c>
      <c r="K32" s="373">
        <f>SUMPRODUCT((③労働時間!$A$5:$A$353=作業体系表!$B32)*(③労働時間!$B$5:$B$353="3月中旬")*(③労働時間!$J$5:$J$353))</f>
        <v>0</v>
      </c>
      <c r="L32" s="373">
        <f>SUMPRODUCT((③労働時間!$A$5:$A$353=作業体系表!$B32)*(③労働時間!$B$5:$B$353="3月下旬")*(③労働時間!$J$5:$J$353))</f>
        <v>0</v>
      </c>
      <c r="M32" s="373">
        <f>SUMPRODUCT((③労働時間!$A$5:$A$353=作業体系表!$B32)*(③労働時間!$B$5:$B$353="4月上旬")*(③労働時間!$J$5:$J$353))</f>
        <v>0</v>
      </c>
      <c r="N32" s="373">
        <f>SUMPRODUCT((③労働時間!$A$5:$A$353=作業体系表!$B32)*(③労働時間!$B$5:$B$353="4月中旬")*(③労働時間!$J$5:$J$353))</f>
        <v>0</v>
      </c>
      <c r="O32" s="373">
        <f>SUMPRODUCT((③労働時間!$A$5:$A$353=作業体系表!$B32)*(③労働時間!$B$5:$B$353="4月下旬")*(③労働時間!$J$5:$J$353))</f>
        <v>0</v>
      </c>
      <c r="P32" s="374">
        <f>SUMPRODUCT((③労働時間!$A$5:$A$353=作業体系表!$B32)*(③労働時間!$B$5:$B$353="5月上旬")*(③労働時間!$J$5:$J$353))</f>
        <v>0</v>
      </c>
      <c r="Q32" s="373">
        <f>SUMPRODUCT((③労働時間!$A$5:$A$353=作業体系表!$B32)*(③労働時間!$B$5:$B$353="5月中旬")*(③労働時間!$J$5:$J$353))</f>
        <v>0</v>
      </c>
      <c r="R32" s="373">
        <f>SUMPRODUCT((③労働時間!$A$5:$A$353=作業体系表!$B32)*(③労働時間!$B$5:$B$353="5月下旬")*(③労働時間!$J$5:$J$353))</f>
        <v>0</v>
      </c>
      <c r="S32" s="373">
        <f>SUMPRODUCT((③労働時間!$A$5:$A$353=作業体系表!$B32)*(③労働時間!$B$5:$B$353="6月上旬")*(③労働時間!$J$5:$J$353))</f>
        <v>0.2</v>
      </c>
      <c r="T32" s="373">
        <f>SUMPRODUCT((③労働時間!$A$5:$A$353=作業体系表!$B32)*(③労働時間!$B$5:$B$353="6月中旬")*(③労働時間!$J$5:$J$353))</f>
        <v>0</v>
      </c>
      <c r="U32" s="373">
        <f>SUMPRODUCT((③労働時間!$A$5:$A$353=作業体系表!$B32)*(③労働時間!$B$5:$B$353="6月下旬")*(③労働時間!$J$5:$J$353))</f>
        <v>0</v>
      </c>
      <c r="V32" s="373">
        <f>SUMPRODUCT((③労働時間!$A$5:$A$353=作業体系表!$B32)*(③労働時間!$B$5:$B$353="7月上旬")*(③労働時間!$J$5:$J$353))</f>
        <v>0</v>
      </c>
      <c r="W32" s="373">
        <f>SUMPRODUCT((③労働時間!$A$5:$A$353=作業体系表!$B32)*(③労働時間!$B$5:$B$353="7月中旬")*(③労働時間!$J$5:$J$353))</f>
        <v>0</v>
      </c>
      <c r="X32" s="373">
        <f>SUMPRODUCT((③労働時間!$A$5:$A$353=作業体系表!$B32)*(③労働時間!$B$5:$B$353="7月下旬")*(③労働時間!$J$5:$J$353))</f>
        <v>0</v>
      </c>
      <c r="Y32" s="373">
        <f>SUMPRODUCT((③労働時間!$A$5:$A$353=作業体系表!$B32)*(③労働時間!$B$5:$B$353="8月上旬")*(③労働時間!$J$5:$J$353))</f>
        <v>0</v>
      </c>
      <c r="Z32" s="373">
        <f>SUMPRODUCT((③労働時間!$A$5:$A$353=作業体系表!$B32)*(③労働時間!$B$5:$B$353="8月中旬")*(③労働時間!$J$5:$J$353))</f>
        <v>0</v>
      </c>
      <c r="AA32" s="373">
        <f>SUMPRODUCT((③労働時間!$A$5:$A$353=作業体系表!$B32)*(③労働時間!$B$5:$B$353="8月下旬")*(③労働時間!$J$5:$J$353))</f>
        <v>0</v>
      </c>
      <c r="AB32" s="374">
        <f>SUMPRODUCT((③労働時間!$A$5:$A$353=作業体系表!$B32)*(③労働時間!$B$5:$B$353="9月上旬")*(③労働時間!$J$5:$J$353))</f>
        <v>0</v>
      </c>
      <c r="AC32" s="373">
        <f>SUMPRODUCT((③労働時間!$A$5:$A$353=作業体系表!$B32)*(③労働時間!$B$5:$B$353="9月中旬")*(③労働時間!$J$5:$J$353))</f>
        <v>0</v>
      </c>
      <c r="AD32" s="373">
        <f>SUMPRODUCT((③労働時間!$A$5:$A$353=作業体系表!$B32)*(③労働時間!$B$5:$B$353="9月下旬")*(③労働時間!$J$5:$J$353))</f>
        <v>0</v>
      </c>
      <c r="AE32" s="373">
        <f>SUMPRODUCT((③労働時間!$A$5:$A$353=作業体系表!$B32)*(③労働時間!$B$5:$B$353="10月上旬")*(③労働時間!$J$5:$J$353))</f>
        <v>0</v>
      </c>
      <c r="AF32" s="373">
        <f>SUMPRODUCT((③労働時間!$A$5:$A$353=作業体系表!$B32)*(③労働時間!$B$5:$B$353="10月中旬")*(③労働時間!$J$5:$J$353))</f>
        <v>0</v>
      </c>
      <c r="AG32" s="373">
        <f>SUMPRODUCT((③労働時間!$A$5:$A$353=作業体系表!$B32)*(③労働時間!$B$5:$B$353="10月下旬")*(③労働時間!$J$5:$J$353))</f>
        <v>0</v>
      </c>
      <c r="AH32" s="373">
        <f>SUMPRODUCT((③労働時間!$A$5:$A$353=作業体系表!$B32)*(③労働時間!$B$5:$B$353="11月上旬")*(③労働時間!$J$5:$J$353))</f>
        <v>0</v>
      </c>
      <c r="AI32" s="373">
        <f>SUMPRODUCT((③労働時間!$A$5:$A$353=作業体系表!$B32)*(③労働時間!$B$5:$B$353="11月中旬")*(③労働時間!$J$5:$J$353))</f>
        <v>0</v>
      </c>
      <c r="AJ32" s="373">
        <f>SUMPRODUCT((③労働時間!$A$5:$A$353=作業体系表!$B32)*(③労働時間!$B$5:$B$353="11月下旬")*(③労働時間!$J$5:$J$353))</f>
        <v>0</v>
      </c>
      <c r="AK32" s="373">
        <f>SUMPRODUCT((③労働時間!$A$5:$A$353=作業体系表!$B32)*(③労働時間!$B$5:$B$353="12月上旬")*(③労働時間!$J$5:$J$353))</f>
        <v>0</v>
      </c>
      <c r="AL32" s="373">
        <f>SUMPRODUCT((③労働時間!$A$5:$A$353=作業体系表!$B32)*(③労働時間!$B$5:$B$353="12月中旬")*(③労働時間!$J$5:$J$353))</f>
        <v>0</v>
      </c>
      <c r="AM32" s="375">
        <f>SUMPRODUCT((③労働時間!$A$5:$A$353=作業体系表!$B32)*(③労働時間!$B$5:$B$353="12月下旬")*(③労働時間!$J$5:$J$353))</f>
        <v>0</v>
      </c>
      <c r="AN32" s="376">
        <f t="shared" si="1"/>
        <v>0.2</v>
      </c>
    </row>
    <row r="33" spans="2:40" ht="15" customHeight="1">
      <c r="B33" s="788" t="str">
        <f>①技術体系!A30</f>
        <v>水管理</v>
      </c>
      <c r="C33" s="789"/>
      <c r="D33" s="373">
        <f>SUMPRODUCT((③労働時間!$A$5:$A$353=作業体系表!$B33)*(③労働時間!$B$5:$B$353="1月上旬")*(③労働時間!$J$5:$J$353))</f>
        <v>0</v>
      </c>
      <c r="E33" s="373">
        <f>SUMPRODUCT((③労働時間!$A$5:$A$353=作業体系表!$B33)*(③労働時間!$B$5:$B$353="1月中旬")*(③労働時間!$J$5:$J$353))</f>
        <v>0</v>
      </c>
      <c r="F33" s="373">
        <f>SUMPRODUCT((③労働時間!$A$5:$A$353=作業体系表!$B33)*(③労働時間!$B$5:$B$353="1月下旬")*(③労働時間!$J$5:$J$353))</f>
        <v>0</v>
      </c>
      <c r="G33" s="373">
        <f>SUMPRODUCT((③労働時間!$A$5:$A$353=作業体系表!$B33)*(③労働時間!$B$5:$B$353="2月上旬")*(③労働時間!$J$5:$J$353))</f>
        <v>0</v>
      </c>
      <c r="H33" s="373">
        <f>SUMPRODUCT((③労働時間!$A$5:$A$353=作業体系表!$B33)*(③労働時間!$B$5:$B$353="2月中旬")*(③労働時間!$J$5:$J$353))</f>
        <v>0</v>
      </c>
      <c r="I33" s="373">
        <f>SUMPRODUCT((③労働時間!$A$5:$A$353=作業体系表!$B33)*(③労働時間!$B$5:$B$353="2月下旬")*(③労働時間!$J$5:$J$353))</f>
        <v>0</v>
      </c>
      <c r="J33" s="373">
        <f>SUMPRODUCT((③労働時間!$A$5:$A$353=作業体系表!$B33)*(③労働時間!$B$5:$B$353="3月上旬")*(③労働時間!$J$5:$J$353))</f>
        <v>0</v>
      </c>
      <c r="K33" s="373">
        <f>SUMPRODUCT((③労働時間!$A$5:$A$353=作業体系表!$B33)*(③労働時間!$B$5:$B$353="3月中旬")*(③労働時間!$J$5:$J$353))</f>
        <v>0</v>
      </c>
      <c r="L33" s="373">
        <f>SUMPRODUCT((③労働時間!$A$5:$A$353=作業体系表!$B33)*(③労働時間!$B$5:$B$353="3月下旬")*(③労働時間!$J$5:$J$353))</f>
        <v>0</v>
      </c>
      <c r="M33" s="373">
        <f>SUMPRODUCT((③労働時間!$A$5:$A$353=作業体系表!$B33)*(③労働時間!$B$5:$B$353="4月上旬")*(③労働時間!$J$5:$J$353))</f>
        <v>0</v>
      </c>
      <c r="N33" s="373">
        <f>SUMPRODUCT((③労働時間!$A$5:$A$353=作業体系表!$B33)*(③労働時間!$B$5:$B$353="4月中旬")*(③労働時間!$J$5:$J$353))</f>
        <v>0</v>
      </c>
      <c r="O33" s="373">
        <f>SUMPRODUCT((③労働時間!$A$5:$A$353=作業体系表!$B33)*(③労働時間!$B$5:$B$353="4月下旬")*(③労働時間!$J$5:$J$353))</f>
        <v>0</v>
      </c>
      <c r="P33" s="374">
        <f>SUMPRODUCT((③労働時間!$A$5:$A$353=作業体系表!$B33)*(③労働時間!$B$5:$B$353="5月上旬")*(③労働時間!$J$5:$J$353))</f>
        <v>0</v>
      </c>
      <c r="Q33" s="373">
        <f>SUMPRODUCT((③労働時間!$A$5:$A$353=作業体系表!$B33)*(③労働時間!$B$5:$B$353="5月中旬")*(③労働時間!$J$5:$J$353))</f>
        <v>0</v>
      </c>
      <c r="R33" s="373">
        <f>SUMPRODUCT((③労働時間!$A$5:$A$353=作業体系表!$B33)*(③労働時間!$B$5:$B$353="5月下旬")*(③労働時間!$J$5:$J$353))</f>
        <v>0</v>
      </c>
      <c r="S33" s="373">
        <f>SUMPRODUCT((③労働時間!$A$5:$A$353=作業体系表!$B33)*(③労働時間!$B$5:$B$353="6月上旬")*(③労働時間!$J$5:$J$353))</f>
        <v>0.05</v>
      </c>
      <c r="T33" s="373">
        <f>SUMPRODUCT((③労働時間!$A$5:$A$353=作業体系表!$B33)*(③労働時間!$B$5:$B$353="6月中旬")*(③労働時間!$J$5:$J$353))</f>
        <v>0.05</v>
      </c>
      <c r="U33" s="373">
        <f>SUMPRODUCT((③労働時間!$A$5:$A$353=作業体系表!$B33)*(③労働時間!$B$5:$B$353="6月下旬")*(③労働時間!$J$5:$J$353))</f>
        <v>0.05</v>
      </c>
      <c r="V33" s="373">
        <f>SUMPRODUCT((③労働時間!$A$5:$A$353=作業体系表!$B33)*(③労働時間!$B$5:$B$353="7月上旬")*(③労働時間!$J$5:$J$353))</f>
        <v>0.05</v>
      </c>
      <c r="W33" s="373">
        <f>SUMPRODUCT((③労働時間!$A$5:$A$353=作業体系表!$B33)*(③労働時間!$B$5:$B$353="7月中旬")*(③労働時間!$J$5:$J$353))</f>
        <v>0.05</v>
      </c>
      <c r="X33" s="373">
        <f>SUMPRODUCT((③労働時間!$A$5:$A$353=作業体系表!$B33)*(③労働時間!$B$5:$B$353="7月下旬")*(③労働時間!$J$5:$J$353))</f>
        <v>0.05</v>
      </c>
      <c r="Y33" s="373">
        <f>SUMPRODUCT((③労働時間!$A$5:$A$353=作業体系表!$B33)*(③労働時間!$B$5:$B$353="8月上旬")*(③労働時間!$J$5:$J$353))</f>
        <v>0.05</v>
      </c>
      <c r="Z33" s="373">
        <f>SUMPRODUCT((③労働時間!$A$5:$A$353=作業体系表!$B33)*(③労働時間!$B$5:$B$353="8月中旬")*(③労働時間!$J$5:$J$353))</f>
        <v>0.05</v>
      </c>
      <c r="AA33" s="373">
        <f>SUMPRODUCT((③労働時間!$A$5:$A$353=作業体系表!$B33)*(③労働時間!$B$5:$B$353="8月下旬")*(③労働時間!$J$5:$J$353))</f>
        <v>0.05</v>
      </c>
      <c r="AB33" s="374">
        <f>SUMPRODUCT((③労働時間!$A$5:$A$353=作業体系表!$B33)*(③労働時間!$B$5:$B$353="9月上旬")*(③労働時間!$J$5:$J$353))</f>
        <v>0.05</v>
      </c>
      <c r="AC33" s="373">
        <f>SUMPRODUCT((③労働時間!$A$5:$A$353=作業体系表!$B33)*(③労働時間!$B$5:$B$353="9月中旬")*(③労働時間!$J$5:$J$353))</f>
        <v>0.05</v>
      </c>
      <c r="AD33" s="373">
        <f>SUMPRODUCT((③労働時間!$A$5:$A$353=作業体系表!$B33)*(③労働時間!$B$5:$B$353="9月下旬")*(③労働時間!$J$5:$J$353))</f>
        <v>0.05</v>
      </c>
      <c r="AE33" s="373">
        <f>SUMPRODUCT((③労働時間!$A$5:$A$353=作業体系表!$B33)*(③労働時間!$B$5:$B$353="10月上旬")*(③労働時間!$J$5:$J$353))</f>
        <v>0</v>
      </c>
      <c r="AF33" s="373">
        <f>SUMPRODUCT((③労働時間!$A$5:$A$353=作業体系表!$B33)*(③労働時間!$B$5:$B$353="10月中旬")*(③労働時間!$J$5:$J$353))</f>
        <v>0</v>
      </c>
      <c r="AG33" s="373">
        <f>SUMPRODUCT((③労働時間!$A$5:$A$353=作業体系表!$B33)*(③労働時間!$B$5:$B$353="10月下旬")*(③労働時間!$J$5:$J$353))</f>
        <v>0</v>
      </c>
      <c r="AH33" s="373">
        <f>SUMPRODUCT((③労働時間!$A$5:$A$353=作業体系表!$B33)*(③労働時間!$B$5:$B$353="11月上旬")*(③労働時間!$J$5:$J$353))</f>
        <v>0</v>
      </c>
      <c r="AI33" s="373">
        <f>SUMPRODUCT((③労働時間!$A$5:$A$353=作業体系表!$B33)*(③労働時間!$B$5:$B$353="11月中旬")*(③労働時間!$J$5:$J$353))</f>
        <v>0</v>
      </c>
      <c r="AJ33" s="373">
        <f>SUMPRODUCT((③労働時間!$A$5:$A$353=作業体系表!$B33)*(③労働時間!$B$5:$B$353="11月下旬")*(③労働時間!$J$5:$J$353))</f>
        <v>0</v>
      </c>
      <c r="AK33" s="373">
        <f>SUMPRODUCT((③労働時間!$A$5:$A$353=作業体系表!$B33)*(③労働時間!$B$5:$B$353="12月上旬")*(③労働時間!$J$5:$J$353))</f>
        <v>0</v>
      </c>
      <c r="AL33" s="373">
        <f>SUMPRODUCT((③労働時間!$A$5:$A$353=作業体系表!$B33)*(③労働時間!$B$5:$B$353="12月中旬")*(③労働時間!$J$5:$J$353))</f>
        <v>0</v>
      </c>
      <c r="AM33" s="375">
        <f>SUMPRODUCT((③労働時間!$A$5:$A$353=作業体系表!$B33)*(③労働時間!$B$5:$B$353="12月下旬")*(③労働時間!$J$5:$J$353))</f>
        <v>0</v>
      </c>
      <c r="AN33" s="376">
        <f t="shared" si="1"/>
        <v>0.6</v>
      </c>
    </row>
    <row r="34" spans="2:40" ht="15" customHeight="1">
      <c r="B34" s="788" t="str">
        <f>①技術体系!A31</f>
        <v>除草剤散布</v>
      </c>
      <c r="C34" s="789"/>
      <c r="D34" s="373">
        <f>SUMPRODUCT((③労働時間!$A$5:$A$353=作業体系表!$B34)*(③労働時間!$B$5:$B$353="1月上旬")*(③労働時間!$J$5:$J$353))</f>
        <v>0</v>
      </c>
      <c r="E34" s="373">
        <f>SUMPRODUCT((③労働時間!$A$5:$A$353=作業体系表!$B34)*(③労働時間!$B$5:$B$353="1月中旬")*(③労働時間!$J$5:$J$353))</f>
        <v>0</v>
      </c>
      <c r="F34" s="373">
        <f>SUMPRODUCT((③労働時間!$A$5:$A$353=作業体系表!$B34)*(③労働時間!$B$5:$B$353="1月下旬")*(③労働時間!$J$5:$J$353))</f>
        <v>0</v>
      </c>
      <c r="G34" s="373">
        <f>SUMPRODUCT((③労働時間!$A$5:$A$353=作業体系表!$B34)*(③労働時間!$B$5:$B$353="2月上旬")*(③労働時間!$J$5:$J$353))</f>
        <v>0</v>
      </c>
      <c r="H34" s="373">
        <f>SUMPRODUCT((③労働時間!$A$5:$A$353=作業体系表!$B34)*(③労働時間!$B$5:$B$353="2月中旬")*(③労働時間!$J$5:$J$353))</f>
        <v>0</v>
      </c>
      <c r="I34" s="373">
        <f>SUMPRODUCT((③労働時間!$A$5:$A$353=作業体系表!$B34)*(③労働時間!$B$5:$B$353="2月下旬")*(③労働時間!$J$5:$J$353))</f>
        <v>0</v>
      </c>
      <c r="J34" s="373">
        <f>SUMPRODUCT((③労働時間!$A$5:$A$353=作業体系表!$B34)*(③労働時間!$B$5:$B$353="3月上旬")*(③労働時間!$J$5:$J$353))</f>
        <v>0</v>
      </c>
      <c r="K34" s="373">
        <f>SUMPRODUCT((③労働時間!$A$5:$A$353=作業体系表!$B34)*(③労働時間!$B$5:$B$353="3月中旬")*(③労働時間!$J$5:$J$353))</f>
        <v>0</v>
      </c>
      <c r="L34" s="373">
        <f>SUMPRODUCT((③労働時間!$A$5:$A$353=作業体系表!$B34)*(③労働時間!$B$5:$B$353="3月下旬")*(③労働時間!$J$5:$J$353))</f>
        <v>0</v>
      </c>
      <c r="M34" s="373">
        <f>SUMPRODUCT((③労働時間!$A$5:$A$353=作業体系表!$B34)*(③労働時間!$B$5:$B$353="4月上旬")*(③労働時間!$J$5:$J$353))</f>
        <v>0</v>
      </c>
      <c r="N34" s="373">
        <f>SUMPRODUCT((③労働時間!$A$5:$A$353=作業体系表!$B34)*(③労働時間!$B$5:$B$353="4月中旬")*(③労働時間!$J$5:$J$353))</f>
        <v>0</v>
      </c>
      <c r="O34" s="373">
        <f>SUMPRODUCT((③労働時間!$A$5:$A$353=作業体系表!$B34)*(③労働時間!$B$5:$B$353="4月下旬")*(③労働時間!$J$5:$J$353))</f>
        <v>0</v>
      </c>
      <c r="P34" s="374">
        <f>SUMPRODUCT((③労働時間!$A$5:$A$353=作業体系表!$B34)*(③労働時間!$B$5:$B$353="5月上旬")*(③労働時間!$J$5:$J$353))</f>
        <v>0</v>
      </c>
      <c r="Q34" s="373">
        <f>SUMPRODUCT((③労働時間!$A$5:$A$353=作業体系表!$B34)*(③労働時間!$B$5:$B$353="5月中旬")*(③労働時間!$J$5:$J$353))</f>
        <v>0</v>
      </c>
      <c r="R34" s="373">
        <f>SUMPRODUCT((③労働時間!$A$5:$A$353=作業体系表!$B34)*(③労働時間!$B$5:$B$353="5月下旬")*(③労働時間!$J$5:$J$353))</f>
        <v>0</v>
      </c>
      <c r="S34" s="373">
        <f>SUMPRODUCT((③労働時間!$A$5:$A$353=作業体系表!$B34)*(③労働時間!$B$5:$B$353="6月上旬")*(③労働時間!$J$5:$J$353))</f>
        <v>0</v>
      </c>
      <c r="T34" s="373">
        <f>SUMPRODUCT((③労働時間!$A$5:$A$353=作業体系表!$B34)*(③労働時間!$B$5:$B$353="6月中旬")*(③労働時間!$J$5:$J$353))</f>
        <v>0.1</v>
      </c>
      <c r="U34" s="373">
        <f>SUMPRODUCT((③労働時間!$A$5:$A$353=作業体系表!$B34)*(③労働時間!$B$5:$B$353="6月下旬")*(③労働時間!$J$5:$J$353))</f>
        <v>0</v>
      </c>
      <c r="V34" s="373">
        <f>SUMPRODUCT((③労働時間!$A$5:$A$353=作業体系表!$B34)*(③労働時間!$B$5:$B$353="7月上旬")*(③労働時間!$J$5:$J$353))</f>
        <v>0</v>
      </c>
      <c r="W34" s="373">
        <f>SUMPRODUCT((③労働時間!$A$5:$A$353=作業体系表!$B34)*(③労働時間!$B$5:$B$353="7月中旬")*(③労働時間!$J$5:$J$353))</f>
        <v>0</v>
      </c>
      <c r="X34" s="373">
        <f>SUMPRODUCT((③労働時間!$A$5:$A$353=作業体系表!$B34)*(③労働時間!$B$5:$B$353="7月下旬")*(③労働時間!$J$5:$J$353))</f>
        <v>0</v>
      </c>
      <c r="Y34" s="373">
        <f>SUMPRODUCT((③労働時間!$A$5:$A$353=作業体系表!$B34)*(③労働時間!$B$5:$B$353="8月上旬")*(③労働時間!$J$5:$J$353))</f>
        <v>0</v>
      </c>
      <c r="Z34" s="373">
        <f>SUMPRODUCT((③労働時間!$A$5:$A$353=作業体系表!$B34)*(③労働時間!$B$5:$B$353="8月中旬")*(③労働時間!$J$5:$J$353))</f>
        <v>0</v>
      </c>
      <c r="AA34" s="373">
        <f>SUMPRODUCT((③労働時間!$A$5:$A$353=作業体系表!$B34)*(③労働時間!$B$5:$B$353="8月下旬")*(③労働時間!$J$5:$J$353))</f>
        <v>0</v>
      </c>
      <c r="AB34" s="374">
        <f>SUMPRODUCT((③労働時間!$A$5:$A$353=作業体系表!$B34)*(③労働時間!$B$5:$B$353="9月上旬")*(③労働時間!$J$5:$J$353))</f>
        <v>0</v>
      </c>
      <c r="AC34" s="373">
        <f>SUMPRODUCT((③労働時間!$A$5:$A$353=作業体系表!$B34)*(③労働時間!$B$5:$B$353="9月中旬")*(③労働時間!$J$5:$J$353))</f>
        <v>0</v>
      </c>
      <c r="AD34" s="373">
        <f>SUMPRODUCT((③労働時間!$A$5:$A$353=作業体系表!$B34)*(③労働時間!$B$5:$B$353="9月下旬")*(③労働時間!$J$5:$J$353))</f>
        <v>0</v>
      </c>
      <c r="AE34" s="373">
        <f>SUMPRODUCT((③労働時間!$A$5:$A$353=作業体系表!$B34)*(③労働時間!$B$5:$B$353="10月上旬")*(③労働時間!$J$5:$J$353))</f>
        <v>0</v>
      </c>
      <c r="AF34" s="373">
        <f>SUMPRODUCT((③労働時間!$A$5:$A$353=作業体系表!$B34)*(③労働時間!$B$5:$B$353="10月中旬")*(③労働時間!$J$5:$J$353))</f>
        <v>0</v>
      </c>
      <c r="AG34" s="373">
        <f>SUMPRODUCT((③労働時間!$A$5:$A$353=作業体系表!$B34)*(③労働時間!$B$5:$B$353="10月下旬")*(③労働時間!$J$5:$J$353))</f>
        <v>0</v>
      </c>
      <c r="AH34" s="373">
        <f>SUMPRODUCT((③労働時間!$A$5:$A$353=作業体系表!$B34)*(③労働時間!$B$5:$B$353="11月上旬")*(③労働時間!$J$5:$J$353))</f>
        <v>0</v>
      </c>
      <c r="AI34" s="373">
        <f>SUMPRODUCT((③労働時間!$A$5:$A$353=作業体系表!$B34)*(③労働時間!$B$5:$B$353="11月中旬")*(③労働時間!$J$5:$J$353))</f>
        <v>0</v>
      </c>
      <c r="AJ34" s="373">
        <f>SUMPRODUCT((③労働時間!$A$5:$A$353=作業体系表!$B34)*(③労働時間!$B$5:$B$353="11月下旬")*(③労働時間!$J$5:$J$353))</f>
        <v>0</v>
      </c>
      <c r="AK34" s="373">
        <f>SUMPRODUCT((③労働時間!$A$5:$A$353=作業体系表!$B34)*(③労働時間!$B$5:$B$353="12月上旬")*(③労働時間!$J$5:$J$353))</f>
        <v>0</v>
      </c>
      <c r="AL34" s="373">
        <f>SUMPRODUCT((③労働時間!$A$5:$A$353=作業体系表!$B34)*(③労働時間!$B$5:$B$353="12月中旬")*(③労働時間!$J$5:$J$353))</f>
        <v>0</v>
      </c>
      <c r="AM34" s="375">
        <f>SUMPRODUCT((③労働時間!$A$5:$A$353=作業体系表!$B34)*(③労働時間!$B$5:$B$353="12月下旬")*(③労働時間!$J$5:$J$353))</f>
        <v>0</v>
      </c>
      <c r="AN34" s="376">
        <f t="shared" si="1"/>
        <v>0.1</v>
      </c>
    </row>
    <row r="35" spans="2:40" ht="15" customHeight="1">
      <c r="B35" s="788" t="str">
        <f>①技術体系!A32</f>
        <v>草刈り</v>
      </c>
      <c r="C35" s="789"/>
      <c r="D35" s="373">
        <f>SUMPRODUCT((③労働時間!$A$5:$A$353=作業体系表!$B35)*(③労働時間!$B$5:$B$353="1月上旬")*(③労働時間!$J$5:$J$353))</f>
        <v>0</v>
      </c>
      <c r="E35" s="373">
        <f>SUMPRODUCT((③労働時間!$A$5:$A$353=作業体系表!$B35)*(③労働時間!$B$5:$B$353="1月中旬")*(③労働時間!$J$5:$J$353))</f>
        <v>0</v>
      </c>
      <c r="F35" s="373">
        <f>SUMPRODUCT((③労働時間!$A$5:$A$353=作業体系表!$B35)*(③労働時間!$B$5:$B$353="1月下旬")*(③労働時間!$J$5:$J$353))</f>
        <v>0</v>
      </c>
      <c r="G35" s="373">
        <f>SUMPRODUCT((③労働時間!$A$5:$A$353=作業体系表!$B35)*(③労働時間!$B$5:$B$353="2月上旬")*(③労働時間!$J$5:$J$353))</f>
        <v>0</v>
      </c>
      <c r="H35" s="373">
        <f>SUMPRODUCT((③労働時間!$A$5:$A$353=作業体系表!$B35)*(③労働時間!$B$5:$B$353="2月中旬")*(③労働時間!$J$5:$J$353))</f>
        <v>0</v>
      </c>
      <c r="I35" s="373">
        <f>SUMPRODUCT((③労働時間!$A$5:$A$353=作業体系表!$B35)*(③労働時間!$B$5:$B$353="2月下旬")*(③労働時間!$J$5:$J$353))</f>
        <v>0</v>
      </c>
      <c r="J35" s="373">
        <f>SUMPRODUCT((③労働時間!$A$5:$A$353=作業体系表!$B35)*(③労働時間!$B$5:$B$353="3月上旬")*(③労働時間!$J$5:$J$353))</f>
        <v>0</v>
      </c>
      <c r="K35" s="373">
        <f>SUMPRODUCT((③労働時間!$A$5:$A$353=作業体系表!$B35)*(③労働時間!$B$5:$B$353="3月中旬")*(③労働時間!$J$5:$J$353))</f>
        <v>0</v>
      </c>
      <c r="L35" s="373">
        <f>SUMPRODUCT((③労働時間!$A$5:$A$353=作業体系表!$B35)*(③労働時間!$B$5:$B$353="3月下旬")*(③労働時間!$J$5:$J$353))</f>
        <v>0</v>
      </c>
      <c r="M35" s="373">
        <f>SUMPRODUCT((③労働時間!$A$5:$A$353=作業体系表!$B35)*(③労働時間!$B$5:$B$353="4月上旬")*(③労働時間!$J$5:$J$353))</f>
        <v>0</v>
      </c>
      <c r="N35" s="373">
        <f>SUMPRODUCT((③労働時間!$A$5:$A$353=作業体系表!$B35)*(③労働時間!$B$5:$B$353="4月中旬")*(③労働時間!$J$5:$J$353))</f>
        <v>0</v>
      </c>
      <c r="O35" s="373">
        <f>SUMPRODUCT((③労働時間!$A$5:$A$353=作業体系表!$B35)*(③労働時間!$B$5:$B$353="4月下旬")*(③労働時間!$J$5:$J$353))</f>
        <v>0</v>
      </c>
      <c r="P35" s="374">
        <f>SUMPRODUCT((③労働時間!$A$5:$A$353=作業体系表!$B35)*(③労働時間!$B$5:$B$353="5月上旬")*(③労働時間!$J$5:$J$353))</f>
        <v>0.200320512820513</v>
      </c>
      <c r="Q35" s="373">
        <f>SUMPRODUCT((③労働時間!$A$5:$A$353=作業体系表!$B35)*(③労働時間!$B$5:$B$353="5月中旬")*(③労働時間!$J$5:$J$353))</f>
        <v>0</v>
      </c>
      <c r="R35" s="373">
        <f>SUMPRODUCT((③労働時間!$A$5:$A$353=作業体系表!$B35)*(③労働時間!$B$5:$B$353="5月下旬")*(③労働時間!$J$5:$J$353))</f>
        <v>0</v>
      </c>
      <c r="S35" s="373">
        <f>SUMPRODUCT((③労働時間!$A$5:$A$353=作業体系表!$B35)*(③労働時間!$B$5:$B$353="6月上旬")*(③労働時間!$J$5:$J$353))</f>
        <v>0</v>
      </c>
      <c r="T35" s="373">
        <f>SUMPRODUCT((③労働時間!$A$5:$A$353=作業体系表!$B35)*(③労働時間!$B$5:$B$353="6月中旬")*(③労働時間!$J$5:$J$353))</f>
        <v>0</v>
      </c>
      <c r="U35" s="373">
        <f>SUMPRODUCT((③労働時間!$A$5:$A$353=作業体系表!$B35)*(③労働時間!$B$5:$B$353="6月下旬")*(③労働時間!$J$5:$J$353))</f>
        <v>0</v>
      </c>
      <c r="V35" s="373">
        <f>SUMPRODUCT((③労働時間!$A$5:$A$353=作業体系表!$B35)*(③労働時間!$B$5:$B$353="7月上旬")*(③労働時間!$J$5:$J$353))</f>
        <v>0</v>
      </c>
      <c r="W35" s="373">
        <f>SUMPRODUCT((③労働時間!$A$5:$A$353=作業体系表!$B35)*(③労働時間!$B$5:$B$353="7月中旬")*(③労働時間!$J$5:$J$353))</f>
        <v>0</v>
      </c>
      <c r="X35" s="373">
        <f>SUMPRODUCT((③労働時間!$A$5:$A$353=作業体系表!$B35)*(③労働時間!$B$5:$B$353="7月下旬")*(③労働時間!$J$5:$J$353))</f>
        <v>0.200320512820513</v>
      </c>
      <c r="Y35" s="373">
        <f>SUMPRODUCT((③労働時間!$A$5:$A$353=作業体系表!$B35)*(③労働時間!$B$5:$B$353="8月上旬")*(③労働時間!$J$5:$J$353))</f>
        <v>0</v>
      </c>
      <c r="Z35" s="373">
        <f>SUMPRODUCT((③労働時間!$A$5:$A$353=作業体系表!$B35)*(③労働時間!$B$5:$B$353="8月中旬")*(③労働時間!$J$5:$J$353))</f>
        <v>0</v>
      </c>
      <c r="AA35" s="373">
        <f>SUMPRODUCT((③労働時間!$A$5:$A$353=作業体系表!$B35)*(③労働時間!$B$5:$B$353="8月下旬")*(③労働時間!$J$5:$J$353))</f>
        <v>0</v>
      </c>
      <c r="AB35" s="374">
        <f>SUMPRODUCT((③労働時間!$A$5:$A$353=作業体系表!$B35)*(③労働時間!$B$5:$B$353="9月上旬")*(③労働時間!$J$5:$J$353))</f>
        <v>0</v>
      </c>
      <c r="AC35" s="373">
        <f>SUMPRODUCT((③労働時間!$A$5:$A$353=作業体系表!$B35)*(③労働時間!$B$5:$B$353="9月中旬")*(③労働時間!$J$5:$J$353))</f>
        <v>0</v>
      </c>
      <c r="AD35" s="373">
        <f>SUMPRODUCT((③労働時間!$A$5:$A$353=作業体系表!$B35)*(③労働時間!$B$5:$B$353="9月下旬")*(③労働時間!$J$5:$J$353))</f>
        <v>0</v>
      </c>
      <c r="AE35" s="373">
        <f>SUMPRODUCT((③労働時間!$A$5:$A$353=作業体系表!$B35)*(③労働時間!$B$5:$B$353="10月上旬")*(③労働時間!$J$5:$J$353))</f>
        <v>0</v>
      </c>
      <c r="AF35" s="373">
        <f>SUMPRODUCT((③労働時間!$A$5:$A$353=作業体系表!$B35)*(③労働時間!$B$5:$B$353="10月中旬")*(③労働時間!$J$5:$J$353))</f>
        <v>0</v>
      </c>
      <c r="AG35" s="373">
        <f>SUMPRODUCT((③労働時間!$A$5:$A$353=作業体系表!$B35)*(③労働時間!$B$5:$B$353="10月下旬")*(③労働時間!$J$5:$J$353))</f>
        <v>0</v>
      </c>
      <c r="AH35" s="373">
        <f>SUMPRODUCT((③労働時間!$A$5:$A$353=作業体系表!$B35)*(③労働時間!$B$5:$B$353="11月上旬")*(③労働時間!$J$5:$J$353))</f>
        <v>0</v>
      </c>
      <c r="AI35" s="373">
        <f>SUMPRODUCT((③労働時間!$A$5:$A$353=作業体系表!$B35)*(③労働時間!$B$5:$B$353="11月中旬")*(③労働時間!$J$5:$J$353))</f>
        <v>0</v>
      </c>
      <c r="AJ35" s="373">
        <f>SUMPRODUCT((③労働時間!$A$5:$A$353=作業体系表!$B35)*(③労働時間!$B$5:$B$353="11月下旬")*(③労働時間!$J$5:$J$353))</f>
        <v>0</v>
      </c>
      <c r="AK35" s="373">
        <f>SUMPRODUCT((③労働時間!$A$5:$A$353=作業体系表!$B35)*(③労働時間!$B$5:$B$353="12月上旬")*(③労働時間!$J$5:$J$353))</f>
        <v>0</v>
      </c>
      <c r="AL35" s="373">
        <f>SUMPRODUCT((③労働時間!$A$5:$A$353=作業体系表!$B35)*(③労働時間!$B$5:$B$353="12月中旬")*(③労働時間!$J$5:$J$353))</f>
        <v>0</v>
      </c>
      <c r="AM35" s="375">
        <f>SUMPRODUCT((③労働時間!$A$5:$A$353=作業体系表!$B35)*(③労働時間!$B$5:$B$353="12月下旬")*(③労働時間!$J$5:$J$353))</f>
        <v>0</v>
      </c>
      <c r="AN35" s="376">
        <f t="shared" si="1"/>
        <v>0.40064102564102599</v>
      </c>
    </row>
    <row r="36" spans="2:40" ht="15" customHeight="1">
      <c r="B36" s="788" t="str">
        <f>①技術体系!A33</f>
        <v>作溝</v>
      </c>
      <c r="C36" s="789"/>
      <c r="D36" s="373">
        <f>SUMPRODUCT((③労働時間!$A$5:$A$353=作業体系表!$B36)*(③労働時間!$B$5:$B$353="1月上旬")*(③労働時間!$J$5:$J$353))</f>
        <v>0</v>
      </c>
      <c r="E36" s="373">
        <f>SUMPRODUCT((③労働時間!$A$5:$A$353=作業体系表!$B36)*(③労働時間!$B$5:$B$353="1月中旬")*(③労働時間!$J$5:$J$353))</f>
        <v>0</v>
      </c>
      <c r="F36" s="373">
        <f>SUMPRODUCT((③労働時間!$A$5:$A$353=作業体系表!$B36)*(③労働時間!$B$5:$B$353="1月下旬")*(③労働時間!$J$5:$J$353))</f>
        <v>0</v>
      </c>
      <c r="G36" s="373">
        <f>SUMPRODUCT((③労働時間!$A$5:$A$353=作業体系表!$B36)*(③労働時間!$B$5:$B$353="2月上旬")*(③労働時間!$J$5:$J$353))</f>
        <v>0</v>
      </c>
      <c r="H36" s="373">
        <f>SUMPRODUCT((③労働時間!$A$5:$A$353=作業体系表!$B36)*(③労働時間!$B$5:$B$353="2月中旬")*(③労働時間!$J$5:$J$353))</f>
        <v>0</v>
      </c>
      <c r="I36" s="373">
        <f>SUMPRODUCT((③労働時間!$A$5:$A$353=作業体系表!$B36)*(③労働時間!$B$5:$B$353="2月下旬")*(③労働時間!$J$5:$J$353))</f>
        <v>0</v>
      </c>
      <c r="J36" s="373">
        <f>SUMPRODUCT((③労働時間!$A$5:$A$353=作業体系表!$B36)*(③労働時間!$B$5:$B$353="3月上旬")*(③労働時間!$J$5:$J$353))</f>
        <v>0</v>
      </c>
      <c r="K36" s="373">
        <f>SUMPRODUCT((③労働時間!$A$5:$A$353=作業体系表!$B36)*(③労働時間!$B$5:$B$353="3月中旬")*(③労働時間!$J$5:$J$353))</f>
        <v>0</v>
      </c>
      <c r="L36" s="373">
        <f>SUMPRODUCT((③労働時間!$A$5:$A$353=作業体系表!$B36)*(③労働時間!$B$5:$B$353="3月下旬")*(③労働時間!$J$5:$J$353))</f>
        <v>0</v>
      </c>
      <c r="M36" s="373">
        <f>SUMPRODUCT((③労働時間!$A$5:$A$353=作業体系表!$B36)*(③労働時間!$B$5:$B$353="4月上旬")*(③労働時間!$J$5:$J$353))</f>
        <v>0</v>
      </c>
      <c r="N36" s="373">
        <f>SUMPRODUCT((③労働時間!$A$5:$A$353=作業体系表!$B36)*(③労働時間!$B$5:$B$353="4月中旬")*(③労働時間!$J$5:$J$353))</f>
        <v>0</v>
      </c>
      <c r="O36" s="373">
        <f>SUMPRODUCT((③労働時間!$A$5:$A$353=作業体系表!$B36)*(③労働時間!$B$5:$B$353="4月下旬")*(③労働時間!$J$5:$J$353))</f>
        <v>0</v>
      </c>
      <c r="P36" s="374">
        <f>SUMPRODUCT((③労働時間!$A$5:$A$353=作業体系表!$B36)*(③労働時間!$B$5:$B$353="5月上旬")*(③労働時間!$J$5:$J$353))</f>
        <v>0</v>
      </c>
      <c r="Q36" s="373">
        <f>SUMPRODUCT((③労働時間!$A$5:$A$353=作業体系表!$B36)*(③労働時間!$B$5:$B$353="5月中旬")*(③労働時間!$J$5:$J$353))</f>
        <v>0</v>
      </c>
      <c r="R36" s="373">
        <f>SUMPRODUCT((③労働時間!$A$5:$A$353=作業体系表!$B36)*(③労働時間!$B$5:$B$353="5月下旬")*(③労働時間!$J$5:$J$353))</f>
        <v>0</v>
      </c>
      <c r="S36" s="373">
        <f>SUMPRODUCT((③労働時間!$A$5:$A$353=作業体系表!$B36)*(③労働時間!$B$5:$B$353="6月上旬")*(③労働時間!$J$5:$J$353))</f>
        <v>0</v>
      </c>
      <c r="T36" s="373">
        <f>SUMPRODUCT((③労働時間!$A$5:$A$353=作業体系表!$B36)*(③労働時間!$B$5:$B$353="6月中旬")*(③労働時間!$J$5:$J$353))</f>
        <v>0</v>
      </c>
      <c r="U36" s="373">
        <f>SUMPRODUCT((③労働時間!$A$5:$A$353=作業体系表!$B36)*(③労働時間!$B$5:$B$353="6月下旬")*(③労働時間!$J$5:$J$353))</f>
        <v>0</v>
      </c>
      <c r="V36" s="373">
        <f>SUMPRODUCT((③労働時間!$A$5:$A$353=作業体系表!$B36)*(③労働時間!$B$5:$B$353="7月上旬")*(③労働時間!$J$5:$J$353))</f>
        <v>0.05</v>
      </c>
      <c r="W36" s="373">
        <f>SUMPRODUCT((③労働時間!$A$5:$A$353=作業体系表!$B36)*(③労働時間!$B$5:$B$353="7月中旬")*(③労働時間!$J$5:$J$353))</f>
        <v>0</v>
      </c>
      <c r="X36" s="373">
        <f>SUMPRODUCT((③労働時間!$A$5:$A$353=作業体系表!$B36)*(③労働時間!$B$5:$B$353="7月下旬")*(③労働時間!$J$5:$J$353))</f>
        <v>0</v>
      </c>
      <c r="Y36" s="373">
        <f>SUMPRODUCT((③労働時間!$A$5:$A$353=作業体系表!$B36)*(③労働時間!$B$5:$B$353="8月上旬")*(③労働時間!$J$5:$J$353))</f>
        <v>0</v>
      </c>
      <c r="Z36" s="373">
        <f>SUMPRODUCT((③労働時間!$A$5:$A$353=作業体系表!$B36)*(③労働時間!$B$5:$B$353="8月中旬")*(③労働時間!$J$5:$J$353))</f>
        <v>0</v>
      </c>
      <c r="AA36" s="373">
        <f>SUMPRODUCT((③労働時間!$A$5:$A$353=作業体系表!$B36)*(③労働時間!$B$5:$B$353="8月下旬")*(③労働時間!$J$5:$J$353))</f>
        <v>0</v>
      </c>
      <c r="AB36" s="374">
        <f>SUMPRODUCT((③労働時間!$A$5:$A$353=作業体系表!$B36)*(③労働時間!$B$5:$B$353="9月上旬")*(③労働時間!$J$5:$J$353))</f>
        <v>0</v>
      </c>
      <c r="AC36" s="373">
        <f>SUMPRODUCT((③労働時間!$A$5:$A$353=作業体系表!$B36)*(③労働時間!$B$5:$B$353="9月中旬")*(③労働時間!$J$5:$J$353))</f>
        <v>0</v>
      </c>
      <c r="AD36" s="373">
        <f>SUMPRODUCT((③労働時間!$A$5:$A$353=作業体系表!$B36)*(③労働時間!$B$5:$B$353="9月下旬")*(③労働時間!$J$5:$J$353))</f>
        <v>0</v>
      </c>
      <c r="AE36" s="373">
        <f>SUMPRODUCT((③労働時間!$A$5:$A$353=作業体系表!$B36)*(③労働時間!$B$5:$B$353="10月上旬")*(③労働時間!$J$5:$J$353))</f>
        <v>0</v>
      </c>
      <c r="AF36" s="373">
        <f>SUMPRODUCT((③労働時間!$A$5:$A$353=作業体系表!$B36)*(③労働時間!$B$5:$B$353="10月中旬")*(③労働時間!$J$5:$J$353))</f>
        <v>0</v>
      </c>
      <c r="AG36" s="373">
        <f>SUMPRODUCT((③労働時間!$A$5:$A$353=作業体系表!$B36)*(③労働時間!$B$5:$B$353="10月下旬")*(③労働時間!$J$5:$J$353))</f>
        <v>0</v>
      </c>
      <c r="AH36" s="373">
        <f>SUMPRODUCT((③労働時間!$A$5:$A$353=作業体系表!$B36)*(③労働時間!$B$5:$B$353="11月上旬")*(③労働時間!$J$5:$J$353))</f>
        <v>0</v>
      </c>
      <c r="AI36" s="373">
        <f>SUMPRODUCT((③労働時間!$A$5:$A$353=作業体系表!$B36)*(③労働時間!$B$5:$B$353="11月中旬")*(③労働時間!$J$5:$J$353))</f>
        <v>0</v>
      </c>
      <c r="AJ36" s="373">
        <f>SUMPRODUCT((③労働時間!$A$5:$A$353=作業体系表!$B36)*(③労働時間!$B$5:$B$353="11月下旬")*(③労働時間!$J$5:$J$353))</f>
        <v>0</v>
      </c>
      <c r="AK36" s="373">
        <f>SUMPRODUCT((③労働時間!$A$5:$A$353=作業体系表!$B36)*(③労働時間!$B$5:$B$353="12月上旬")*(③労働時間!$J$5:$J$353))</f>
        <v>0</v>
      </c>
      <c r="AL36" s="373">
        <f>SUMPRODUCT((③労働時間!$A$5:$A$353=作業体系表!$B36)*(③労働時間!$B$5:$B$353="12月中旬")*(③労働時間!$J$5:$J$353))</f>
        <v>0</v>
      </c>
      <c r="AM36" s="375">
        <f>SUMPRODUCT((③労働時間!$A$5:$A$353=作業体系表!$B36)*(③労働時間!$B$5:$B$353="12月下旬")*(③労働時間!$J$5:$J$353))</f>
        <v>0</v>
      </c>
      <c r="AN36" s="376">
        <f t="shared" si="1"/>
        <v>0.05</v>
      </c>
    </row>
    <row r="37" spans="2:40" ht="15" customHeight="1">
      <c r="B37" s="788" t="str">
        <f>①技術体系!A34</f>
        <v>病害虫防除</v>
      </c>
      <c r="C37" s="789"/>
      <c r="D37" s="373">
        <f>SUMPRODUCT((③労働時間!$A$5:$A$353=作業体系表!$B37)*(③労働時間!$B$5:$B$353="1月上旬")*(③労働時間!$J$5:$J$353))</f>
        <v>0</v>
      </c>
      <c r="E37" s="373">
        <f>SUMPRODUCT((③労働時間!$A$5:$A$353=作業体系表!$B37)*(③労働時間!$B$5:$B$353="1月中旬")*(③労働時間!$J$5:$J$353))</f>
        <v>0</v>
      </c>
      <c r="F37" s="373">
        <f>SUMPRODUCT((③労働時間!$A$5:$A$353=作業体系表!$B37)*(③労働時間!$B$5:$B$353="1月下旬")*(③労働時間!$J$5:$J$353))</f>
        <v>0</v>
      </c>
      <c r="G37" s="373">
        <f>SUMPRODUCT((③労働時間!$A$5:$A$353=作業体系表!$B37)*(③労働時間!$B$5:$B$353="2月上旬")*(③労働時間!$J$5:$J$353))</f>
        <v>0</v>
      </c>
      <c r="H37" s="373">
        <f>SUMPRODUCT((③労働時間!$A$5:$A$353=作業体系表!$B37)*(③労働時間!$B$5:$B$353="2月中旬")*(③労働時間!$J$5:$J$353))</f>
        <v>0</v>
      </c>
      <c r="I37" s="373">
        <f>SUMPRODUCT((③労働時間!$A$5:$A$353=作業体系表!$B37)*(③労働時間!$B$5:$B$353="2月下旬")*(③労働時間!$J$5:$J$353))</f>
        <v>0</v>
      </c>
      <c r="J37" s="373">
        <f>SUMPRODUCT((③労働時間!$A$5:$A$353=作業体系表!$B37)*(③労働時間!$B$5:$B$353="3月上旬")*(③労働時間!$J$5:$J$353))</f>
        <v>0</v>
      </c>
      <c r="K37" s="373">
        <f>SUMPRODUCT((③労働時間!$A$5:$A$353=作業体系表!$B37)*(③労働時間!$B$5:$B$353="3月中旬")*(③労働時間!$J$5:$J$353))</f>
        <v>0</v>
      </c>
      <c r="L37" s="373">
        <f>SUMPRODUCT((③労働時間!$A$5:$A$353=作業体系表!$B37)*(③労働時間!$B$5:$B$353="3月下旬")*(③労働時間!$J$5:$J$353))</f>
        <v>0</v>
      </c>
      <c r="M37" s="373">
        <f>SUMPRODUCT((③労働時間!$A$5:$A$353=作業体系表!$B37)*(③労働時間!$B$5:$B$353="4月上旬")*(③労働時間!$J$5:$J$353))</f>
        <v>0</v>
      </c>
      <c r="N37" s="373">
        <f>SUMPRODUCT((③労働時間!$A$5:$A$353=作業体系表!$B37)*(③労働時間!$B$5:$B$353="4月中旬")*(③労働時間!$J$5:$J$353))</f>
        <v>0</v>
      </c>
      <c r="O37" s="373">
        <f>SUMPRODUCT((③労働時間!$A$5:$A$353=作業体系表!$B37)*(③労働時間!$B$5:$B$353="4月下旬")*(③労働時間!$J$5:$J$353))</f>
        <v>0</v>
      </c>
      <c r="P37" s="374">
        <f>SUMPRODUCT((③労働時間!$A$5:$A$353=作業体系表!$B37)*(③労働時間!$B$5:$B$353="5月上旬")*(③労働時間!$J$5:$J$353))</f>
        <v>0</v>
      </c>
      <c r="Q37" s="373">
        <f>SUMPRODUCT((③労働時間!$A$5:$A$353=作業体系表!$B37)*(③労働時間!$B$5:$B$353="5月中旬")*(③労働時間!$J$5:$J$353))</f>
        <v>0</v>
      </c>
      <c r="R37" s="373">
        <f>SUMPRODUCT((③労働時間!$A$5:$A$353=作業体系表!$B37)*(③労働時間!$B$5:$B$353="5月下旬")*(③労働時間!$J$5:$J$353))</f>
        <v>0</v>
      </c>
      <c r="S37" s="373">
        <f>SUMPRODUCT((③労働時間!$A$5:$A$353=作業体系表!$B37)*(③労働時間!$B$5:$B$353="6月上旬")*(③労働時間!$J$5:$J$353))</f>
        <v>0</v>
      </c>
      <c r="T37" s="373">
        <f>SUMPRODUCT((③労働時間!$A$5:$A$353=作業体系表!$B37)*(③労働時間!$B$5:$B$353="6月中旬")*(③労働時間!$J$5:$J$353))</f>
        <v>0</v>
      </c>
      <c r="U37" s="373">
        <f>SUMPRODUCT((③労働時間!$A$5:$A$353=作業体系表!$B37)*(③労働時間!$B$5:$B$353="6月下旬")*(③労働時間!$J$5:$J$353))</f>
        <v>0</v>
      </c>
      <c r="V37" s="373">
        <f>SUMPRODUCT((③労働時間!$A$5:$A$353=作業体系表!$B37)*(③労働時間!$B$5:$B$353="7月上旬")*(③労働時間!$J$5:$J$353))</f>
        <v>0</v>
      </c>
      <c r="W37" s="373">
        <f>SUMPRODUCT((③労働時間!$A$5:$A$353=作業体系表!$B37)*(③労働時間!$B$5:$B$353="7月中旬")*(③労働時間!$J$5:$J$353))</f>
        <v>0.05</v>
      </c>
      <c r="X37" s="373">
        <f>SUMPRODUCT((③労働時間!$A$5:$A$353=作業体系表!$B37)*(③労働時間!$B$5:$B$353="7月下旬")*(③労働時間!$J$5:$J$353))</f>
        <v>0</v>
      </c>
      <c r="Y37" s="373">
        <f>SUMPRODUCT((③労働時間!$A$5:$A$353=作業体系表!$B37)*(③労働時間!$B$5:$B$353="8月上旬")*(③労働時間!$J$5:$J$353))</f>
        <v>0</v>
      </c>
      <c r="Z37" s="373">
        <f>SUMPRODUCT((③労働時間!$A$5:$A$353=作業体系表!$B37)*(③労働時間!$B$5:$B$353="8月中旬")*(③労働時間!$J$5:$J$353))</f>
        <v>0.05</v>
      </c>
      <c r="AA37" s="373">
        <f>SUMPRODUCT((③労働時間!$A$5:$A$353=作業体系表!$B37)*(③労働時間!$B$5:$B$353="8月下旬")*(③労働時間!$J$5:$J$353))</f>
        <v>0</v>
      </c>
      <c r="AB37" s="374">
        <f>SUMPRODUCT((③労働時間!$A$5:$A$353=作業体系表!$B37)*(③労働時間!$B$5:$B$353="9月上旬")*(③労働時間!$J$5:$J$353))</f>
        <v>0.05</v>
      </c>
      <c r="AC37" s="373">
        <f>SUMPRODUCT((③労働時間!$A$5:$A$353=作業体系表!$B37)*(③労働時間!$B$5:$B$353="9月中旬")*(③労働時間!$J$5:$J$353))</f>
        <v>0</v>
      </c>
      <c r="AD37" s="373">
        <f>SUMPRODUCT((③労働時間!$A$5:$A$353=作業体系表!$B37)*(③労働時間!$B$5:$B$353="9月下旬")*(③労働時間!$J$5:$J$353))</f>
        <v>0</v>
      </c>
      <c r="AE37" s="373">
        <f>SUMPRODUCT((③労働時間!$A$5:$A$353=作業体系表!$B37)*(③労働時間!$B$5:$B$353="10月上旬")*(③労働時間!$J$5:$J$353))</f>
        <v>0</v>
      </c>
      <c r="AF37" s="373">
        <f>SUMPRODUCT((③労働時間!$A$5:$A$353=作業体系表!$B37)*(③労働時間!$B$5:$B$353="10月中旬")*(③労働時間!$J$5:$J$353))</f>
        <v>0</v>
      </c>
      <c r="AG37" s="373">
        <f>SUMPRODUCT((③労働時間!$A$5:$A$353=作業体系表!$B37)*(③労働時間!$B$5:$B$353="10月下旬")*(③労働時間!$J$5:$J$353))</f>
        <v>0</v>
      </c>
      <c r="AH37" s="373">
        <f>SUMPRODUCT((③労働時間!$A$5:$A$353=作業体系表!$B37)*(③労働時間!$B$5:$B$353="11月上旬")*(③労働時間!$J$5:$J$353))</f>
        <v>0</v>
      </c>
      <c r="AI37" s="373">
        <f>SUMPRODUCT((③労働時間!$A$5:$A$353=作業体系表!$B37)*(③労働時間!$B$5:$B$353="11月中旬")*(③労働時間!$J$5:$J$353))</f>
        <v>0</v>
      </c>
      <c r="AJ37" s="373">
        <f>SUMPRODUCT((③労働時間!$A$5:$A$353=作業体系表!$B37)*(③労働時間!$B$5:$B$353="11月下旬")*(③労働時間!$J$5:$J$353))</f>
        <v>0</v>
      </c>
      <c r="AK37" s="373">
        <f>SUMPRODUCT((③労働時間!$A$5:$A$353=作業体系表!$B37)*(③労働時間!$B$5:$B$353="12月上旬")*(③労働時間!$J$5:$J$353))</f>
        <v>0</v>
      </c>
      <c r="AL37" s="373">
        <f>SUMPRODUCT((③労働時間!$A$5:$A$353=作業体系表!$B37)*(③労働時間!$B$5:$B$353="12月中旬")*(③労働時間!$J$5:$J$353))</f>
        <v>0</v>
      </c>
      <c r="AM37" s="375">
        <f>SUMPRODUCT((③労働時間!$A$5:$A$353=作業体系表!$B37)*(③労働時間!$B$5:$B$353="12月下旬")*(③労働時間!$J$5:$J$353))</f>
        <v>0</v>
      </c>
      <c r="AN37" s="376">
        <f t="shared" si="1"/>
        <v>0.15000000000000002</v>
      </c>
    </row>
    <row r="38" spans="2:40" ht="15" customHeight="1">
      <c r="B38" s="788" t="str">
        <f>①技術体系!A35</f>
        <v>収穫・調整</v>
      </c>
      <c r="C38" s="789"/>
      <c r="D38" s="373">
        <f>SUMPRODUCT((③労働時間!$A$5:$A$353=作業体系表!$B38)*(③労働時間!$B$5:$B$353="1月上旬")*(③労働時間!$J$5:$J$353))</f>
        <v>0</v>
      </c>
      <c r="E38" s="373">
        <f>SUMPRODUCT((③労働時間!$A$5:$A$353=作業体系表!$B38)*(③労働時間!$B$5:$B$353="1月中旬")*(③労働時間!$J$5:$J$353))</f>
        <v>0</v>
      </c>
      <c r="F38" s="373">
        <f>SUMPRODUCT((③労働時間!$A$5:$A$353=作業体系表!$B38)*(③労働時間!$B$5:$B$353="1月下旬")*(③労働時間!$J$5:$J$353))</f>
        <v>0</v>
      </c>
      <c r="G38" s="373">
        <f>SUMPRODUCT((③労働時間!$A$5:$A$353=作業体系表!$B38)*(③労働時間!$B$5:$B$353="2月上旬")*(③労働時間!$J$5:$J$353))</f>
        <v>0</v>
      </c>
      <c r="H38" s="373">
        <f>SUMPRODUCT((③労働時間!$A$5:$A$353=作業体系表!$B38)*(③労働時間!$B$5:$B$353="2月中旬")*(③労働時間!$J$5:$J$353))</f>
        <v>0</v>
      </c>
      <c r="I38" s="373">
        <f>SUMPRODUCT((③労働時間!$A$5:$A$353=作業体系表!$B38)*(③労働時間!$B$5:$B$353="2月下旬")*(③労働時間!$J$5:$J$353))</f>
        <v>0</v>
      </c>
      <c r="J38" s="373">
        <f>SUMPRODUCT((③労働時間!$A$5:$A$353=作業体系表!$B38)*(③労働時間!$B$5:$B$353="3月上旬")*(③労働時間!$J$5:$J$353))</f>
        <v>0</v>
      </c>
      <c r="K38" s="373">
        <f>SUMPRODUCT((③労働時間!$A$5:$A$353=作業体系表!$B38)*(③労働時間!$B$5:$B$353="3月中旬")*(③労働時間!$J$5:$J$353))</f>
        <v>0</v>
      </c>
      <c r="L38" s="373">
        <f>SUMPRODUCT((③労働時間!$A$5:$A$353=作業体系表!$B38)*(③労働時間!$B$5:$B$353="3月下旬")*(③労働時間!$J$5:$J$353))</f>
        <v>0</v>
      </c>
      <c r="M38" s="373">
        <f>SUMPRODUCT((③労働時間!$A$5:$A$353=作業体系表!$B38)*(③労働時間!$B$5:$B$353="4月上旬")*(③労働時間!$J$5:$J$353))</f>
        <v>0</v>
      </c>
      <c r="N38" s="373">
        <f>SUMPRODUCT((③労働時間!$A$5:$A$353=作業体系表!$B38)*(③労働時間!$B$5:$B$353="4月中旬")*(③労働時間!$J$5:$J$353))</f>
        <v>0</v>
      </c>
      <c r="O38" s="373">
        <f>SUMPRODUCT((③労働時間!$A$5:$A$353=作業体系表!$B38)*(③労働時間!$B$5:$B$353="4月下旬")*(③労働時間!$J$5:$J$353))</f>
        <v>0</v>
      </c>
      <c r="P38" s="374">
        <f>SUMPRODUCT((③労働時間!$A$5:$A$353=作業体系表!$B38)*(③労働時間!$B$5:$B$353="5月上旬")*(③労働時間!$J$5:$J$353))</f>
        <v>0</v>
      </c>
      <c r="Q38" s="373">
        <f>SUMPRODUCT((③労働時間!$A$5:$A$353=作業体系表!$B38)*(③労働時間!$B$5:$B$353="5月中旬")*(③労働時間!$J$5:$J$353))</f>
        <v>0</v>
      </c>
      <c r="R38" s="373">
        <f>SUMPRODUCT((③労働時間!$A$5:$A$353=作業体系表!$B38)*(③労働時間!$B$5:$B$353="5月下旬")*(③労働時間!$J$5:$J$353))</f>
        <v>0</v>
      </c>
      <c r="S38" s="373">
        <f>SUMPRODUCT((③労働時間!$A$5:$A$353=作業体系表!$B38)*(③労働時間!$B$5:$B$353="6月上旬")*(③労働時間!$J$5:$J$353))</f>
        <v>0</v>
      </c>
      <c r="T38" s="373">
        <f>SUMPRODUCT((③労働時間!$A$5:$A$353=作業体系表!$B38)*(③労働時間!$B$5:$B$353="6月中旬")*(③労働時間!$J$5:$J$353))</f>
        <v>0</v>
      </c>
      <c r="U38" s="373">
        <f>SUMPRODUCT((③労働時間!$A$5:$A$353=作業体系表!$B38)*(③労働時間!$B$5:$B$353="6月下旬")*(③労働時間!$J$5:$J$353))</f>
        <v>0</v>
      </c>
      <c r="V38" s="373">
        <f>SUMPRODUCT((③労働時間!$A$5:$A$353=作業体系表!$B38)*(③労働時間!$B$5:$B$353="7月上旬")*(③労働時間!$J$5:$J$353))</f>
        <v>0</v>
      </c>
      <c r="W38" s="373">
        <f>SUMPRODUCT((③労働時間!$A$5:$A$353=作業体系表!$B38)*(③労働時間!$B$5:$B$353="7月中旬")*(③労働時間!$J$5:$J$353))</f>
        <v>0</v>
      </c>
      <c r="X38" s="373">
        <f>SUMPRODUCT((③労働時間!$A$5:$A$353=作業体系表!$B38)*(③労働時間!$B$5:$B$353="7月下旬")*(③労働時間!$J$5:$J$353))</f>
        <v>0</v>
      </c>
      <c r="Y38" s="373">
        <f>SUMPRODUCT((③労働時間!$A$5:$A$353=作業体系表!$B38)*(③労働時間!$B$5:$B$353="8月上旬")*(③労働時間!$J$5:$J$353))</f>
        <v>0</v>
      </c>
      <c r="Z38" s="373">
        <f>SUMPRODUCT((③労働時間!$A$5:$A$353=作業体系表!$B38)*(③労働時間!$B$5:$B$353="8月中旬")*(③労働時間!$J$5:$J$353))</f>
        <v>0</v>
      </c>
      <c r="AA38" s="373">
        <f>SUMPRODUCT((③労働時間!$A$5:$A$353=作業体系表!$B38)*(③労働時間!$B$5:$B$353="8月下旬")*(③労働時間!$J$5:$J$353))</f>
        <v>0</v>
      </c>
      <c r="AB38" s="374">
        <f>SUMPRODUCT((③労働時間!$A$5:$A$353=作業体系表!$B38)*(③労働時間!$B$5:$B$353="9月上旬")*(③労働時間!$J$5:$J$353))</f>
        <v>0</v>
      </c>
      <c r="AC38" s="373">
        <f>SUMPRODUCT((③労働時間!$A$5:$A$353=作業体系表!$B38)*(③労働時間!$B$5:$B$353="9月中旬")*(③労働時間!$J$5:$J$353))</f>
        <v>0</v>
      </c>
      <c r="AD38" s="373">
        <f>SUMPRODUCT((③労働時間!$A$5:$A$353=作業体系表!$B38)*(③労働時間!$B$5:$B$353="9月下旬")*(③労働時間!$J$5:$J$353))</f>
        <v>0</v>
      </c>
      <c r="AE38" s="373">
        <f>SUMPRODUCT((③労働時間!$A$5:$A$353=作業体系表!$B38)*(③労働時間!$B$5:$B$353="10月上旬")*(③労働時間!$J$5:$J$353))</f>
        <v>0</v>
      </c>
      <c r="AF38" s="373">
        <f>SUMPRODUCT((③労働時間!$A$5:$A$353=作業体系表!$B38)*(③労働時間!$B$5:$B$353="10月中旬")*(③労働時間!$J$5:$J$353))</f>
        <v>0</v>
      </c>
      <c r="AG38" s="373">
        <f>SUMPRODUCT((③労働時間!$A$5:$A$353=作業体系表!$B38)*(③労働時間!$B$5:$B$353="10月下旬")*(③労働時間!$J$5:$J$353))</f>
        <v>0</v>
      </c>
      <c r="AH38" s="373">
        <f>SUMPRODUCT((③労働時間!$A$5:$A$353=作業体系表!$B38)*(③労働時間!$B$5:$B$353="11月上旬")*(③労働時間!$J$5:$J$353))</f>
        <v>0</v>
      </c>
      <c r="AI38" s="373">
        <f>SUMPRODUCT((③労働時間!$A$5:$A$353=作業体系表!$B38)*(③労働時間!$B$5:$B$353="11月中旬")*(③労働時間!$J$5:$J$353))</f>
        <v>0</v>
      </c>
      <c r="AJ38" s="373">
        <f>SUMPRODUCT((③労働時間!$A$5:$A$353=作業体系表!$B38)*(③労働時間!$B$5:$B$353="11月下旬")*(③労働時間!$J$5:$J$353))</f>
        <v>0</v>
      </c>
      <c r="AK38" s="373">
        <f>SUMPRODUCT((③労働時間!$A$5:$A$353=作業体系表!$B38)*(③労働時間!$B$5:$B$353="12月上旬")*(③労働時間!$J$5:$J$353))</f>
        <v>0</v>
      </c>
      <c r="AL38" s="373">
        <f>SUMPRODUCT((③労働時間!$A$5:$A$353=作業体系表!$B38)*(③労働時間!$B$5:$B$353="12月中旬")*(③労働時間!$J$5:$J$353))</f>
        <v>0</v>
      </c>
      <c r="AM38" s="375">
        <f>SUMPRODUCT((③労働時間!$A$5:$A$353=作業体系表!$B38)*(③労働時間!$B$5:$B$353="12月下旬")*(③労働時間!$J$5:$J$353))</f>
        <v>0</v>
      </c>
      <c r="AN38" s="376">
        <f t="shared" si="1"/>
        <v>0</v>
      </c>
    </row>
    <row r="39" spans="2:40" ht="15" customHeight="1">
      <c r="B39" s="788">
        <f>①技術体系!A36</f>
        <v>0</v>
      </c>
      <c r="C39" s="789"/>
      <c r="D39" s="373">
        <f>SUMPRODUCT((③労働時間!$A$5:$A$353=作業体系表!$B39)*(③労働時間!$B$5:$B$353="1月上旬")*(③労働時間!$J$5:$J$353))</f>
        <v>0</v>
      </c>
      <c r="E39" s="373">
        <f>SUMPRODUCT((③労働時間!$A$5:$A$353=作業体系表!$B39)*(③労働時間!$B$5:$B$353="1月中旬")*(③労働時間!$J$5:$J$353))</f>
        <v>0</v>
      </c>
      <c r="F39" s="373">
        <f>SUMPRODUCT((③労働時間!$A$5:$A$353=作業体系表!$B39)*(③労働時間!$B$5:$B$353="1月下旬")*(③労働時間!$J$5:$J$353))</f>
        <v>0</v>
      </c>
      <c r="G39" s="373">
        <f>SUMPRODUCT((③労働時間!$A$5:$A$353=作業体系表!$B39)*(③労働時間!$B$5:$B$353="2月上旬")*(③労働時間!$J$5:$J$353))</f>
        <v>0</v>
      </c>
      <c r="H39" s="373">
        <f>SUMPRODUCT((③労働時間!$A$5:$A$353=作業体系表!$B39)*(③労働時間!$B$5:$B$353="2月中旬")*(③労働時間!$J$5:$J$353))</f>
        <v>0</v>
      </c>
      <c r="I39" s="373">
        <f>SUMPRODUCT((③労働時間!$A$5:$A$353=作業体系表!$B39)*(③労働時間!$B$5:$B$353="2月下旬")*(③労働時間!$J$5:$J$353))</f>
        <v>0</v>
      </c>
      <c r="J39" s="373">
        <f>SUMPRODUCT((③労働時間!$A$5:$A$353=作業体系表!$B39)*(③労働時間!$B$5:$B$353="3月上旬")*(③労働時間!$J$5:$J$353))</f>
        <v>0</v>
      </c>
      <c r="K39" s="373">
        <f>SUMPRODUCT((③労働時間!$A$5:$A$353=作業体系表!$B39)*(③労働時間!$B$5:$B$353="3月中旬")*(③労働時間!$J$5:$J$353))</f>
        <v>0</v>
      </c>
      <c r="L39" s="373">
        <f>SUMPRODUCT((③労働時間!$A$5:$A$353=作業体系表!$B39)*(③労働時間!$B$5:$B$353="3月下旬")*(③労働時間!$J$5:$J$353))</f>
        <v>0</v>
      </c>
      <c r="M39" s="373">
        <f>SUMPRODUCT((③労働時間!$A$5:$A$353=作業体系表!$B39)*(③労働時間!$B$5:$B$353="4月上旬")*(③労働時間!$J$5:$J$353))</f>
        <v>0</v>
      </c>
      <c r="N39" s="373">
        <f>SUMPRODUCT((③労働時間!$A$5:$A$353=作業体系表!$B39)*(③労働時間!$B$5:$B$353="4月中旬")*(③労働時間!$J$5:$J$353))</f>
        <v>0</v>
      </c>
      <c r="O39" s="373">
        <f>SUMPRODUCT((③労働時間!$A$5:$A$353=作業体系表!$B39)*(③労働時間!$B$5:$B$353="4月下旬")*(③労働時間!$J$5:$J$353))</f>
        <v>0</v>
      </c>
      <c r="P39" s="374">
        <f>SUMPRODUCT((③労働時間!$A$5:$A$353=作業体系表!$B39)*(③労働時間!$B$5:$B$353="5月上旬")*(③労働時間!$J$5:$J$353))</f>
        <v>0</v>
      </c>
      <c r="Q39" s="373">
        <f>SUMPRODUCT((③労働時間!$A$5:$A$353=作業体系表!$B39)*(③労働時間!$B$5:$B$353="5月中旬")*(③労働時間!$J$5:$J$353))</f>
        <v>0</v>
      </c>
      <c r="R39" s="373">
        <f>SUMPRODUCT((③労働時間!$A$5:$A$353=作業体系表!$B39)*(③労働時間!$B$5:$B$353="5月下旬")*(③労働時間!$J$5:$J$353))</f>
        <v>0</v>
      </c>
      <c r="S39" s="373">
        <f>SUMPRODUCT((③労働時間!$A$5:$A$353=作業体系表!$B39)*(③労働時間!$B$5:$B$353="6月上旬")*(③労働時間!$J$5:$J$353))</f>
        <v>0</v>
      </c>
      <c r="T39" s="373">
        <f>SUMPRODUCT((③労働時間!$A$5:$A$353=作業体系表!$B39)*(③労働時間!$B$5:$B$353="6月中旬")*(③労働時間!$J$5:$J$353))</f>
        <v>0</v>
      </c>
      <c r="U39" s="373">
        <f>SUMPRODUCT((③労働時間!$A$5:$A$353=作業体系表!$B39)*(③労働時間!$B$5:$B$353="6月下旬")*(③労働時間!$J$5:$J$353))</f>
        <v>0</v>
      </c>
      <c r="V39" s="373">
        <f>SUMPRODUCT((③労働時間!$A$5:$A$353=作業体系表!$B39)*(③労働時間!$B$5:$B$353="7月上旬")*(③労働時間!$J$5:$J$353))</f>
        <v>0</v>
      </c>
      <c r="W39" s="373">
        <f>SUMPRODUCT((③労働時間!$A$5:$A$353=作業体系表!$B39)*(③労働時間!$B$5:$B$353="7月中旬")*(③労働時間!$J$5:$J$353))</f>
        <v>0</v>
      </c>
      <c r="X39" s="373">
        <f>SUMPRODUCT((③労働時間!$A$5:$A$353=作業体系表!$B39)*(③労働時間!$B$5:$B$353="7月下旬")*(③労働時間!$J$5:$J$353))</f>
        <v>0</v>
      </c>
      <c r="Y39" s="373">
        <f>SUMPRODUCT((③労働時間!$A$5:$A$353=作業体系表!$B39)*(③労働時間!$B$5:$B$353="8月上旬")*(③労働時間!$J$5:$J$353))</f>
        <v>0</v>
      </c>
      <c r="Z39" s="373">
        <f>SUMPRODUCT((③労働時間!$A$5:$A$353=作業体系表!$B39)*(③労働時間!$B$5:$B$353="8月中旬")*(③労働時間!$J$5:$J$353))</f>
        <v>0</v>
      </c>
      <c r="AA39" s="373">
        <f>SUMPRODUCT((③労働時間!$A$5:$A$353=作業体系表!$B39)*(③労働時間!$B$5:$B$353="8月下旬")*(③労働時間!$J$5:$J$353))</f>
        <v>0</v>
      </c>
      <c r="AB39" s="374">
        <f>SUMPRODUCT((③労働時間!$A$5:$A$353=作業体系表!$B39)*(③労働時間!$B$5:$B$353="9月上旬")*(③労働時間!$J$5:$J$353))</f>
        <v>0</v>
      </c>
      <c r="AC39" s="373">
        <f>SUMPRODUCT((③労働時間!$A$5:$A$353=作業体系表!$B39)*(③労働時間!$B$5:$B$353="9月中旬")*(③労働時間!$J$5:$J$353))</f>
        <v>0</v>
      </c>
      <c r="AD39" s="373">
        <f>SUMPRODUCT((③労働時間!$A$5:$A$353=作業体系表!$B39)*(③労働時間!$B$5:$B$353="9月下旬")*(③労働時間!$J$5:$J$353))</f>
        <v>0</v>
      </c>
      <c r="AE39" s="373">
        <f>SUMPRODUCT((③労働時間!$A$5:$A$353=作業体系表!$B39)*(③労働時間!$B$5:$B$353="10月上旬")*(③労働時間!$J$5:$J$353))</f>
        <v>0</v>
      </c>
      <c r="AF39" s="373">
        <f>SUMPRODUCT((③労働時間!$A$5:$A$353=作業体系表!$B39)*(③労働時間!$B$5:$B$353="10月中旬")*(③労働時間!$J$5:$J$353))</f>
        <v>0</v>
      </c>
      <c r="AG39" s="373">
        <f>SUMPRODUCT((③労働時間!$A$5:$A$353=作業体系表!$B39)*(③労働時間!$B$5:$B$353="10月下旬")*(③労働時間!$J$5:$J$353))</f>
        <v>0</v>
      </c>
      <c r="AH39" s="373">
        <f>SUMPRODUCT((③労働時間!$A$5:$A$353=作業体系表!$B39)*(③労働時間!$B$5:$B$353="11月上旬")*(③労働時間!$J$5:$J$353))</f>
        <v>0</v>
      </c>
      <c r="AI39" s="373">
        <f>SUMPRODUCT((③労働時間!$A$5:$A$353=作業体系表!$B39)*(③労働時間!$B$5:$B$353="11月中旬")*(③労働時間!$J$5:$J$353))</f>
        <v>0</v>
      </c>
      <c r="AJ39" s="373">
        <f>SUMPRODUCT((③労働時間!$A$5:$A$353=作業体系表!$B39)*(③労働時間!$B$5:$B$353="11月下旬")*(③労働時間!$J$5:$J$353))</f>
        <v>0</v>
      </c>
      <c r="AK39" s="373">
        <f>SUMPRODUCT((③労働時間!$A$5:$A$353=作業体系表!$B39)*(③労働時間!$B$5:$B$353="12月上旬")*(③労働時間!$J$5:$J$353))</f>
        <v>0</v>
      </c>
      <c r="AL39" s="373">
        <f>SUMPRODUCT((③労働時間!$A$5:$A$353=作業体系表!$B39)*(③労働時間!$B$5:$B$353="12月中旬")*(③労働時間!$J$5:$J$353))</f>
        <v>0</v>
      </c>
      <c r="AM39" s="375">
        <f>SUMPRODUCT((③労働時間!$A$5:$A$353=作業体系表!$B39)*(③労働時間!$B$5:$B$353="12月下旬")*(③労働時間!$J$5:$J$353))</f>
        <v>0</v>
      </c>
      <c r="AN39" s="376">
        <f t="shared" si="1"/>
        <v>0</v>
      </c>
    </row>
    <row r="40" spans="2:40" ht="15" customHeight="1">
      <c r="B40" s="788"/>
      <c r="C40" s="789"/>
      <c r="D40" s="373"/>
      <c r="E40" s="373"/>
      <c r="F40" s="373"/>
      <c r="G40" s="373"/>
      <c r="H40" s="373"/>
      <c r="I40" s="373"/>
      <c r="J40" s="373"/>
      <c r="K40" s="373"/>
      <c r="L40" s="373"/>
      <c r="M40" s="373"/>
      <c r="N40" s="373"/>
      <c r="O40" s="373"/>
      <c r="P40" s="374"/>
      <c r="Q40" s="373"/>
      <c r="R40" s="373"/>
      <c r="S40" s="373"/>
      <c r="T40" s="373"/>
      <c r="U40" s="373"/>
      <c r="V40" s="373"/>
      <c r="W40" s="373"/>
      <c r="X40" s="373"/>
      <c r="Y40" s="373"/>
      <c r="Z40" s="373"/>
      <c r="AA40" s="373"/>
      <c r="AB40" s="374"/>
      <c r="AC40" s="373"/>
      <c r="AD40" s="373"/>
      <c r="AE40" s="373"/>
      <c r="AF40" s="373"/>
      <c r="AG40" s="373"/>
      <c r="AH40" s="373"/>
      <c r="AI40" s="373"/>
      <c r="AJ40" s="373"/>
      <c r="AK40" s="373"/>
      <c r="AL40" s="373"/>
      <c r="AM40" s="375"/>
      <c r="AN40" s="377"/>
    </row>
    <row r="41" spans="2:40" s="436" customFormat="1" ht="12" customHeight="1">
      <c r="B41" s="799" t="s">
        <v>132</v>
      </c>
      <c r="C41" s="435" t="s">
        <v>136</v>
      </c>
      <c r="D41" s="380">
        <f>SUMPRODUCT((③労働時間!$B$5:$B$353="1月上旬")*(③労働時間!$Q$5:$Q$353))</f>
        <v>0.5</v>
      </c>
      <c r="E41" s="381">
        <f>SUMPRODUCT((③労働時間!$B$5:$B$353="1月中旬")*(③労働時間!$Q$5:$Q$353))</f>
        <v>0.5</v>
      </c>
      <c r="F41" s="381">
        <f>SUMPRODUCT((③労働時間!$B$5:$B$353="1月下旬")*(③労働時間!$Q$5:$Q$353))</f>
        <v>0.5</v>
      </c>
      <c r="G41" s="381">
        <f>SUMPRODUCT((③労働時間!$B$5:$B$353="2月上旬")*(③労働時間!$Q$5:$Q$353))</f>
        <v>0.5</v>
      </c>
      <c r="H41" s="381">
        <f>SUMPRODUCT((③労働時間!$B$5:$B$353="2月中旬")*(③労働時間!$Q$5:$Q$353))</f>
        <v>0.5</v>
      </c>
      <c r="I41" s="381">
        <f>SUMPRODUCT((③労働時間!$B$5:$B$353="2月下旬")*(③労働時間!$Q$5:$Q$353))</f>
        <v>0.5</v>
      </c>
      <c r="J41" s="381">
        <f>SUMPRODUCT((③労働時間!$B$5:$B$353="3月上旬")*(③労働時間!$Q$5:$Q$353))</f>
        <v>0.5</v>
      </c>
      <c r="K41" s="381">
        <f>SUMPRODUCT((③労働時間!$B$5:$B$353="3月中旬")*(③労働時間!$Q$5:$Q$353))</f>
        <v>0.75</v>
      </c>
      <c r="L41" s="381">
        <f>SUMPRODUCT((③労働時間!$B$5:$B$353="3月下旬")*(③労働時間!$Q$5:$Q$353))</f>
        <v>0.5</v>
      </c>
      <c r="M41" s="381">
        <f>SUMPRODUCT((③労働時間!$B$5:$B$353="4月上旬")*(③労働時間!$Q$5:$Q$353))</f>
        <v>0</v>
      </c>
      <c r="N41" s="381">
        <f>SUMPRODUCT((③労働時間!$B$5:$B$353="4月中旬")*(③労働時間!$Q$5:$Q$353))</f>
        <v>0</v>
      </c>
      <c r="O41" s="381">
        <f>SUMPRODUCT((③労働時間!$B$5:$B$353="4月下旬")*(③労働時間!$Q$5:$Q$353))</f>
        <v>0.85355635544609654</v>
      </c>
      <c r="P41" s="380">
        <f>SUMPRODUCT((③労働時間!$B$5:$B$353="5月上旬")*(③労働時間!$Q$5:$Q$353))</f>
        <v>0.200320512820513</v>
      </c>
      <c r="Q41" s="381">
        <f>SUMPRODUCT((③労働時間!$B$5:$B$353="5月中旬")*(③労働時間!$Q$5:$Q$353))</f>
        <v>2.25</v>
      </c>
      <c r="R41" s="381">
        <f>SUMPRODUCT((③労働時間!$B$5:$B$353="5月下旬")*(③労働時間!$Q$5:$Q$353))</f>
        <v>1.7515151515151515</v>
      </c>
      <c r="S41" s="381">
        <f>SUMPRODUCT((③労働時間!$B$5:$B$353="6月上旬")*(③労働時間!$Q$5:$Q$353))</f>
        <v>2.7015151515151512</v>
      </c>
      <c r="T41" s="381">
        <f>SUMPRODUCT((③労働時間!$B$5:$B$353="6月中旬")*(③労働時間!$Q$5:$Q$353))</f>
        <v>0.85</v>
      </c>
      <c r="U41" s="381">
        <f>SUMPRODUCT((③労働時間!$B$5:$B$353="6月下旬")*(③労働時間!$Q$5:$Q$353))</f>
        <v>0.55000000000000004</v>
      </c>
      <c r="V41" s="381">
        <f>SUMPRODUCT((③労働時間!$B$5:$B$353="7月上旬")*(③労働時間!$Q$5:$Q$353))</f>
        <v>0.60000000000000009</v>
      </c>
      <c r="W41" s="381">
        <f>SUMPRODUCT((③労働時間!$B$5:$B$353="7月中旬")*(③労働時間!$Q$5:$Q$353))</f>
        <v>0.60000000000000009</v>
      </c>
      <c r="X41" s="381">
        <f>SUMPRODUCT((③労働時間!$B$5:$B$353="7月下旬")*(③労働時間!$Q$5:$Q$353))</f>
        <v>0.75032051282051304</v>
      </c>
      <c r="Y41" s="381">
        <f>SUMPRODUCT((③労働時間!$B$5:$B$353="8月上旬")*(③労働時間!$Q$5:$Q$353))</f>
        <v>0.55000000000000004</v>
      </c>
      <c r="Z41" s="381">
        <f>SUMPRODUCT((③労働時間!$B$5:$B$353="8月中旬")*(③労働時間!$Q$5:$Q$353))</f>
        <v>0.67500000000000004</v>
      </c>
      <c r="AA41" s="381">
        <f>SUMPRODUCT((③労働時間!$B$5:$B$353="8月下旬")*(③労働時間!$Q$5:$Q$353))</f>
        <v>0.55000000000000004</v>
      </c>
      <c r="AB41" s="380">
        <f>SUMPRODUCT((③労働時間!$B$5:$B$353="9月上旬")*(③労働時間!$Q$5:$Q$353))</f>
        <v>0.60000000000000009</v>
      </c>
      <c r="AC41" s="381">
        <f>SUMPRODUCT((③労働時間!$B$5:$B$353="9月中旬")*(③労働時間!$Q$5:$Q$353))</f>
        <v>0.55000000000000004</v>
      </c>
      <c r="AD41" s="381">
        <f>SUMPRODUCT((③労働時間!$B$5:$B$353="9月下旬")*(③労働時間!$Q$5:$Q$353))</f>
        <v>0.55000000000000004</v>
      </c>
      <c r="AE41" s="381">
        <f>SUMPRODUCT((③労働時間!$B$5:$B$353="10月上旬")*(③労働時間!$Q$5:$Q$353))</f>
        <v>0.5</v>
      </c>
      <c r="AF41" s="381">
        <f>SUMPRODUCT((③労働時間!$B$5:$B$353="10月中旬")*(③労働時間!$Q$5:$Q$353))</f>
        <v>0.5</v>
      </c>
      <c r="AG41" s="381">
        <f>SUMPRODUCT((③労働時間!$B$5:$B$353="10月下旬")*(③労働時間!$Q$5:$Q$353))</f>
        <v>0.5</v>
      </c>
      <c r="AH41" s="381">
        <f>SUMPRODUCT((③労働時間!$B$5:$B$353="11月上旬")*(③労働時間!$Q$5:$Q$353))</f>
        <v>0.5</v>
      </c>
      <c r="AI41" s="381">
        <f>SUMPRODUCT((③労働時間!$B$5:$B$353="11月中旬")*(③労働時間!$Q$5:$Q$353))</f>
        <v>0.6</v>
      </c>
      <c r="AJ41" s="381">
        <f>SUMPRODUCT((③労働時間!$B$5:$B$353="11月下旬")*(③労働時間!$Q$5:$Q$353))</f>
        <v>0.5</v>
      </c>
      <c r="AK41" s="381">
        <f>SUMPRODUCT((③労働時間!$B$5:$B$353="12月上旬")*(③労働時間!$Q$5:$Q$353))</f>
        <v>0.5</v>
      </c>
      <c r="AL41" s="381">
        <f>SUMPRODUCT((③労働時間!$B$5:$B$353="12月中旬")*(③労働時間!$Q$5:$Q$353))</f>
        <v>0.5</v>
      </c>
      <c r="AM41" s="381">
        <f>SUMPRODUCT((③労働時間!$B$5:$B$353="12月下旬")*(③労働時間!$Q$5:$Q$353))</f>
        <v>0.5</v>
      </c>
      <c r="AN41" s="382">
        <f>SUM(D41:AM41)</f>
        <v>23.932227684117432</v>
      </c>
    </row>
    <row r="42" spans="2:40" s="436" customFormat="1" ht="12" customHeight="1">
      <c r="B42" s="799"/>
      <c r="C42" s="437" t="s">
        <v>137</v>
      </c>
      <c r="D42" s="383">
        <f>SUMPRODUCT((③労働時間!$B$5:$B$353="1月上旬")*(③労働時間!$R$5:$R$353))</f>
        <v>0</v>
      </c>
      <c r="E42" s="384">
        <f>SUMPRODUCT((③労働時間!$B$5:$B$353="1月中旬")*(③労働時間!$R$5:$R$353))</f>
        <v>0</v>
      </c>
      <c r="F42" s="384">
        <f>SUMPRODUCT((③労働時間!$B$5:$B$353="1月下旬")*(③労働時間!$R$5:$R$353))</f>
        <v>0</v>
      </c>
      <c r="G42" s="384">
        <f>SUMPRODUCT((③労働時間!$B$5:$B$353="2月上旬")*(③労働時間!$R$5:$R$353))</f>
        <v>0</v>
      </c>
      <c r="H42" s="384">
        <f>SUMPRODUCT((③労働時間!$B$5:$B$353="2月中旬")*(③労働時間!$R$5:$R$353))</f>
        <v>0</v>
      </c>
      <c r="I42" s="384">
        <f>SUMPRODUCT((③労働時間!$B$5:$B$353="2月下旬")*(③労働時間!$R$5:$R$353))</f>
        <v>0</v>
      </c>
      <c r="J42" s="384">
        <f>SUMPRODUCT((③労働時間!$B$5:$B$353="3月上旬")*(③労働時間!$R$5:$R$353))</f>
        <v>0</v>
      </c>
      <c r="K42" s="384">
        <f>SUMPRODUCT((③労働時間!$B$5:$B$353="3月中旬")*(③労働時間!$R$5:$R$353))</f>
        <v>0</v>
      </c>
      <c r="L42" s="384">
        <f>SUMPRODUCT((③労働時間!$B$5:$B$353="3月下旬")*(③労働時間!$R$5:$R$353))</f>
        <v>0</v>
      </c>
      <c r="M42" s="384">
        <f>SUMPRODUCT((③労働時間!$B$5:$B$353="4月上旬")*(③労働時間!$R$5:$R$353))</f>
        <v>0</v>
      </c>
      <c r="N42" s="384">
        <f>SUMPRODUCT((③労働時間!$B$5:$B$353="4月中旬")*(③労働時間!$R$5:$R$353))</f>
        <v>0</v>
      </c>
      <c r="O42" s="384">
        <f>SUMPRODUCT((③労働時間!$B$5:$B$353="4月下旬")*(③労働時間!$R$5:$R$353))</f>
        <v>0</v>
      </c>
      <c r="P42" s="383">
        <f>SUMPRODUCT((③労働時間!$B$5:$B$353="5月上旬")*(③労働時間!$R$5:$R$353))</f>
        <v>0</v>
      </c>
      <c r="Q42" s="384">
        <f>SUMPRODUCT((③労働時間!$B$5:$B$353="5月中旬")*(③労働時間!$R$5:$R$353))</f>
        <v>0</v>
      </c>
      <c r="R42" s="384">
        <f>SUMPRODUCT((③労働時間!$B$5:$B$353="5月下旬")*(③労働時間!$R$5:$R$353))</f>
        <v>0</v>
      </c>
      <c r="S42" s="384">
        <f>SUMPRODUCT((③労働時間!$B$5:$B$353="6月上旬")*(③労働時間!$R$5:$R$353))</f>
        <v>0</v>
      </c>
      <c r="T42" s="384">
        <f>SUMPRODUCT((③労働時間!$B$5:$B$353="6月中旬")*(③労働時間!$R$5:$R$353))</f>
        <v>0</v>
      </c>
      <c r="U42" s="384">
        <f>SUMPRODUCT((③労働時間!$B$5:$B$353="6月下旬")*(③労働時間!$R$5:$R$353))</f>
        <v>0</v>
      </c>
      <c r="V42" s="384">
        <f>SUMPRODUCT((③労働時間!$B$5:$B$353="7月上旬")*(③労働時間!$R$5:$R$353))</f>
        <v>0</v>
      </c>
      <c r="W42" s="384">
        <f>SUMPRODUCT((③労働時間!$B$5:$B$353="7月中旬")*(③労働時間!$R$5:$R$353))</f>
        <v>0</v>
      </c>
      <c r="X42" s="384">
        <f>SUMPRODUCT((③労働時間!$B$5:$B$353="7月下旬")*(③労働時間!$R$5:$R$353))</f>
        <v>0</v>
      </c>
      <c r="Y42" s="384">
        <f>SUMPRODUCT((③労働時間!$B$5:$B$353="8月上旬")*(③労働時間!$R$5:$R$353))</f>
        <v>0</v>
      </c>
      <c r="Z42" s="384">
        <f>SUMPRODUCT((③労働時間!$B$5:$B$353="8月中旬")*(③労働時間!$R$5:$R$353))</f>
        <v>0</v>
      </c>
      <c r="AA42" s="384">
        <f>SUMPRODUCT((③労働時間!$B$5:$B$353="8月下旬")*(③労働時間!$R$5:$R$353))</f>
        <v>0</v>
      </c>
      <c r="AB42" s="383">
        <f>SUMPRODUCT((③労働時間!$B$5:$B$353="9月上旬")*(③労働時間!$R$5:$R$353))</f>
        <v>0</v>
      </c>
      <c r="AC42" s="384">
        <f>SUMPRODUCT((③労働時間!$B$5:$B$353="9月中旬")*(③労働時間!$R$5:$R$353))</f>
        <v>0</v>
      </c>
      <c r="AD42" s="384">
        <f>SUMPRODUCT((③労働時間!$B$5:$B$353="9月下旬")*(③労働時間!$R$5:$R$353))</f>
        <v>0</v>
      </c>
      <c r="AE42" s="384">
        <f>SUMPRODUCT((③労働時間!$B$5:$B$353="10月上旬")*(③労働時間!$R$5:$R$353))</f>
        <v>0</v>
      </c>
      <c r="AF42" s="384">
        <f>SUMPRODUCT((③労働時間!$B$5:$B$353="10月中旬")*(③労働時間!$R$5:$R$353))</f>
        <v>0</v>
      </c>
      <c r="AG42" s="384">
        <f>SUMPRODUCT((③労働時間!$B$5:$B$353="10月下旬")*(③労働時間!$R$5:$R$353))</f>
        <v>0</v>
      </c>
      <c r="AH42" s="384">
        <f>SUMPRODUCT((③労働時間!$B$5:$B$353="11月上旬")*(③労働時間!$R$5:$R$353))</f>
        <v>0</v>
      </c>
      <c r="AI42" s="384">
        <f>SUMPRODUCT((③労働時間!$B$5:$B$353="11月中旬")*(③労働時間!$R$5:$R$353))</f>
        <v>0</v>
      </c>
      <c r="AJ42" s="384">
        <f>SUMPRODUCT((③労働時間!$B$5:$B$353="11月下旬")*(③労働時間!$R$5:$R$353))</f>
        <v>0</v>
      </c>
      <c r="AK42" s="384">
        <f>SUMPRODUCT((③労働時間!$B$5:$B$353="12月上旬")*(③労働時間!$R$5:$R$353))</f>
        <v>0</v>
      </c>
      <c r="AL42" s="384">
        <f>SUMPRODUCT((③労働時間!$B$5:$B$353="12月中旬")*(③労働時間!$R$5:$R$353))</f>
        <v>0</v>
      </c>
      <c r="AM42" s="384">
        <f>SUMPRODUCT((③労働時間!$B$5:$B$353="12月下旬")*(③労働時間!$R$5:$R$353))</f>
        <v>0</v>
      </c>
      <c r="AN42" s="385">
        <f>SUM(D42:AM42)</f>
        <v>0</v>
      </c>
    </row>
    <row r="43" spans="2:40" ht="12" customHeight="1">
      <c r="B43" s="799"/>
      <c r="C43" s="438" t="s">
        <v>138</v>
      </c>
      <c r="D43" s="379">
        <f>SUM(D9:D40)</f>
        <v>0.5</v>
      </c>
      <c r="E43" s="378">
        <f t="shared" ref="E43:U43" si="2">SUM(E9:E40)</f>
        <v>0.5</v>
      </c>
      <c r="F43" s="378">
        <f t="shared" si="2"/>
        <v>0.5</v>
      </c>
      <c r="G43" s="378">
        <f t="shared" si="2"/>
        <v>0.5</v>
      </c>
      <c r="H43" s="378">
        <f t="shared" si="2"/>
        <v>0.5</v>
      </c>
      <c r="I43" s="378">
        <f t="shared" si="2"/>
        <v>0.5</v>
      </c>
      <c r="J43" s="378">
        <f t="shared" si="2"/>
        <v>0.5</v>
      </c>
      <c r="K43" s="378">
        <f t="shared" si="2"/>
        <v>0.75</v>
      </c>
      <c r="L43" s="378">
        <f t="shared" si="2"/>
        <v>0.5</v>
      </c>
      <c r="M43" s="378">
        <f t="shared" si="2"/>
        <v>0</v>
      </c>
      <c r="N43" s="378">
        <f t="shared" si="2"/>
        <v>0</v>
      </c>
      <c r="O43" s="378">
        <f t="shared" si="2"/>
        <v>0.85355635544609654</v>
      </c>
      <c r="P43" s="379">
        <f t="shared" si="2"/>
        <v>0.200320512820513</v>
      </c>
      <c r="Q43" s="378">
        <f t="shared" si="2"/>
        <v>2.25</v>
      </c>
      <c r="R43" s="378">
        <f t="shared" si="2"/>
        <v>1.7515151515151515</v>
      </c>
      <c r="S43" s="378">
        <f t="shared" si="2"/>
        <v>2.7015151515151512</v>
      </c>
      <c r="T43" s="378">
        <f t="shared" si="2"/>
        <v>0.85</v>
      </c>
      <c r="U43" s="378">
        <f t="shared" si="2"/>
        <v>0.55000000000000004</v>
      </c>
      <c r="V43" s="378">
        <f t="shared" ref="V43:AM43" si="3">SUM(V9:V40)</f>
        <v>0.60000000000000009</v>
      </c>
      <c r="W43" s="378">
        <f t="shared" si="3"/>
        <v>0.60000000000000009</v>
      </c>
      <c r="X43" s="378">
        <f t="shared" si="3"/>
        <v>0.75032051282051304</v>
      </c>
      <c r="Y43" s="378">
        <f t="shared" si="3"/>
        <v>0.55000000000000004</v>
      </c>
      <c r="Z43" s="378">
        <f t="shared" si="3"/>
        <v>0.67500000000000004</v>
      </c>
      <c r="AA43" s="378">
        <f t="shared" si="3"/>
        <v>0.55000000000000004</v>
      </c>
      <c r="AB43" s="379">
        <f t="shared" si="3"/>
        <v>0.60000000000000009</v>
      </c>
      <c r="AC43" s="378">
        <f t="shared" si="3"/>
        <v>0.55000000000000004</v>
      </c>
      <c r="AD43" s="378">
        <f t="shared" si="3"/>
        <v>0.55000000000000004</v>
      </c>
      <c r="AE43" s="378">
        <f t="shared" si="3"/>
        <v>0.5</v>
      </c>
      <c r="AF43" s="378">
        <f t="shared" si="3"/>
        <v>0.5</v>
      </c>
      <c r="AG43" s="378">
        <f t="shared" si="3"/>
        <v>0.5</v>
      </c>
      <c r="AH43" s="378">
        <f t="shared" si="3"/>
        <v>0.5</v>
      </c>
      <c r="AI43" s="378">
        <f t="shared" si="3"/>
        <v>0.6</v>
      </c>
      <c r="AJ43" s="378">
        <f t="shared" si="3"/>
        <v>0.5</v>
      </c>
      <c r="AK43" s="378">
        <f t="shared" si="3"/>
        <v>0.5</v>
      </c>
      <c r="AL43" s="378">
        <f t="shared" si="3"/>
        <v>0.5</v>
      </c>
      <c r="AM43" s="378">
        <f t="shared" si="3"/>
        <v>0.5</v>
      </c>
      <c r="AN43" s="386">
        <f>SUM(D43:AM43)</f>
        <v>23.932227684117432</v>
      </c>
    </row>
    <row r="44" spans="2:40" ht="12" customHeight="1" thickBot="1">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row>
    <row r="45" spans="2:40" s="47" customFormat="1" ht="20.100000000000001" customHeight="1" thickBot="1">
      <c r="C45" s="439">
        <f>①技術体系!E2*100</f>
        <v>200</v>
      </c>
      <c r="D45" s="440" t="s">
        <v>378</v>
      </c>
      <c r="E45" s="47" t="s">
        <v>375</v>
      </c>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row>
    <row r="46" spans="2:40" s="47" customFormat="1" ht="20.100000000000001" customHeight="1" thickBot="1">
      <c r="B46" s="797" t="s">
        <v>376</v>
      </c>
      <c r="C46" s="798"/>
      <c r="D46" s="668">
        <f>D43*$C$45/10</f>
        <v>10</v>
      </c>
      <c r="E46" s="669">
        <f t="shared" ref="E46:AM46" si="4">E43*$C$45/10</f>
        <v>10</v>
      </c>
      <c r="F46" s="668">
        <f t="shared" si="4"/>
        <v>10</v>
      </c>
      <c r="G46" s="670">
        <f t="shared" si="4"/>
        <v>10</v>
      </c>
      <c r="H46" s="669">
        <f t="shared" si="4"/>
        <v>10</v>
      </c>
      <c r="I46" s="671">
        <f t="shared" si="4"/>
        <v>10</v>
      </c>
      <c r="J46" s="668">
        <f t="shared" si="4"/>
        <v>10</v>
      </c>
      <c r="K46" s="669">
        <f t="shared" si="4"/>
        <v>15</v>
      </c>
      <c r="L46" s="668">
        <f t="shared" si="4"/>
        <v>10</v>
      </c>
      <c r="M46" s="670">
        <f t="shared" si="4"/>
        <v>0</v>
      </c>
      <c r="N46" s="669">
        <f t="shared" si="4"/>
        <v>0</v>
      </c>
      <c r="O46" s="671">
        <f t="shared" si="4"/>
        <v>17.071127108921932</v>
      </c>
      <c r="P46" s="668">
        <f t="shared" si="4"/>
        <v>4.0064102564102599</v>
      </c>
      <c r="Q46" s="669">
        <f t="shared" si="4"/>
        <v>45</v>
      </c>
      <c r="R46" s="668">
        <f t="shared" si="4"/>
        <v>35.030303030303031</v>
      </c>
      <c r="S46" s="670">
        <f t="shared" si="4"/>
        <v>54.030303030303024</v>
      </c>
      <c r="T46" s="669">
        <f t="shared" si="4"/>
        <v>17</v>
      </c>
      <c r="U46" s="671">
        <f t="shared" si="4"/>
        <v>11.000000000000002</v>
      </c>
      <c r="V46" s="668">
        <f t="shared" si="4"/>
        <v>12.000000000000002</v>
      </c>
      <c r="W46" s="669">
        <f t="shared" si="4"/>
        <v>12.000000000000002</v>
      </c>
      <c r="X46" s="668">
        <f t="shared" si="4"/>
        <v>15.006410256410259</v>
      </c>
      <c r="Y46" s="670">
        <f t="shared" si="4"/>
        <v>11.000000000000002</v>
      </c>
      <c r="Z46" s="669">
        <f t="shared" si="4"/>
        <v>13.5</v>
      </c>
      <c r="AA46" s="671">
        <f t="shared" si="4"/>
        <v>11.000000000000002</v>
      </c>
      <c r="AB46" s="668">
        <f t="shared" si="4"/>
        <v>12.000000000000002</v>
      </c>
      <c r="AC46" s="669">
        <f t="shared" si="4"/>
        <v>11.000000000000002</v>
      </c>
      <c r="AD46" s="668">
        <f t="shared" si="4"/>
        <v>11.000000000000002</v>
      </c>
      <c r="AE46" s="670">
        <f t="shared" si="4"/>
        <v>10</v>
      </c>
      <c r="AF46" s="669">
        <f t="shared" si="4"/>
        <v>10</v>
      </c>
      <c r="AG46" s="671">
        <f t="shared" si="4"/>
        <v>10</v>
      </c>
      <c r="AH46" s="668">
        <f t="shared" si="4"/>
        <v>10</v>
      </c>
      <c r="AI46" s="669">
        <f t="shared" si="4"/>
        <v>12</v>
      </c>
      <c r="AJ46" s="668">
        <f t="shared" si="4"/>
        <v>10</v>
      </c>
      <c r="AK46" s="670">
        <f t="shared" si="4"/>
        <v>10</v>
      </c>
      <c r="AL46" s="669">
        <f t="shared" si="4"/>
        <v>10</v>
      </c>
      <c r="AM46" s="671">
        <f t="shared" si="4"/>
        <v>10</v>
      </c>
      <c r="AN46" s="672">
        <f>SUM(D46:AM46)</f>
        <v>478.64455368234854</v>
      </c>
    </row>
    <row r="47" spans="2:40" s="47" customFormat="1" ht="20.100000000000001" customHeight="1" thickTop="1">
      <c r="B47" s="794" t="s">
        <v>399</v>
      </c>
      <c r="C47" s="442" t="s">
        <v>379</v>
      </c>
      <c r="D47" s="673">
        <v>150</v>
      </c>
      <c r="E47" s="674">
        <v>150</v>
      </c>
      <c r="F47" s="673">
        <v>150</v>
      </c>
      <c r="G47" s="675">
        <v>150</v>
      </c>
      <c r="H47" s="676">
        <v>150</v>
      </c>
      <c r="I47" s="677">
        <v>150</v>
      </c>
      <c r="J47" s="678">
        <v>150</v>
      </c>
      <c r="K47" s="676">
        <v>150</v>
      </c>
      <c r="L47" s="678">
        <v>150</v>
      </c>
      <c r="M47" s="675">
        <v>150</v>
      </c>
      <c r="N47" s="676">
        <v>150</v>
      </c>
      <c r="O47" s="677">
        <v>150</v>
      </c>
      <c r="P47" s="678">
        <v>150</v>
      </c>
      <c r="Q47" s="676">
        <v>150</v>
      </c>
      <c r="R47" s="678">
        <v>150</v>
      </c>
      <c r="S47" s="675">
        <v>150</v>
      </c>
      <c r="T47" s="676">
        <v>150</v>
      </c>
      <c r="U47" s="677">
        <v>150</v>
      </c>
      <c r="V47" s="673">
        <v>150</v>
      </c>
      <c r="W47" s="674">
        <v>150</v>
      </c>
      <c r="X47" s="673">
        <v>150</v>
      </c>
      <c r="Y47" s="679">
        <v>150</v>
      </c>
      <c r="Z47" s="674">
        <v>150</v>
      </c>
      <c r="AA47" s="680">
        <v>150</v>
      </c>
      <c r="AB47" s="673">
        <v>150</v>
      </c>
      <c r="AC47" s="674">
        <v>150</v>
      </c>
      <c r="AD47" s="673">
        <v>150</v>
      </c>
      <c r="AE47" s="679">
        <v>150</v>
      </c>
      <c r="AF47" s="674">
        <v>150</v>
      </c>
      <c r="AG47" s="680">
        <v>150</v>
      </c>
      <c r="AH47" s="673">
        <v>150</v>
      </c>
      <c r="AI47" s="674">
        <v>150</v>
      </c>
      <c r="AJ47" s="673">
        <v>150</v>
      </c>
      <c r="AK47" s="679">
        <v>150</v>
      </c>
      <c r="AL47" s="674">
        <v>150</v>
      </c>
      <c r="AM47" s="680">
        <v>150</v>
      </c>
      <c r="AN47" s="681">
        <f>SUM(D47:AM47)</f>
        <v>5400</v>
      </c>
    </row>
    <row r="48" spans="2:40" s="47" customFormat="1" ht="20.100000000000001" customHeight="1" thickBot="1">
      <c r="B48" s="795"/>
      <c r="C48" s="666" t="s">
        <v>707</v>
      </c>
      <c r="D48" s="675"/>
      <c r="E48" s="676"/>
      <c r="F48" s="677"/>
      <c r="G48" s="678"/>
      <c r="H48" s="676"/>
      <c r="I48" s="678"/>
      <c r="J48" s="675"/>
      <c r="K48" s="676"/>
      <c r="L48" s="677"/>
      <c r="M48" s="675"/>
      <c r="N48" s="676"/>
      <c r="O48" s="677"/>
      <c r="P48" s="678"/>
      <c r="Q48" s="676"/>
      <c r="R48" s="678"/>
      <c r="S48" s="675"/>
      <c r="T48" s="676"/>
      <c r="U48" s="677"/>
      <c r="V48" s="678"/>
      <c r="W48" s="676"/>
      <c r="X48" s="678"/>
      <c r="Y48" s="675"/>
      <c r="Z48" s="676"/>
      <c r="AA48" s="677"/>
      <c r="AB48" s="678"/>
      <c r="AC48" s="676"/>
      <c r="AD48" s="678"/>
      <c r="AE48" s="675"/>
      <c r="AF48" s="676"/>
      <c r="AG48" s="677"/>
      <c r="AH48" s="678"/>
      <c r="AI48" s="676"/>
      <c r="AJ48" s="678"/>
      <c r="AK48" s="675"/>
      <c r="AL48" s="676"/>
      <c r="AM48" s="677"/>
      <c r="AN48" s="682">
        <f>SUM(D48:AM48)</f>
        <v>0</v>
      </c>
    </row>
    <row r="49" spans="2:40" s="47" customFormat="1" ht="20.100000000000001" customHeight="1" thickBot="1">
      <c r="B49" s="796"/>
      <c r="C49" s="667" t="s">
        <v>377</v>
      </c>
      <c r="D49" s="683">
        <f>+D47+D48+-D46</f>
        <v>140</v>
      </c>
      <c r="E49" s="684">
        <f t="shared" ref="E49:AM49" si="5">+E47+E48+-E46</f>
        <v>140</v>
      </c>
      <c r="F49" s="685">
        <f t="shared" si="5"/>
        <v>140</v>
      </c>
      <c r="G49" s="683">
        <f t="shared" si="5"/>
        <v>140</v>
      </c>
      <c r="H49" s="684">
        <f t="shared" si="5"/>
        <v>140</v>
      </c>
      <c r="I49" s="686">
        <f t="shared" si="5"/>
        <v>140</v>
      </c>
      <c r="J49" s="687">
        <f t="shared" si="5"/>
        <v>140</v>
      </c>
      <c r="K49" s="684">
        <f t="shared" si="5"/>
        <v>135</v>
      </c>
      <c r="L49" s="685">
        <f t="shared" si="5"/>
        <v>140</v>
      </c>
      <c r="M49" s="683">
        <f t="shared" si="5"/>
        <v>150</v>
      </c>
      <c r="N49" s="684">
        <f t="shared" si="5"/>
        <v>150</v>
      </c>
      <c r="O49" s="686">
        <f t="shared" si="5"/>
        <v>132.92887289107807</v>
      </c>
      <c r="P49" s="687">
        <f t="shared" si="5"/>
        <v>145.99358974358975</v>
      </c>
      <c r="Q49" s="684">
        <f t="shared" si="5"/>
        <v>105</v>
      </c>
      <c r="R49" s="685">
        <f t="shared" si="5"/>
        <v>114.96969696969697</v>
      </c>
      <c r="S49" s="683">
        <f t="shared" si="5"/>
        <v>95.969696969696969</v>
      </c>
      <c r="T49" s="684">
        <f t="shared" si="5"/>
        <v>133</v>
      </c>
      <c r="U49" s="686">
        <f t="shared" si="5"/>
        <v>139</v>
      </c>
      <c r="V49" s="687">
        <f t="shared" si="5"/>
        <v>138</v>
      </c>
      <c r="W49" s="684">
        <f t="shared" si="5"/>
        <v>138</v>
      </c>
      <c r="X49" s="685">
        <f t="shared" si="5"/>
        <v>134.99358974358975</v>
      </c>
      <c r="Y49" s="683">
        <f t="shared" si="5"/>
        <v>139</v>
      </c>
      <c r="Z49" s="684">
        <f t="shared" si="5"/>
        <v>136.5</v>
      </c>
      <c r="AA49" s="686">
        <f t="shared" si="5"/>
        <v>139</v>
      </c>
      <c r="AB49" s="687">
        <f t="shared" si="5"/>
        <v>138</v>
      </c>
      <c r="AC49" s="684">
        <f t="shared" si="5"/>
        <v>139</v>
      </c>
      <c r="AD49" s="685">
        <f t="shared" si="5"/>
        <v>139</v>
      </c>
      <c r="AE49" s="683">
        <f t="shared" si="5"/>
        <v>140</v>
      </c>
      <c r="AF49" s="684">
        <f t="shared" si="5"/>
        <v>140</v>
      </c>
      <c r="AG49" s="686">
        <f t="shared" si="5"/>
        <v>140</v>
      </c>
      <c r="AH49" s="687">
        <f t="shared" si="5"/>
        <v>140</v>
      </c>
      <c r="AI49" s="684">
        <f t="shared" si="5"/>
        <v>138</v>
      </c>
      <c r="AJ49" s="685">
        <f t="shared" si="5"/>
        <v>140</v>
      </c>
      <c r="AK49" s="683">
        <f t="shared" si="5"/>
        <v>140</v>
      </c>
      <c r="AL49" s="684">
        <f t="shared" si="5"/>
        <v>140</v>
      </c>
      <c r="AM49" s="684">
        <f t="shared" si="5"/>
        <v>140</v>
      </c>
      <c r="AN49" s="688">
        <f>SUM(D49:AM49)</f>
        <v>4921.3554463176515</v>
      </c>
    </row>
    <row r="50" spans="2:40" s="443" customFormat="1" ht="13.5" customHeight="1" thickBot="1">
      <c r="AN50" s="444"/>
    </row>
    <row r="51" spans="2:40" ht="28.5" customHeight="1">
      <c r="B51" s="46"/>
      <c r="C51" s="488" t="s">
        <v>402</v>
      </c>
      <c r="D51" s="790" t="s">
        <v>403</v>
      </c>
      <c r="E51" s="790"/>
      <c r="F51" s="791"/>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row>
    <row r="52" spans="2:40" ht="28.5" customHeight="1" thickBot="1">
      <c r="C52" s="489">
        <v>753</v>
      </c>
      <c r="D52" s="792">
        <f>C52*AN48</f>
        <v>0</v>
      </c>
      <c r="E52" s="792"/>
      <c r="F52" s="793"/>
    </row>
  </sheetData>
  <sheetProtection sheet="1" objects="1" scenarios="1" selectLockedCells="1"/>
  <mergeCells count="53">
    <mergeCell ref="B25:C25"/>
    <mergeCell ref="B24:C24"/>
    <mergeCell ref="B9:C9"/>
    <mergeCell ref="B18:C18"/>
    <mergeCell ref="B17:C17"/>
    <mergeCell ref="B16:C16"/>
    <mergeCell ref="B15:C15"/>
    <mergeCell ref="B14:C14"/>
    <mergeCell ref="B13:C13"/>
    <mergeCell ref="B12:C12"/>
    <mergeCell ref="B11:C11"/>
    <mergeCell ref="B10:C10"/>
    <mergeCell ref="B23:C23"/>
    <mergeCell ref="B22:C22"/>
    <mergeCell ref="B21:C21"/>
    <mergeCell ref="B20:C20"/>
    <mergeCell ref="G2:I2"/>
    <mergeCell ref="J2:L2"/>
    <mergeCell ref="S2:U2"/>
    <mergeCell ref="B4:B8"/>
    <mergeCell ref="M2:O2"/>
    <mergeCell ref="B35:C35"/>
    <mergeCell ref="B36:C36"/>
    <mergeCell ref="B37:C37"/>
    <mergeCell ref="B38:C38"/>
    <mergeCell ref="AN2:AN3"/>
    <mergeCell ref="Y2:AA2"/>
    <mergeCell ref="AB2:AD2"/>
    <mergeCell ref="AE2:AG2"/>
    <mergeCell ref="AH2:AJ2"/>
    <mergeCell ref="AK2:AM2"/>
    <mergeCell ref="B19:C19"/>
    <mergeCell ref="P2:R2"/>
    <mergeCell ref="C4:C8"/>
    <mergeCell ref="V2:X2"/>
    <mergeCell ref="B2:C3"/>
    <mergeCell ref="D2:F2"/>
    <mergeCell ref="B39:C39"/>
    <mergeCell ref="D51:F51"/>
    <mergeCell ref="D52:F52"/>
    <mergeCell ref="B47:B49"/>
    <mergeCell ref="B26:C26"/>
    <mergeCell ref="B40:C40"/>
    <mergeCell ref="B46:C46"/>
    <mergeCell ref="B27:C27"/>
    <mergeCell ref="B41:B43"/>
    <mergeCell ref="B28:C28"/>
    <mergeCell ref="B29:C29"/>
    <mergeCell ref="B30:C30"/>
    <mergeCell ref="B31:C31"/>
    <mergeCell ref="B32:C32"/>
    <mergeCell ref="B33:C33"/>
    <mergeCell ref="B34:C34"/>
  </mergeCells>
  <phoneticPr fontId="14"/>
  <printOptions horizontalCentered="1" verticalCentered="1"/>
  <pageMargins left="0.78740157480314965" right="0.74803149606299213" top="1.1811023622047245" bottom="0.39370078740157483" header="0.78740157480314965" footer="0.51181102362204722"/>
  <pageSetup paperSize="9" scale="50" firstPageNumber="0" orientation="landscape" cellComments="asDisplayed" horizontalDpi="4294967293" verticalDpi="300" r:id="rId1"/>
  <headerFooter alignWithMargins="0">
    <oddHeader>&amp;L肉用牛（繁殖）耕作放棄地親子放牧（全域）</oddHeader>
  </headerFooter>
  <drawing r:id="rId2"/>
  <legacyDrawing r:id="rId3"/>
</worksheet>
</file>

<file path=xl/worksheets/sheet3.xml><?xml version="1.0" encoding="utf-8"?>
<worksheet xmlns="http://schemas.openxmlformats.org/spreadsheetml/2006/main" xmlns:r="http://schemas.openxmlformats.org/officeDocument/2006/relationships">
  <sheetPr>
    <tabColor rgb="FFFFC000"/>
    <pageSetUpPr fitToPage="1"/>
  </sheetPr>
  <dimension ref="A1:O28"/>
  <sheetViews>
    <sheetView showGridLines="0" zoomScale="110" zoomScaleNormal="110" zoomScalePageLayoutView="153" workbookViewId="0">
      <selection activeCell="C24" sqref="C24"/>
    </sheetView>
  </sheetViews>
  <sheetFormatPr defaultColWidth="10" defaultRowHeight="13.5"/>
  <cols>
    <col min="1" max="1" width="3.125" style="271" customWidth="1"/>
    <col min="2" max="2" width="17.875" style="271" customWidth="1"/>
    <col min="3" max="3" width="10" style="271" customWidth="1"/>
    <col min="4" max="4" width="2.375" style="271" customWidth="1"/>
    <col min="5" max="5" width="6.125" style="271" customWidth="1"/>
    <col min="6" max="6" width="7.125" style="271" customWidth="1"/>
    <col min="7" max="7" width="1.875" style="271" customWidth="1"/>
    <col min="8" max="9" width="7.125" style="271" customWidth="1"/>
    <col min="10" max="10" width="2.125" style="271" customWidth="1"/>
    <col min="11" max="11" width="12.125" style="271" customWidth="1"/>
    <col min="12" max="12" width="5.875" style="271" customWidth="1"/>
    <col min="13" max="13" width="5.5" style="271" customWidth="1"/>
    <col min="14" max="15" width="8.375" style="271" customWidth="1"/>
    <col min="16" max="256" width="10" style="271"/>
    <col min="257" max="257" width="3.125" style="271" customWidth="1"/>
    <col min="258" max="258" width="17.875" style="271" customWidth="1"/>
    <col min="259" max="259" width="10" style="271" customWidth="1"/>
    <col min="260" max="260" width="2.375" style="271" customWidth="1"/>
    <col min="261" max="261" width="6.125" style="271" customWidth="1"/>
    <col min="262" max="262" width="7.125" style="271" customWidth="1"/>
    <col min="263" max="263" width="1.875" style="271" customWidth="1"/>
    <col min="264" max="265" width="7.125" style="271" customWidth="1"/>
    <col min="266" max="266" width="2.125" style="271" customWidth="1"/>
    <col min="267" max="267" width="12.125" style="271" customWidth="1"/>
    <col min="268" max="268" width="5.875" style="271" customWidth="1"/>
    <col min="269" max="269" width="5.5" style="271" customWidth="1"/>
    <col min="270" max="271" width="8.375" style="271" customWidth="1"/>
    <col min="272" max="512" width="10" style="271"/>
    <col min="513" max="513" width="3.125" style="271" customWidth="1"/>
    <col min="514" max="514" width="17.875" style="271" customWidth="1"/>
    <col min="515" max="515" width="10" style="271" customWidth="1"/>
    <col min="516" max="516" width="2.375" style="271" customWidth="1"/>
    <col min="517" max="517" width="6.125" style="271" customWidth="1"/>
    <col min="518" max="518" width="7.125" style="271" customWidth="1"/>
    <col min="519" max="519" width="1.875" style="271" customWidth="1"/>
    <col min="520" max="521" width="7.125" style="271" customWidth="1"/>
    <col min="522" max="522" width="2.125" style="271" customWidth="1"/>
    <col min="523" max="523" width="12.125" style="271" customWidth="1"/>
    <col min="524" max="524" width="5.875" style="271" customWidth="1"/>
    <col min="525" max="525" width="5.5" style="271" customWidth="1"/>
    <col min="526" max="527" width="8.375" style="271" customWidth="1"/>
    <col min="528" max="768" width="10" style="271"/>
    <col min="769" max="769" width="3.125" style="271" customWidth="1"/>
    <col min="770" max="770" width="17.875" style="271" customWidth="1"/>
    <col min="771" max="771" width="10" style="271" customWidth="1"/>
    <col min="772" max="772" width="2.375" style="271" customWidth="1"/>
    <col min="773" max="773" width="6.125" style="271" customWidth="1"/>
    <col min="774" max="774" width="7.125" style="271" customWidth="1"/>
    <col min="775" max="775" width="1.875" style="271" customWidth="1"/>
    <col min="776" max="777" width="7.125" style="271" customWidth="1"/>
    <col min="778" max="778" width="2.125" style="271" customWidth="1"/>
    <col min="779" max="779" width="12.125" style="271" customWidth="1"/>
    <col min="780" max="780" width="5.875" style="271" customWidth="1"/>
    <col min="781" max="781" width="5.5" style="271" customWidth="1"/>
    <col min="782" max="783" width="8.375" style="271" customWidth="1"/>
    <col min="784" max="1024" width="10" style="271"/>
    <col min="1025" max="1025" width="3.125" style="271" customWidth="1"/>
    <col min="1026" max="1026" width="17.875" style="271" customWidth="1"/>
    <col min="1027" max="1027" width="10" style="271" customWidth="1"/>
    <col min="1028" max="1028" width="2.375" style="271" customWidth="1"/>
    <col min="1029" max="1029" width="6.125" style="271" customWidth="1"/>
    <col min="1030" max="1030" width="7.125" style="271" customWidth="1"/>
    <col min="1031" max="1031" width="1.875" style="271" customWidth="1"/>
    <col min="1032" max="1033" width="7.125" style="271" customWidth="1"/>
    <col min="1034" max="1034" width="2.125" style="271" customWidth="1"/>
    <col min="1035" max="1035" width="12.125" style="271" customWidth="1"/>
    <col min="1036" max="1036" width="5.875" style="271" customWidth="1"/>
    <col min="1037" max="1037" width="5.5" style="271" customWidth="1"/>
    <col min="1038" max="1039" width="8.375" style="271" customWidth="1"/>
    <col min="1040" max="1280" width="10" style="271"/>
    <col min="1281" max="1281" width="3.125" style="271" customWidth="1"/>
    <col min="1282" max="1282" width="17.875" style="271" customWidth="1"/>
    <col min="1283" max="1283" width="10" style="271" customWidth="1"/>
    <col min="1284" max="1284" width="2.375" style="271" customWidth="1"/>
    <col min="1285" max="1285" width="6.125" style="271" customWidth="1"/>
    <col min="1286" max="1286" width="7.125" style="271" customWidth="1"/>
    <col min="1287" max="1287" width="1.875" style="271" customWidth="1"/>
    <col min="1288" max="1289" width="7.125" style="271" customWidth="1"/>
    <col min="1290" max="1290" width="2.125" style="271" customWidth="1"/>
    <col min="1291" max="1291" width="12.125" style="271" customWidth="1"/>
    <col min="1292" max="1292" width="5.875" style="271" customWidth="1"/>
    <col min="1293" max="1293" width="5.5" style="271" customWidth="1"/>
    <col min="1294" max="1295" width="8.375" style="271" customWidth="1"/>
    <col min="1296" max="1536" width="10" style="271"/>
    <col min="1537" max="1537" width="3.125" style="271" customWidth="1"/>
    <col min="1538" max="1538" width="17.875" style="271" customWidth="1"/>
    <col min="1539" max="1539" width="10" style="271" customWidth="1"/>
    <col min="1540" max="1540" width="2.375" style="271" customWidth="1"/>
    <col min="1541" max="1541" width="6.125" style="271" customWidth="1"/>
    <col min="1542" max="1542" width="7.125" style="271" customWidth="1"/>
    <col min="1543" max="1543" width="1.875" style="271" customWidth="1"/>
    <col min="1544" max="1545" width="7.125" style="271" customWidth="1"/>
    <col min="1546" max="1546" width="2.125" style="271" customWidth="1"/>
    <col min="1547" max="1547" width="12.125" style="271" customWidth="1"/>
    <col min="1548" max="1548" width="5.875" style="271" customWidth="1"/>
    <col min="1549" max="1549" width="5.5" style="271" customWidth="1"/>
    <col min="1550" max="1551" width="8.375" style="271" customWidth="1"/>
    <col min="1552" max="1792" width="10" style="271"/>
    <col min="1793" max="1793" width="3.125" style="271" customWidth="1"/>
    <col min="1794" max="1794" width="17.875" style="271" customWidth="1"/>
    <col min="1795" max="1795" width="10" style="271" customWidth="1"/>
    <col min="1796" max="1796" width="2.375" style="271" customWidth="1"/>
    <col min="1797" max="1797" width="6.125" style="271" customWidth="1"/>
    <col min="1798" max="1798" width="7.125" style="271" customWidth="1"/>
    <col min="1799" max="1799" width="1.875" style="271" customWidth="1"/>
    <col min="1800" max="1801" width="7.125" style="271" customWidth="1"/>
    <col min="1802" max="1802" width="2.125" style="271" customWidth="1"/>
    <col min="1803" max="1803" width="12.125" style="271" customWidth="1"/>
    <col min="1804" max="1804" width="5.875" style="271" customWidth="1"/>
    <col min="1805" max="1805" width="5.5" style="271" customWidth="1"/>
    <col min="1806" max="1807" width="8.375" style="271" customWidth="1"/>
    <col min="1808" max="2048" width="10" style="271"/>
    <col min="2049" max="2049" width="3.125" style="271" customWidth="1"/>
    <col min="2050" max="2050" width="17.875" style="271" customWidth="1"/>
    <col min="2051" max="2051" width="10" style="271" customWidth="1"/>
    <col min="2052" max="2052" width="2.375" style="271" customWidth="1"/>
    <col min="2053" max="2053" width="6.125" style="271" customWidth="1"/>
    <col min="2054" max="2054" width="7.125" style="271" customWidth="1"/>
    <col min="2055" max="2055" width="1.875" style="271" customWidth="1"/>
    <col min="2056" max="2057" width="7.125" style="271" customWidth="1"/>
    <col min="2058" max="2058" width="2.125" style="271" customWidth="1"/>
    <col min="2059" max="2059" width="12.125" style="271" customWidth="1"/>
    <col min="2060" max="2060" width="5.875" style="271" customWidth="1"/>
    <col min="2061" max="2061" width="5.5" style="271" customWidth="1"/>
    <col min="2062" max="2063" width="8.375" style="271" customWidth="1"/>
    <col min="2064" max="2304" width="10" style="271"/>
    <col min="2305" max="2305" width="3.125" style="271" customWidth="1"/>
    <col min="2306" max="2306" width="17.875" style="271" customWidth="1"/>
    <col min="2307" max="2307" width="10" style="271" customWidth="1"/>
    <col min="2308" max="2308" width="2.375" style="271" customWidth="1"/>
    <col min="2309" max="2309" width="6.125" style="271" customWidth="1"/>
    <col min="2310" max="2310" width="7.125" style="271" customWidth="1"/>
    <col min="2311" max="2311" width="1.875" style="271" customWidth="1"/>
    <col min="2312" max="2313" width="7.125" style="271" customWidth="1"/>
    <col min="2314" max="2314" width="2.125" style="271" customWidth="1"/>
    <col min="2315" max="2315" width="12.125" style="271" customWidth="1"/>
    <col min="2316" max="2316" width="5.875" style="271" customWidth="1"/>
    <col min="2317" max="2317" width="5.5" style="271" customWidth="1"/>
    <col min="2318" max="2319" width="8.375" style="271" customWidth="1"/>
    <col min="2320" max="2560" width="10" style="271"/>
    <col min="2561" max="2561" width="3.125" style="271" customWidth="1"/>
    <col min="2562" max="2562" width="17.875" style="271" customWidth="1"/>
    <col min="2563" max="2563" width="10" style="271" customWidth="1"/>
    <col min="2564" max="2564" width="2.375" style="271" customWidth="1"/>
    <col min="2565" max="2565" width="6.125" style="271" customWidth="1"/>
    <col min="2566" max="2566" width="7.125" style="271" customWidth="1"/>
    <col min="2567" max="2567" width="1.875" style="271" customWidth="1"/>
    <col min="2568" max="2569" width="7.125" style="271" customWidth="1"/>
    <col min="2570" max="2570" width="2.125" style="271" customWidth="1"/>
    <col min="2571" max="2571" width="12.125" style="271" customWidth="1"/>
    <col min="2572" max="2572" width="5.875" style="271" customWidth="1"/>
    <col min="2573" max="2573" width="5.5" style="271" customWidth="1"/>
    <col min="2574" max="2575" width="8.375" style="271" customWidth="1"/>
    <col min="2576" max="2816" width="10" style="271"/>
    <col min="2817" max="2817" width="3.125" style="271" customWidth="1"/>
    <col min="2818" max="2818" width="17.875" style="271" customWidth="1"/>
    <col min="2819" max="2819" width="10" style="271" customWidth="1"/>
    <col min="2820" max="2820" width="2.375" style="271" customWidth="1"/>
    <col min="2821" max="2821" width="6.125" style="271" customWidth="1"/>
    <col min="2822" max="2822" width="7.125" style="271" customWidth="1"/>
    <col min="2823" max="2823" width="1.875" style="271" customWidth="1"/>
    <col min="2824" max="2825" width="7.125" style="271" customWidth="1"/>
    <col min="2826" max="2826" width="2.125" style="271" customWidth="1"/>
    <col min="2827" max="2827" width="12.125" style="271" customWidth="1"/>
    <col min="2828" max="2828" width="5.875" style="271" customWidth="1"/>
    <col min="2829" max="2829" width="5.5" style="271" customWidth="1"/>
    <col min="2830" max="2831" width="8.375" style="271" customWidth="1"/>
    <col min="2832" max="3072" width="10" style="271"/>
    <col min="3073" max="3073" width="3.125" style="271" customWidth="1"/>
    <col min="3074" max="3074" width="17.875" style="271" customWidth="1"/>
    <col min="3075" max="3075" width="10" style="271" customWidth="1"/>
    <col min="3076" max="3076" width="2.375" style="271" customWidth="1"/>
    <col min="3077" max="3077" width="6.125" style="271" customWidth="1"/>
    <col min="3078" max="3078" width="7.125" style="271" customWidth="1"/>
    <col min="3079" max="3079" width="1.875" style="271" customWidth="1"/>
    <col min="3080" max="3081" width="7.125" style="271" customWidth="1"/>
    <col min="3082" max="3082" width="2.125" style="271" customWidth="1"/>
    <col min="3083" max="3083" width="12.125" style="271" customWidth="1"/>
    <col min="3084" max="3084" width="5.875" style="271" customWidth="1"/>
    <col min="3085" max="3085" width="5.5" style="271" customWidth="1"/>
    <col min="3086" max="3087" width="8.375" style="271" customWidth="1"/>
    <col min="3088" max="3328" width="10" style="271"/>
    <col min="3329" max="3329" width="3.125" style="271" customWidth="1"/>
    <col min="3330" max="3330" width="17.875" style="271" customWidth="1"/>
    <col min="3331" max="3331" width="10" style="271" customWidth="1"/>
    <col min="3332" max="3332" width="2.375" style="271" customWidth="1"/>
    <col min="3333" max="3333" width="6.125" style="271" customWidth="1"/>
    <col min="3334" max="3334" width="7.125" style="271" customWidth="1"/>
    <col min="3335" max="3335" width="1.875" style="271" customWidth="1"/>
    <col min="3336" max="3337" width="7.125" style="271" customWidth="1"/>
    <col min="3338" max="3338" width="2.125" style="271" customWidth="1"/>
    <col min="3339" max="3339" width="12.125" style="271" customWidth="1"/>
    <col min="3340" max="3340" width="5.875" style="271" customWidth="1"/>
    <col min="3341" max="3341" width="5.5" style="271" customWidth="1"/>
    <col min="3342" max="3343" width="8.375" style="271" customWidth="1"/>
    <col min="3344" max="3584" width="10" style="271"/>
    <col min="3585" max="3585" width="3.125" style="271" customWidth="1"/>
    <col min="3586" max="3586" width="17.875" style="271" customWidth="1"/>
    <col min="3587" max="3587" width="10" style="271" customWidth="1"/>
    <col min="3588" max="3588" width="2.375" style="271" customWidth="1"/>
    <col min="3589" max="3589" width="6.125" style="271" customWidth="1"/>
    <col min="3590" max="3590" width="7.125" style="271" customWidth="1"/>
    <col min="3591" max="3591" width="1.875" style="271" customWidth="1"/>
    <col min="3592" max="3593" width="7.125" style="271" customWidth="1"/>
    <col min="3594" max="3594" width="2.125" style="271" customWidth="1"/>
    <col min="3595" max="3595" width="12.125" style="271" customWidth="1"/>
    <col min="3596" max="3596" width="5.875" style="271" customWidth="1"/>
    <col min="3597" max="3597" width="5.5" style="271" customWidth="1"/>
    <col min="3598" max="3599" width="8.375" style="271" customWidth="1"/>
    <col min="3600" max="3840" width="10" style="271"/>
    <col min="3841" max="3841" width="3.125" style="271" customWidth="1"/>
    <col min="3842" max="3842" width="17.875" style="271" customWidth="1"/>
    <col min="3843" max="3843" width="10" style="271" customWidth="1"/>
    <col min="3844" max="3844" width="2.375" style="271" customWidth="1"/>
    <col min="3845" max="3845" width="6.125" style="271" customWidth="1"/>
    <col min="3846" max="3846" width="7.125" style="271" customWidth="1"/>
    <col min="3847" max="3847" width="1.875" style="271" customWidth="1"/>
    <col min="3848" max="3849" width="7.125" style="271" customWidth="1"/>
    <col min="3850" max="3850" width="2.125" style="271" customWidth="1"/>
    <col min="3851" max="3851" width="12.125" style="271" customWidth="1"/>
    <col min="3852" max="3852" width="5.875" style="271" customWidth="1"/>
    <col min="3853" max="3853" width="5.5" style="271" customWidth="1"/>
    <col min="3854" max="3855" width="8.375" style="271" customWidth="1"/>
    <col min="3856" max="4096" width="10" style="271"/>
    <col min="4097" max="4097" width="3.125" style="271" customWidth="1"/>
    <col min="4098" max="4098" width="17.875" style="271" customWidth="1"/>
    <col min="4099" max="4099" width="10" style="271" customWidth="1"/>
    <col min="4100" max="4100" width="2.375" style="271" customWidth="1"/>
    <col min="4101" max="4101" width="6.125" style="271" customWidth="1"/>
    <col min="4102" max="4102" width="7.125" style="271" customWidth="1"/>
    <col min="4103" max="4103" width="1.875" style="271" customWidth="1"/>
    <col min="4104" max="4105" width="7.125" style="271" customWidth="1"/>
    <col min="4106" max="4106" width="2.125" style="271" customWidth="1"/>
    <col min="4107" max="4107" width="12.125" style="271" customWidth="1"/>
    <col min="4108" max="4108" width="5.875" style="271" customWidth="1"/>
    <col min="4109" max="4109" width="5.5" style="271" customWidth="1"/>
    <col min="4110" max="4111" width="8.375" style="271" customWidth="1"/>
    <col min="4112" max="4352" width="10" style="271"/>
    <col min="4353" max="4353" width="3.125" style="271" customWidth="1"/>
    <col min="4354" max="4354" width="17.875" style="271" customWidth="1"/>
    <col min="4355" max="4355" width="10" style="271" customWidth="1"/>
    <col min="4356" max="4356" width="2.375" style="271" customWidth="1"/>
    <col min="4357" max="4357" width="6.125" style="271" customWidth="1"/>
    <col min="4358" max="4358" width="7.125" style="271" customWidth="1"/>
    <col min="4359" max="4359" width="1.875" style="271" customWidth="1"/>
    <col min="4360" max="4361" width="7.125" style="271" customWidth="1"/>
    <col min="4362" max="4362" width="2.125" style="271" customWidth="1"/>
    <col min="4363" max="4363" width="12.125" style="271" customWidth="1"/>
    <col min="4364" max="4364" width="5.875" style="271" customWidth="1"/>
    <col min="4365" max="4365" width="5.5" style="271" customWidth="1"/>
    <col min="4366" max="4367" width="8.375" style="271" customWidth="1"/>
    <col min="4368" max="4608" width="10" style="271"/>
    <col min="4609" max="4609" width="3.125" style="271" customWidth="1"/>
    <col min="4610" max="4610" width="17.875" style="271" customWidth="1"/>
    <col min="4611" max="4611" width="10" style="271" customWidth="1"/>
    <col min="4612" max="4612" width="2.375" style="271" customWidth="1"/>
    <col min="4613" max="4613" width="6.125" style="271" customWidth="1"/>
    <col min="4614" max="4614" width="7.125" style="271" customWidth="1"/>
    <col min="4615" max="4615" width="1.875" style="271" customWidth="1"/>
    <col min="4616" max="4617" width="7.125" style="271" customWidth="1"/>
    <col min="4618" max="4618" width="2.125" style="271" customWidth="1"/>
    <col min="4619" max="4619" width="12.125" style="271" customWidth="1"/>
    <col min="4620" max="4620" width="5.875" style="271" customWidth="1"/>
    <col min="4621" max="4621" width="5.5" style="271" customWidth="1"/>
    <col min="4622" max="4623" width="8.375" style="271" customWidth="1"/>
    <col min="4624" max="4864" width="10" style="271"/>
    <col min="4865" max="4865" width="3.125" style="271" customWidth="1"/>
    <col min="4866" max="4866" width="17.875" style="271" customWidth="1"/>
    <col min="4867" max="4867" width="10" style="271" customWidth="1"/>
    <col min="4868" max="4868" width="2.375" style="271" customWidth="1"/>
    <col min="4869" max="4869" width="6.125" style="271" customWidth="1"/>
    <col min="4870" max="4870" width="7.125" style="271" customWidth="1"/>
    <col min="4871" max="4871" width="1.875" style="271" customWidth="1"/>
    <col min="4872" max="4873" width="7.125" style="271" customWidth="1"/>
    <col min="4874" max="4874" width="2.125" style="271" customWidth="1"/>
    <col min="4875" max="4875" width="12.125" style="271" customWidth="1"/>
    <col min="4876" max="4876" width="5.875" style="271" customWidth="1"/>
    <col min="4877" max="4877" width="5.5" style="271" customWidth="1"/>
    <col min="4878" max="4879" width="8.375" style="271" customWidth="1"/>
    <col min="4880" max="5120" width="10" style="271"/>
    <col min="5121" max="5121" width="3.125" style="271" customWidth="1"/>
    <col min="5122" max="5122" width="17.875" style="271" customWidth="1"/>
    <col min="5123" max="5123" width="10" style="271" customWidth="1"/>
    <col min="5124" max="5124" width="2.375" style="271" customWidth="1"/>
    <col min="5125" max="5125" width="6.125" style="271" customWidth="1"/>
    <col min="5126" max="5126" width="7.125" style="271" customWidth="1"/>
    <col min="5127" max="5127" width="1.875" style="271" customWidth="1"/>
    <col min="5128" max="5129" width="7.125" style="271" customWidth="1"/>
    <col min="5130" max="5130" width="2.125" style="271" customWidth="1"/>
    <col min="5131" max="5131" width="12.125" style="271" customWidth="1"/>
    <col min="5132" max="5132" width="5.875" style="271" customWidth="1"/>
    <col min="5133" max="5133" width="5.5" style="271" customWidth="1"/>
    <col min="5134" max="5135" width="8.375" style="271" customWidth="1"/>
    <col min="5136" max="5376" width="10" style="271"/>
    <col min="5377" max="5377" width="3.125" style="271" customWidth="1"/>
    <col min="5378" max="5378" width="17.875" style="271" customWidth="1"/>
    <col min="5379" max="5379" width="10" style="271" customWidth="1"/>
    <col min="5380" max="5380" width="2.375" style="271" customWidth="1"/>
    <col min="5381" max="5381" width="6.125" style="271" customWidth="1"/>
    <col min="5382" max="5382" width="7.125" style="271" customWidth="1"/>
    <col min="5383" max="5383" width="1.875" style="271" customWidth="1"/>
    <col min="5384" max="5385" width="7.125" style="271" customWidth="1"/>
    <col min="5386" max="5386" width="2.125" style="271" customWidth="1"/>
    <col min="5387" max="5387" width="12.125" style="271" customWidth="1"/>
    <col min="5388" max="5388" width="5.875" style="271" customWidth="1"/>
    <col min="5389" max="5389" width="5.5" style="271" customWidth="1"/>
    <col min="5390" max="5391" width="8.375" style="271" customWidth="1"/>
    <col min="5392" max="5632" width="10" style="271"/>
    <col min="5633" max="5633" width="3.125" style="271" customWidth="1"/>
    <col min="5634" max="5634" width="17.875" style="271" customWidth="1"/>
    <col min="5635" max="5635" width="10" style="271" customWidth="1"/>
    <col min="5636" max="5636" width="2.375" style="271" customWidth="1"/>
    <col min="5637" max="5637" width="6.125" style="271" customWidth="1"/>
    <col min="5638" max="5638" width="7.125" style="271" customWidth="1"/>
    <col min="5639" max="5639" width="1.875" style="271" customWidth="1"/>
    <col min="5640" max="5641" width="7.125" style="271" customWidth="1"/>
    <col min="5642" max="5642" width="2.125" style="271" customWidth="1"/>
    <col min="5643" max="5643" width="12.125" style="271" customWidth="1"/>
    <col min="5644" max="5644" width="5.875" style="271" customWidth="1"/>
    <col min="5645" max="5645" width="5.5" style="271" customWidth="1"/>
    <col min="5646" max="5647" width="8.375" style="271" customWidth="1"/>
    <col min="5648" max="5888" width="10" style="271"/>
    <col min="5889" max="5889" width="3.125" style="271" customWidth="1"/>
    <col min="5890" max="5890" width="17.875" style="271" customWidth="1"/>
    <col min="5891" max="5891" width="10" style="271" customWidth="1"/>
    <col min="5892" max="5892" width="2.375" style="271" customWidth="1"/>
    <col min="5893" max="5893" width="6.125" style="271" customWidth="1"/>
    <col min="5894" max="5894" width="7.125" style="271" customWidth="1"/>
    <col min="5895" max="5895" width="1.875" style="271" customWidth="1"/>
    <col min="5896" max="5897" width="7.125" style="271" customWidth="1"/>
    <col min="5898" max="5898" width="2.125" style="271" customWidth="1"/>
    <col min="5899" max="5899" width="12.125" style="271" customWidth="1"/>
    <col min="5900" max="5900" width="5.875" style="271" customWidth="1"/>
    <col min="5901" max="5901" width="5.5" style="271" customWidth="1"/>
    <col min="5902" max="5903" width="8.375" style="271" customWidth="1"/>
    <col min="5904" max="6144" width="10" style="271"/>
    <col min="6145" max="6145" width="3.125" style="271" customWidth="1"/>
    <col min="6146" max="6146" width="17.875" style="271" customWidth="1"/>
    <col min="6147" max="6147" width="10" style="271" customWidth="1"/>
    <col min="6148" max="6148" width="2.375" style="271" customWidth="1"/>
    <col min="6149" max="6149" width="6.125" style="271" customWidth="1"/>
    <col min="6150" max="6150" width="7.125" style="271" customWidth="1"/>
    <col min="6151" max="6151" width="1.875" style="271" customWidth="1"/>
    <col min="6152" max="6153" width="7.125" style="271" customWidth="1"/>
    <col min="6154" max="6154" width="2.125" style="271" customWidth="1"/>
    <col min="6155" max="6155" width="12.125" style="271" customWidth="1"/>
    <col min="6156" max="6156" width="5.875" style="271" customWidth="1"/>
    <col min="6157" max="6157" width="5.5" style="271" customWidth="1"/>
    <col min="6158" max="6159" width="8.375" style="271" customWidth="1"/>
    <col min="6160" max="6400" width="10" style="271"/>
    <col min="6401" max="6401" width="3.125" style="271" customWidth="1"/>
    <col min="6402" max="6402" width="17.875" style="271" customWidth="1"/>
    <col min="6403" max="6403" width="10" style="271" customWidth="1"/>
    <col min="6404" max="6404" width="2.375" style="271" customWidth="1"/>
    <col min="6405" max="6405" width="6.125" style="271" customWidth="1"/>
    <col min="6406" max="6406" width="7.125" style="271" customWidth="1"/>
    <col min="6407" max="6407" width="1.875" style="271" customWidth="1"/>
    <col min="6408" max="6409" width="7.125" style="271" customWidth="1"/>
    <col min="6410" max="6410" width="2.125" style="271" customWidth="1"/>
    <col min="6411" max="6411" width="12.125" style="271" customWidth="1"/>
    <col min="6412" max="6412" width="5.875" style="271" customWidth="1"/>
    <col min="6413" max="6413" width="5.5" style="271" customWidth="1"/>
    <col min="6414" max="6415" width="8.375" style="271" customWidth="1"/>
    <col min="6416" max="6656" width="10" style="271"/>
    <col min="6657" max="6657" width="3.125" style="271" customWidth="1"/>
    <col min="6658" max="6658" width="17.875" style="271" customWidth="1"/>
    <col min="6659" max="6659" width="10" style="271" customWidth="1"/>
    <col min="6660" max="6660" width="2.375" style="271" customWidth="1"/>
    <col min="6661" max="6661" width="6.125" style="271" customWidth="1"/>
    <col min="6662" max="6662" width="7.125" style="271" customWidth="1"/>
    <col min="6663" max="6663" width="1.875" style="271" customWidth="1"/>
    <col min="6664" max="6665" width="7.125" style="271" customWidth="1"/>
    <col min="6666" max="6666" width="2.125" style="271" customWidth="1"/>
    <col min="6667" max="6667" width="12.125" style="271" customWidth="1"/>
    <col min="6668" max="6668" width="5.875" style="271" customWidth="1"/>
    <col min="6669" max="6669" width="5.5" style="271" customWidth="1"/>
    <col min="6670" max="6671" width="8.375" style="271" customWidth="1"/>
    <col min="6672" max="6912" width="10" style="271"/>
    <col min="6913" max="6913" width="3.125" style="271" customWidth="1"/>
    <col min="6914" max="6914" width="17.875" style="271" customWidth="1"/>
    <col min="6915" max="6915" width="10" style="271" customWidth="1"/>
    <col min="6916" max="6916" width="2.375" style="271" customWidth="1"/>
    <col min="6917" max="6917" width="6.125" style="271" customWidth="1"/>
    <col min="6918" max="6918" width="7.125" style="271" customWidth="1"/>
    <col min="6919" max="6919" width="1.875" style="271" customWidth="1"/>
    <col min="6920" max="6921" width="7.125" style="271" customWidth="1"/>
    <col min="6922" max="6922" width="2.125" style="271" customWidth="1"/>
    <col min="6923" max="6923" width="12.125" style="271" customWidth="1"/>
    <col min="6924" max="6924" width="5.875" style="271" customWidth="1"/>
    <col min="6925" max="6925" width="5.5" style="271" customWidth="1"/>
    <col min="6926" max="6927" width="8.375" style="271" customWidth="1"/>
    <col min="6928" max="7168" width="10" style="271"/>
    <col min="7169" max="7169" width="3.125" style="271" customWidth="1"/>
    <col min="7170" max="7170" width="17.875" style="271" customWidth="1"/>
    <col min="7171" max="7171" width="10" style="271" customWidth="1"/>
    <col min="7172" max="7172" width="2.375" style="271" customWidth="1"/>
    <col min="7173" max="7173" width="6.125" style="271" customWidth="1"/>
    <col min="7174" max="7174" width="7.125" style="271" customWidth="1"/>
    <col min="7175" max="7175" width="1.875" style="271" customWidth="1"/>
    <col min="7176" max="7177" width="7.125" style="271" customWidth="1"/>
    <col min="7178" max="7178" width="2.125" style="271" customWidth="1"/>
    <col min="7179" max="7179" width="12.125" style="271" customWidth="1"/>
    <col min="7180" max="7180" width="5.875" style="271" customWidth="1"/>
    <col min="7181" max="7181" width="5.5" style="271" customWidth="1"/>
    <col min="7182" max="7183" width="8.375" style="271" customWidth="1"/>
    <col min="7184" max="7424" width="10" style="271"/>
    <col min="7425" max="7425" width="3.125" style="271" customWidth="1"/>
    <col min="7426" max="7426" width="17.875" style="271" customWidth="1"/>
    <col min="7427" max="7427" width="10" style="271" customWidth="1"/>
    <col min="7428" max="7428" width="2.375" style="271" customWidth="1"/>
    <col min="7429" max="7429" width="6.125" style="271" customWidth="1"/>
    <col min="7430" max="7430" width="7.125" style="271" customWidth="1"/>
    <col min="7431" max="7431" width="1.875" style="271" customWidth="1"/>
    <col min="7432" max="7433" width="7.125" style="271" customWidth="1"/>
    <col min="7434" max="7434" width="2.125" style="271" customWidth="1"/>
    <col min="7435" max="7435" width="12.125" style="271" customWidth="1"/>
    <col min="7436" max="7436" width="5.875" style="271" customWidth="1"/>
    <col min="7437" max="7437" width="5.5" style="271" customWidth="1"/>
    <col min="7438" max="7439" width="8.375" style="271" customWidth="1"/>
    <col min="7440" max="7680" width="10" style="271"/>
    <col min="7681" max="7681" width="3.125" style="271" customWidth="1"/>
    <col min="7682" max="7682" width="17.875" style="271" customWidth="1"/>
    <col min="7683" max="7683" width="10" style="271" customWidth="1"/>
    <col min="7684" max="7684" width="2.375" style="271" customWidth="1"/>
    <col min="7685" max="7685" width="6.125" style="271" customWidth="1"/>
    <col min="7686" max="7686" width="7.125" style="271" customWidth="1"/>
    <col min="7687" max="7687" width="1.875" style="271" customWidth="1"/>
    <col min="7688" max="7689" width="7.125" style="271" customWidth="1"/>
    <col min="7690" max="7690" width="2.125" style="271" customWidth="1"/>
    <col min="7691" max="7691" width="12.125" style="271" customWidth="1"/>
    <col min="7692" max="7692" width="5.875" style="271" customWidth="1"/>
    <col min="7693" max="7693" width="5.5" style="271" customWidth="1"/>
    <col min="7694" max="7695" width="8.375" style="271" customWidth="1"/>
    <col min="7696" max="7936" width="10" style="271"/>
    <col min="7937" max="7937" width="3.125" style="271" customWidth="1"/>
    <col min="7938" max="7938" width="17.875" style="271" customWidth="1"/>
    <col min="7939" max="7939" width="10" style="271" customWidth="1"/>
    <col min="7940" max="7940" width="2.375" style="271" customWidth="1"/>
    <col min="7941" max="7941" width="6.125" style="271" customWidth="1"/>
    <col min="7942" max="7942" width="7.125" style="271" customWidth="1"/>
    <col min="7943" max="7943" width="1.875" style="271" customWidth="1"/>
    <col min="7944" max="7945" width="7.125" style="271" customWidth="1"/>
    <col min="7946" max="7946" width="2.125" style="271" customWidth="1"/>
    <col min="7947" max="7947" width="12.125" style="271" customWidth="1"/>
    <col min="7948" max="7948" width="5.875" style="271" customWidth="1"/>
    <col min="7949" max="7949" width="5.5" style="271" customWidth="1"/>
    <col min="7950" max="7951" width="8.375" style="271" customWidth="1"/>
    <col min="7952" max="8192" width="10" style="271"/>
    <col min="8193" max="8193" width="3.125" style="271" customWidth="1"/>
    <col min="8194" max="8194" width="17.875" style="271" customWidth="1"/>
    <col min="8195" max="8195" width="10" style="271" customWidth="1"/>
    <col min="8196" max="8196" width="2.375" style="271" customWidth="1"/>
    <col min="8197" max="8197" width="6.125" style="271" customWidth="1"/>
    <col min="8198" max="8198" width="7.125" style="271" customWidth="1"/>
    <col min="8199" max="8199" width="1.875" style="271" customWidth="1"/>
    <col min="8200" max="8201" width="7.125" style="271" customWidth="1"/>
    <col min="8202" max="8202" width="2.125" style="271" customWidth="1"/>
    <col min="8203" max="8203" width="12.125" style="271" customWidth="1"/>
    <col min="8204" max="8204" width="5.875" style="271" customWidth="1"/>
    <col min="8205" max="8205" width="5.5" style="271" customWidth="1"/>
    <col min="8206" max="8207" width="8.375" style="271" customWidth="1"/>
    <col min="8208" max="8448" width="10" style="271"/>
    <col min="8449" max="8449" width="3.125" style="271" customWidth="1"/>
    <col min="8450" max="8450" width="17.875" style="271" customWidth="1"/>
    <col min="8451" max="8451" width="10" style="271" customWidth="1"/>
    <col min="8452" max="8452" width="2.375" style="271" customWidth="1"/>
    <col min="8453" max="8453" width="6.125" style="271" customWidth="1"/>
    <col min="8454" max="8454" width="7.125" style="271" customWidth="1"/>
    <col min="8455" max="8455" width="1.875" style="271" customWidth="1"/>
    <col min="8456" max="8457" width="7.125" style="271" customWidth="1"/>
    <col min="8458" max="8458" width="2.125" style="271" customWidth="1"/>
    <col min="8459" max="8459" width="12.125" style="271" customWidth="1"/>
    <col min="8460" max="8460" width="5.875" style="271" customWidth="1"/>
    <col min="8461" max="8461" width="5.5" style="271" customWidth="1"/>
    <col min="8462" max="8463" width="8.375" style="271" customWidth="1"/>
    <col min="8464" max="8704" width="10" style="271"/>
    <col min="8705" max="8705" width="3.125" style="271" customWidth="1"/>
    <col min="8706" max="8706" width="17.875" style="271" customWidth="1"/>
    <col min="8707" max="8707" width="10" style="271" customWidth="1"/>
    <col min="8708" max="8708" width="2.375" style="271" customWidth="1"/>
    <col min="8709" max="8709" width="6.125" style="271" customWidth="1"/>
    <col min="8710" max="8710" width="7.125" style="271" customWidth="1"/>
    <col min="8711" max="8711" width="1.875" style="271" customWidth="1"/>
    <col min="8712" max="8713" width="7.125" style="271" customWidth="1"/>
    <col min="8714" max="8714" width="2.125" style="271" customWidth="1"/>
    <col min="8715" max="8715" width="12.125" style="271" customWidth="1"/>
    <col min="8716" max="8716" width="5.875" style="271" customWidth="1"/>
    <col min="8717" max="8717" width="5.5" style="271" customWidth="1"/>
    <col min="8718" max="8719" width="8.375" style="271" customWidth="1"/>
    <col min="8720" max="8960" width="10" style="271"/>
    <col min="8961" max="8961" width="3.125" style="271" customWidth="1"/>
    <col min="8962" max="8962" width="17.875" style="271" customWidth="1"/>
    <col min="8963" max="8963" width="10" style="271" customWidth="1"/>
    <col min="8964" max="8964" width="2.375" style="271" customWidth="1"/>
    <col min="8965" max="8965" width="6.125" style="271" customWidth="1"/>
    <col min="8966" max="8966" width="7.125" style="271" customWidth="1"/>
    <col min="8967" max="8967" width="1.875" style="271" customWidth="1"/>
    <col min="8968" max="8969" width="7.125" style="271" customWidth="1"/>
    <col min="8970" max="8970" width="2.125" style="271" customWidth="1"/>
    <col min="8971" max="8971" width="12.125" style="271" customWidth="1"/>
    <col min="8972" max="8972" width="5.875" style="271" customWidth="1"/>
    <col min="8973" max="8973" width="5.5" style="271" customWidth="1"/>
    <col min="8974" max="8975" width="8.375" style="271" customWidth="1"/>
    <col min="8976" max="9216" width="10" style="271"/>
    <col min="9217" max="9217" width="3.125" style="271" customWidth="1"/>
    <col min="9218" max="9218" width="17.875" style="271" customWidth="1"/>
    <col min="9219" max="9219" width="10" style="271" customWidth="1"/>
    <col min="9220" max="9220" width="2.375" style="271" customWidth="1"/>
    <col min="9221" max="9221" width="6.125" style="271" customWidth="1"/>
    <col min="9222" max="9222" width="7.125" style="271" customWidth="1"/>
    <col min="9223" max="9223" width="1.875" style="271" customWidth="1"/>
    <col min="9224" max="9225" width="7.125" style="271" customWidth="1"/>
    <col min="9226" max="9226" width="2.125" style="271" customWidth="1"/>
    <col min="9227" max="9227" width="12.125" style="271" customWidth="1"/>
    <col min="9228" max="9228" width="5.875" style="271" customWidth="1"/>
    <col min="9229" max="9229" width="5.5" style="271" customWidth="1"/>
    <col min="9230" max="9231" width="8.375" style="271" customWidth="1"/>
    <col min="9232" max="9472" width="10" style="271"/>
    <col min="9473" max="9473" width="3.125" style="271" customWidth="1"/>
    <col min="9474" max="9474" width="17.875" style="271" customWidth="1"/>
    <col min="9475" max="9475" width="10" style="271" customWidth="1"/>
    <col min="9476" max="9476" width="2.375" style="271" customWidth="1"/>
    <col min="9477" max="9477" width="6.125" style="271" customWidth="1"/>
    <col min="9478" max="9478" width="7.125" style="271" customWidth="1"/>
    <col min="9479" max="9479" width="1.875" style="271" customWidth="1"/>
    <col min="9480" max="9481" width="7.125" style="271" customWidth="1"/>
    <col min="9482" max="9482" width="2.125" style="271" customWidth="1"/>
    <col min="9483" max="9483" width="12.125" style="271" customWidth="1"/>
    <col min="9484" max="9484" width="5.875" style="271" customWidth="1"/>
    <col min="9485" max="9485" width="5.5" style="271" customWidth="1"/>
    <col min="9486" max="9487" width="8.375" style="271" customWidth="1"/>
    <col min="9488" max="9728" width="10" style="271"/>
    <col min="9729" max="9729" width="3.125" style="271" customWidth="1"/>
    <col min="9730" max="9730" width="17.875" style="271" customWidth="1"/>
    <col min="9731" max="9731" width="10" style="271" customWidth="1"/>
    <col min="9732" max="9732" width="2.375" style="271" customWidth="1"/>
    <col min="9733" max="9733" width="6.125" style="271" customWidth="1"/>
    <col min="9734" max="9734" width="7.125" style="271" customWidth="1"/>
    <col min="9735" max="9735" width="1.875" style="271" customWidth="1"/>
    <col min="9736" max="9737" width="7.125" style="271" customWidth="1"/>
    <col min="9738" max="9738" width="2.125" style="271" customWidth="1"/>
    <col min="9739" max="9739" width="12.125" style="271" customWidth="1"/>
    <col min="9740" max="9740" width="5.875" style="271" customWidth="1"/>
    <col min="9741" max="9741" width="5.5" style="271" customWidth="1"/>
    <col min="9742" max="9743" width="8.375" style="271" customWidth="1"/>
    <col min="9744" max="9984" width="10" style="271"/>
    <col min="9985" max="9985" width="3.125" style="271" customWidth="1"/>
    <col min="9986" max="9986" width="17.875" style="271" customWidth="1"/>
    <col min="9987" max="9987" width="10" style="271" customWidth="1"/>
    <col min="9988" max="9988" width="2.375" style="271" customWidth="1"/>
    <col min="9989" max="9989" width="6.125" style="271" customWidth="1"/>
    <col min="9990" max="9990" width="7.125" style="271" customWidth="1"/>
    <col min="9991" max="9991" width="1.875" style="271" customWidth="1"/>
    <col min="9992" max="9993" width="7.125" style="271" customWidth="1"/>
    <col min="9994" max="9994" width="2.125" style="271" customWidth="1"/>
    <col min="9995" max="9995" width="12.125" style="271" customWidth="1"/>
    <col min="9996" max="9996" width="5.875" style="271" customWidth="1"/>
    <col min="9997" max="9997" width="5.5" style="271" customWidth="1"/>
    <col min="9998" max="9999" width="8.375" style="271" customWidth="1"/>
    <col min="10000" max="10240" width="10" style="271"/>
    <col min="10241" max="10241" width="3.125" style="271" customWidth="1"/>
    <col min="10242" max="10242" width="17.875" style="271" customWidth="1"/>
    <col min="10243" max="10243" width="10" style="271" customWidth="1"/>
    <col min="10244" max="10244" width="2.375" style="271" customWidth="1"/>
    <col min="10245" max="10245" width="6.125" style="271" customWidth="1"/>
    <col min="10246" max="10246" width="7.125" style="271" customWidth="1"/>
    <col min="10247" max="10247" width="1.875" style="271" customWidth="1"/>
    <col min="10248" max="10249" width="7.125" style="271" customWidth="1"/>
    <col min="10250" max="10250" width="2.125" style="271" customWidth="1"/>
    <col min="10251" max="10251" width="12.125" style="271" customWidth="1"/>
    <col min="10252" max="10252" width="5.875" style="271" customWidth="1"/>
    <col min="10253" max="10253" width="5.5" style="271" customWidth="1"/>
    <col min="10254" max="10255" width="8.375" style="271" customWidth="1"/>
    <col min="10256" max="10496" width="10" style="271"/>
    <col min="10497" max="10497" width="3.125" style="271" customWidth="1"/>
    <col min="10498" max="10498" width="17.875" style="271" customWidth="1"/>
    <col min="10499" max="10499" width="10" style="271" customWidth="1"/>
    <col min="10500" max="10500" width="2.375" style="271" customWidth="1"/>
    <col min="10501" max="10501" width="6.125" style="271" customWidth="1"/>
    <col min="10502" max="10502" width="7.125" style="271" customWidth="1"/>
    <col min="10503" max="10503" width="1.875" style="271" customWidth="1"/>
    <col min="10504" max="10505" width="7.125" style="271" customWidth="1"/>
    <col min="10506" max="10506" width="2.125" style="271" customWidth="1"/>
    <col min="10507" max="10507" width="12.125" style="271" customWidth="1"/>
    <col min="10508" max="10508" width="5.875" style="271" customWidth="1"/>
    <col min="10509" max="10509" width="5.5" style="271" customWidth="1"/>
    <col min="10510" max="10511" width="8.375" style="271" customWidth="1"/>
    <col min="10512" max="10752" width="10" style="271"/>
    <col min="10753" max="10753" width="3.125" style="271" customWidth="1"/>
    <col min="10754" max="10754" width="17.875" style="271" customWidth="1"/>
    <col min="10755" max="10755" width="10" style="271" customWidth="1"/>
    <col min="10756" max="10756" width="2.375" style="271" customWidth="1"/>
    <col min="10757" max="10757" width="6.125" style="271" customWidth="1"/>
    <col min="10758" max="10758" width="7.125" style="271" customWidth="1"/>
    <col min="10759" max="10759" width="1.875" style="271" customWidth="1"/>
    <col min="10760" max="10761" width="7.125" style="271" customWidth="1"/>
    <col min="10762" max="10762" width="2.125" style="271" customWidth="1"/>
    <col min="10763" max="10763" width="12.125" style="271" customWidth="1"/>
    <col min="10764" max="10764" width="5.875" style="271" customWidth="1"/>
    <col min="10765" max="10765" width="5.5" style="271" customWidth="1"/>
    <col min="10766" max="10767" width="8.375" style="271" customWidth="1"/>
    <col min="10768" max="11008" width="10" style="271"/>
    <col min="11009" max="11009" width="3.125" style="271" customWidth="1"/>
    <col min="11010" max="11010" width="17.875" style="271" customWidth="1"/>
    <col min="11011" max="11011" width="10" style="271" customWidth="1"/>
    <col min="11012" max="11012" width="2.375" style="271" customWidth="1"/>
    <col min="11013" max="11013" width="6.125" style="271" customWidth="1"/>
    <col min="11014" max="11014" width="7.125" style="271" customWidth="1"/>
    <col min="11015" max="11015" width="1.875" style="271" customWidth="1"/>
    <col min="11016" max="11017" width="7.125" style="271" customWidth="1"/>
    <col min="11018" max="11018" width="2.125" style="271" customWidth="1"/>
    <col min="11019" max="11019" width="12.125" style="271" customWidth="1"/>
    <col min="11020" max="11020" width="5.875" style="271" customWidth="1"/>
    <col min="11021" max="11021" width="5.5" style="271" customWidth="1"/>
    <col min="11022" max="11023" width="8.375" style="271" customWidth="1"/>
    <col min="11024" max="11264" width="10" style="271"/>
    <col min="11265" max="11265" width="3.125" style="271" customWidth="1"/>
    <col min="11266" max="11266" width="17.875" style="271" customWidth="1"/>
    <col min="11267" max="11267" width="10" style="271" customWidth="1"/>
    <col min="11268" max="11268" width="2.375" style="271" customWidth="1"/>
    <col min="11269" max="11269" width="6.125" style="271" customWidth="1"/>
    <col min="11270" max="11270" width="7.125" style="271" customWidth="1"/>
    <col min="11271" max="11271" width="1.875" style="271" customWidth="1"/>
    <col min="11272" max="11273" width="7.125" style="271" customWidth="1"/>
    <col min="11274" max="11274" width="2.125" style="271" customWidth="1"/>
    <col min="11275" max="11275" width="12.125" style="271" customWidth="1"/>
    <col min="11276" max="11276" width="5.875" style="271" customWidth="1"/>
    <col min="11277" max="11277" width="5.5" style="271" customWidth="1"/>
    <col min="11278" max="11279" width="8.375" style="271" customWidth="1"/>
    <col min="11280" max="11520" width="10" style="271"/>
    <col min="11521" max="11521" width="3.125" style="271" customWidth="1"/>
    <col min="11522" max="11522" width="17.875" style="271" customWidth="1"/>
    <col min="11523" max="11523" width="10" style="271" customWidth="1"/>
    <col min="11524" max="11524" width="2.375" style="271" customWidth="1"/>
    <col min="11525" max="11525" width="6.125" style="271" customWidth="1"/>
    <col min="11526" max="11526" width="7.125" style="271" customWidth="1"/>
    <col min="11527" max="11527" width="1.875" style="271" customWidth="1"/>
    <col min="11528" max="11529" width="7.125" style="271" customWidth="1"/>
    <col min="11530" max="11530" width="2.125" style="271" customWidth="1"/>
    <col min="11531" max="11531" width="12.125" style="271" customWidth="1"/>
    <col min="11532" max="11532" width="5.875" style="271" customWidth="1"/>
    <col min="11533" max="11533" width="5.5" style="271" customWidth="1"/>
    <col min="11534" max="11535" width="8.375" style="271" customWidth="1"/>
    <col min="11536" max="11776" width="10" style="271"/>
    <col min="11777" max="11777" width="3.125" style="271" customWidth="1"/>
    <col min="11778" max="11778" width="17.875" style="271" customWidth="1"/>
    <col min="11779" max="11779" width="10" style="271" customWidth="1"/>
    <col min="11780" max="11780" width="2.375" style="271" customWidth="1"/>
    <col min="11781" max="11781" width="6.125" style="271" customWidth="1"/>
    <col min="11782" max="11782" width="7.125" style="271" customWidth="1"/>
    <col min="11783" max="11783" width="1.875" style="271" customWidth="1"/>
    <col min="11784" max="11785" width="7.125" style="271" customWidth="1"/>
    <col min="11786" max="11786" width="2.125" style="271" customWidth="1"/>
    <col min="11787" max="11787" width="12.125" style="271" customWidth="1"/>
    <col min="11788" max="11788" width="5.875" style="271" customWidth="1"/>
    <col min="11789" max="11789" width="5.5" style="271" customWidth="1"/>
    <col min="11790" max="11791" width="8.375" style="271" customWidth="1"/>
    <col min="11792" max="12032" width="10" style="271"/>
    <col min="12033" max="12033" width="3.125" style="271" customWidth="1"/>
    <col min="12034" max="12034" width="17.875" style="271" customWidth="1"/>
    <col min="12035" max="12035" width="10" style="271" customWidth="1"/>
    <col min="12036" max="12036" width="2.375" style="271" customWidth="1"/>
    <col min="12037" max="12037" width="6.125" style="271" customWidth="1"/>
    <col min="12038" max="12038" width="7.125" style="271" customWidth="1"/>
    <col min="12039" max="12039" width="1.875" style="271" customWidth="1"/>
    <col min="12040" max="12041" width="7.125" style="271" customWidth="1"/>
    <col min="12042" max="12042" width="2.125" style="271" customWidth="1"/>
    <col min="12043" max="12043" width="12.125" style="271" customWidth="1"/>
    <col min="12044" max="12044" width="5.875" style="271" customWidth="1"/>
    <col min="12045" max="12045" width="5.5" style="271" customWidth="1"/>
    <col min="12046" max="12047" width="8.375" style="271" customWidth="1"/>
    <col min="12048" max="12288" width="10" style="271"/>
    <col min="12289" max="12289" width="3.125" style="271" customWidth="1"/>
    <col min="12290" max="12290" width="17.875" style="271" customWidth="1"/>
    <col min="12291" max="12291" width="10" style="271" customWidth="1"/>
    <col min="12292" max="12292" width="2.375" style="271" customWidth="1"/>
    <col min="12293" max="12293" width="6.125" style="271" customWidth="1"/>
    <col min="12294" max="12294" width="7.125" style="271" customWidth="1"/>
    <col min="12295" max="12295" width="1.875" style="271" customWidth="1"/>
    <col min="12296" max="12297" width="7.125" style="271" customWidth="1"/>
    <col min="12298" max="12298" width="2.125" style="271" customWidth="1"/>
    <col min="12299" max="12299" width="12.125" style="271" customWidth="1"/>
    <col min="12300" max="12300" width="5.875" style="271" customWidth="1"/>
    <col min="12301" max="12301" width="5.5" style="271" customWidth="1"/>
    <col min="12302" max="12303" width="8.375" style="271" customWidth="1"/>
    <col min="12304" max="12544" width="10" style="271"/>
    <col min="12545" max="12545" width="3.125" style="271" customWidth="1"/>
    <col min="12546" max="12546" width="17.875" style="271" customWidth="1"/>
    <col min="12547" max="12547" width="10" style="271" customWidth="1"/>
    <col min="12548" max="12548" width="2.375" style="271" customWidth="1"/>
    <col min="12549" max="12549" width="6.125" style="271" customWidth="1"/>
    <col min="12550" max="12550" width="7.125" style="271" customWidth="1"/>
    <col min="12551" max="12551" width="1.875" style="271" customWidth="1"/>
    <col min="12552" max="12553" width="7.125" style="271" customWidth="1"/>
    <col min="12554" max="12554" width="2.125" style="271" customWidth="1"/>
    <col min="12555" max="12555" width="12.125" style="271" customWidth="1"/>
    <col min="12556" max="12556" width="5.875" style="271" customWidth="1"/>
    <col min="12557" max="12557" width="5.5" style="271" customWidth="1"/>
    <col min="12558" max="12559" width="8.375" style="271" customWidth="1"/>
    <col min="12560" max="12800" width="10" style="271"/>
    <col min="12801" max="12801" width="3.125" style="271" customWidth="1"/>
    <col min="12802" max="12802" width="17.875" style="271" customWidth="1"/>
    <col min="12803" max="12803" width="10" style="271" customWidth="1"/>
    <col min="12804" max="12804" width="2.375" style="271" customWidth="1"/>
    <col min="12805" max="12805" width="6.125" style="271" customWidth="1"/>
    <col min="12806" max="12806" width="7.125" style="271" customWidth="1"/>
    <col min="12807" max="12807" width="1.875" style="271" customWidth="1"/>
    <col min="12808" max="12809" width="7.125" style="271" customWidth="1"/>
    <col min="12810" max="12810" width="2.125" style="271" customWidth="1"/>
    <col min="12811" max="12811" width="12.125" style="271" customWidth="1"/>
    <col min="12812" max="12812" width="5.875" style="271" customWidth="1"/>
    <col min="12813" max="12813" width="5.5" style="271" customWidth="1"/>
    <col min="12814" max="12815" width="8.375" style="271" customWidth="1"/>
    <col min="12816" max="13056" width="10" style="271"/>
    <col min="13057" max="13057" width="3.125" style="271" customWidth="1"/>
    <col min="13058" max="13058" width="17.875" style="271" customWidth="1"/>
    <col min="13059" max="13059" width="10" style="271" customWidth="1"/>
    <col min="13060" max="13060" width="2.375" style="271" customWidth="1"/>
    <col min="13061" max="13061" width="6.125" style="271" customWidth="1"/>
    <col min="13062" max="13062" width="7.125" style="271" customWidth="1"/>
    <col min="13063" max="13063" width="1.875" style="271" customWidth="1"/>
    <col min="13064" max="13065" width="7.125" style="271" customWidth="1"/>
    <col min="13066" max="13066" width="2.125" style="271" customWidth="1"/>
    <col min="13067" max="13067" width="12.125" style="271" customWidth="1"/>
    <col min="13068" max="13068" width="5.875" style="271" customWidth="1"/>
    <col min="13069" max="13069" width="5.5" style="271" customWidth="1"/>
    <col min="13070" max="13071" width="8.375" style="271" customWidth="1"/>
    <col min="13072" max="13312" width="10" style="271"/>
    <col min="13313" max="13313" width="3.125" style="271" customWidth="1"/>
    <col min="13314" max="13314" width="17.875" style="271" customWidth="1"/>
    <col min="13315" max="13315" width="10" style="271" customWidth="1"/>
    <col min="13316" max="13316" width="2.375" style="271" customWidth="1"/>
    <col min="13317" max="13317" width="6.125" style="271" customWidth="1"/>
    <col min="13318" max="13318" width="7.125" style="271" customWidth="1"/>
    <col min="13319" max="13319" width="1.875" style="271" customWidth="1"/>
    <col min="13320" max="13321" width="7.125" style="271" customWidth="1"/>
    <col min="13322" max="13322" width="2.125" style="271" customWidth="1"/>
    <col min="13323" max="13323" width="12.125" style="271" customWidth="1"/>
    <col min="13324" max="13324" width="5.875" style="271" customWidth="1"/>
    <col min="13325" max="13325" width="5.5" style="271" customWidth="1"/>
    <col min="13326" max="13327" width="8.375" style="271" customWidth="1"/>
    <col min="13328" max="13568" width="10" style="271"/>
    <col min="13569" max="13569" width="3.125" style="271" customWidth="1"/>
    <col min="13570" max="13570" width="17.875" style="271" customWidth="1"/>
    <col min="13571" max="13571" width="10" style="271" customWidth="1"/>
    <col min="13572" max="13572" width="2.375" style="271" customWidth="1"/>
    <col min="13573" max="13573" width="6.125" style="271" customWidth="1"/>
    <col min="13574" max="13574" width="7.125" style="271" customWidth="1"/>
    <col min="13575" max="13575" width="1.875" style="271" customWidth="1"/>
    <col min="13576" max="13577" width="7.125" style="271" customWidth="1"/>
    <col min="13578" max="13578" width="2.125" style="271" customWidth="1"/>
    <col min="13579" max="13579" width="12.125" style="271" customWidth="1"/>
    <col min="13580" max="13580" width="5.875" style="271" customWidth="1"/>
    <col min="13581" max="13581" width="5.5" style="271" customWidth="1"/>
    <col min="13582" max="13583" width="8.375" style="271" customWidth="1"/>
    <col min="13584" max="13824" width="10" style="271"/>
    <col min="13825" max="13825" width="3.125" style="271" customWidth="1"/>
    <col min="13826" max="13826" width="17.875" style="271" customWidth="1"/>
    <col min="13827" max="13827" width="10" style="271" customWidth="1"/>
    <col min="13828" max="13828" width="2.375" style="271" customWidth="1"/>
    <col min="13829" max="13829" width="6.125" style="271" customWidth="1"/>
    <col min="13830" max="13830" width="7.125" style="271" customWidth="1"/>
    <col min="13831" max="13831" width="1.875" style="271" customWidth="1"/>
    <col min="13832" max="13833" width="7.125" style="271" customWidth="1"/>
    <col min="13834" max="13834" width="2.125" style="271" customWidth="1"/>
    <col min="13835" max="13835" width="12.125" style="271" customWidth="1"/>
    <col min="13836" max="13836" width="5.875" style="271" customWidth="1"/>
    <col min="13837" max="13837" width="5.5" style="271" customWidth="1"/>
    <col min="13838" max="13839" width="8.375" style="271" customWidth="1"/>
    <col min="13840" max="14080" width="10" style="271"/>
    <col min="14081" max="14081" width="3.125" style="271" customWidth="1"/>
    <col min="14082" max="14082" width="17.875" style="271" customWidth="1"/>
    <col min="14083" max="14083" width="10" style="271" customWidth="1"/>
    <col min="14084" max="14084" width="2.375" style="271" customWidth="1"/>
    <col min="14085" max="14085" width="6.125" style="271" customWidth="1"/>
    <col min="14086" max="14086" width="7.125" style="271" customWidth="1"/>
    <col min="14087" max="14087" width="1.875" style="271" customWidth="1"/>
    <col min="14088" max="14089" width="7.125" style="271" customWidth="1"/>
    <col min="14090" max="14090" width="2.125" style="271" customWidth="1"/>
    <col min="14091" max="14091" width="12.125" style="271" customWidth="1"/>
    <col min="14092" max="14092" width="5.875" style="271" customWidth="1"/>
    <col min="14093" max="14093" width="5.5" style="271" customWidth="1"/>
    <col min="14094" max="14095" width="8.375" style="271" customWidth="1"/>
    <col min="14096" max="14336" width="10" style="271"/>
    <col min="14337" max="14337" width="3.125" style="271" customWidth="1"/>
    <col min="14338" max="14338" width="17.875" style="271" customWidth="1"/>
    <col min="14339" max="14339" width="10" style="271" customWidth="1"/>
    <col min="14340" max="14340" width="2.375" style="271" customWidth="1"/>
    <col min="14341" max="14341" width="6.125" style="271" customWidth="1"/>
    <col min="14342" max="14342" width="7.125" style="271" customWidth="1"/>
    <col min="14343" max="14343" width="1.875" style="271" customWidth="1"/>
    <col min="14344" max="14345" width="7.125" style="271" customWidth="1"/>
    <col min="14346" max="14346" width="2.125" style="271" customWidth="1"/>
    <col min="14347" max="14347" width="12.125" style="271" customWidth="1"/>
    <col min="14348" max="14348" width="5.875" style="271" customWidth="1"/>
    <col min="14349" max="14349" width="5.5" style="271" customWidth="1"/>
    <col min="14350" max="14351" width="8.375" style="271" customWidth="1"/>
    <col min="14352" max="14592" width="10" style="271"/>
    <col min="14593" max="14593" width="3.125" style="271" customWidth="1"/>
    <col min="14594" max="14594" width="17.875" style="271" customWidth="1"/>
    <col min="14595" max="14595" width="10" style="271" customWidth="1"/>
    <col min="14596" max="14596" width="2.375" style="271" customWidth="1"/>
    <col min="14597" max="14597" width="6.125" style="271" customWidth="1"/>
    <col min="14598" max="14598" width="7.125" style="271" customWidth="1"/>
    <col min="14599" max="14599" width="1.875" style="271" customWidth="1"/>
    <col min="14600" max="14601" width="7.125" style="271" customWidth="1"/>
    <col min="14602" max="14602" width="2.125" style="271" customWidth="1"/>
    <col min="14603" max="14603" width="12.125" style="271" customWidth="1"/>
    <col min="14604" max="14604" width="5.875" style="271" customWidth="1"/>
    <col min="14605" max="14605" width="5.5" style="271" customWidth="1"/>
    <col min="14606" max="14607" width="8.375" style="271" customWidth="1"/>
    <col min="14608" max="14848" width="10" style="271"/>
    <col min="14849" max="14849" width="3.125" style="271" customWidth="1"/>
    <col min="14850" max="14850" width="17.875" style="271" customWidth="1"/>
    <col min="14851" max="14851" width="10" style="271" customWidth="1"/>
    <col min="14852" max="14852" width="2.375" style="271" customWidth="1"/>
    <col min="14853" max="14853" width="6.125" style="271" customWidth="1"/>
    <col min="14854" max="14854" width="7.125" style="271" customWidth="1"/>
    <col min="14855" max="14855" width="1.875" style="271" customWidth="1"/>
    <col min="14856" max="14857" width="7.125" style="271" customWidth="1"/>
    <col min="14858" max="14858" width="2.125" style="271" customWidth="1"/>
    <col min="14859" max="14859" width="12.125" style="271" customWidth="1"/>
    <col min="14860" max="14860" width="5.875" style="271" customWidth="1"/>
    <col min="14861" max="14861" width="5.5" style="271" customWidth="1"/>
    <col min="14862" max="14863" width="8.375" style="271" customWidth="1"/>
    <col min="14864" max="15104" width="10" style="271"/>
    <col min="15105" max="15105" width="3.125" style="271" customWidth="1"/>
    <col min="15106" max="15106" width="17.875" style="271" customWidth="1"/>
    <col min="15107" max="15107" width="10" style="271" customWidth="1"/>
    <col min="15108" max="15108" width="2.375" style="271" customWidth="1"/>
    <col min="15109" max="15109" width="6.125" style="271" customWidth="1"/>
    <col min="15110" max="15110" width="7.125" style="271" customWidth="1"/>
    <col min="15111" max="15111" width="1.875" style="271" customWidth="1"/>
    <col min="15112" max="15113" width="7.125" style="271" customWidth="1"/>
    <col min="15114" max="15114" width="2.125" style="271" customWidth="1"/>
    <col min="15115" max="15115" width="12.125" style="271" customWidth="1"/>
    <col min="15116" max="15116" width="5.875" style="271" customWidth="1"/>
    <col min="15117" max="15117" width="5.5" style="271" customWidth="1"/>
    <col min="15118" max="15119" width="8.375" style="271" customWidth="1"/>
    <col min="15120" max="15360" width="10" style="271"/>
    <col min="15361" max="15361" width="3.125" style="271" customWidth="1"/>
    <col min="15362" max="15362" width="17.875" style="271" customWidth="1"/>
    <col min="15363" max="15363" width="10" style="271" customWidth="1"/>
    <col min="15364" max="15364" width="2.375" style="271" customWidth="1"/>
    <col min="15365" max="15365" width="6.125" style="271" customWidth="1"/>
    <col min="15366" max="15366" width="7.125" style="271" customWidth="1"/>
    <col min="15367" max="15367" width="1.875" style="271" customWidth="1"/>
    <col min="15368" max="15369" width="7.125" style="271" customWidth="1"/>
    <col min="15370" max="15370" width="2.125" style="271" customWidth="1"/>
    <col min="15371" max="15371" width="12.125" style="271" customWidth="1"/>
    <col min="15372" max="15372" width="5.875" style="271" customWidth="1"/>
    <col min="15373" max="15373" width="5.5" style="271" customWidth="1"/>
    <col min="15374" max="15375" width="8.375" style="271" customWidth="1"/>
    <col min="15376" max="15616" width="10" style="271"/>
    <col min="15617" max="15617" width="3.125" style="271" customWidth="1"/>
    <col min="15618" max="15618" width="17.875" style="271" customWidth="1"/>
    <col min="15619" max="15619" width="10" style="271" customWidth="1"/>
    <col min="15620" max="15620" width="2.375" style="271" customWidth="1"/>
    <col min="15621" max="15621" width="6.125" style="271" customWidth="1"/>
    <col min="15622" max="15622" width="7.125" style="271" customWidth="1"/>
    <col min="15623" max="15623" width="1.875" style="271" customWidth="1"/>
    <col min="15624" max="15625" width="7.125" style="271" customWidth="1"/>
    <col min="15626" max="15626" width="2.125" style="271" customWidth="1"/>
    <col min="15627" max="15627" width="12.125" style="271" customWidth="1"/>
    <col min="15628" max="15628" width="5.875" style="271" customWidth="1"/>
    <col min="15629" max="15629" width="5.5" style="271" customWidth="1"/>
    <col min="15630" max="15631" width="8.375" style="271" customWidth="1"/>
    <col min="15632" max="15872" width="10" style="271"/>
    <col min="15873" max="15873" width="3.125" style="271" customWidth="1"/>
    <col min="15874" max="15874" width="17.875" style="271" customWidth="1"/>
    <col min="15875" max="15875" width="10" style="271" customWidth="1"/>
    <col min="15876" max="15876" width="2.375" style="271" customWidth="1"/>
    <col min="15877" max="15877" width="6.125" style="271" customWidth="1"/>
    <col min="15878" max="15878" width="7.125" style="271" customWidth="1"/>
    <col min="15879" max="15879" width="1.875" style="271" customWidth="1"/>
    <col min="15880" max="15881" width="7.125" style="271" customWidth="1"/>
    <col min="15882" max="15882" width="2.125" style="271" customWidth="1"/>
    <col min="15883" max="15883" width="12.125" style="271" customWidth="1"/>
    <col min="15884" max="15884" width="5.875" style="271" customWidth="1"/>
    <col min="15885" max="15885" width="5.5" style="271" customWidth="1"/>
    <col min="15886" max="15887" width="8.375" style="271" customWidth="1"/>
    <col min="15888" max="16128" width="10" style="271"/>
    <col min="16129" max="16129" width="3.125" style="271" customWidth="1"/>
    <col min="16130" max="16130" width="17.875" style="271" customWidth="1"/>
    <col min="16131" max="16131" width="10" style="271" customWidth="1"/>
    <col min="16132" max="16132" width="2.375" style="271" customWidth="1"/>
    <col min="16133" max="16133" width="6.125" style="271" customWidth="1"/>
    <col min="16134" max="16134" width="7.125" style="271" customWidth="1"/>
    <col min="16135" max="16135" width="1.875" style="271" customWidth="1"/>
    <col min="16136" max="16137" width="7.125" style="271" customWidth="1"/>
    <col min="16138" max="16138" width="2.125" style="271" customWidth="1"/>
    <col min="16139" max="16139" width="12.125" style="271" customWidth="1"/>
    <col min="16140" max="16140" width="5.875" style="271" customWidth="1"/>
    <col min="16141" max="16141" width="5.5" style="271" customWidth="1"/>
    <col min="16142" max="16143" width="8.375" style="271" customWidth="1"/>
    <col min="16144" max="16384" width="10" style="271"/>
  </cols>
  <sheetData>
    <row r="1" spans="1:15" ht="14.25" customHeight="1">
      <c r="A1" s="269" t="s">
        <v>296</v>
      </c>
      <c r="B1" s="270"/>
      <c r="N1" s="272" t="s">
        <v>297</v>
      </c>
      <c r="O1" s="272" t="s">
        <v>298</v>
      </c>
    </row>
    <row r="2" spans="1:15" ht="14.25" customHeight="1">
      <c r="A2" s="273" t="s">
        <v>299</v>
      </c>
      <c r="B2" s="274" t="s">
        <v>300</v>
      </c>
    </row>
    <row r="3" spans="1:15" ht="14.25" customHeight="1">
      <c r="B3" s="275" t="s">
        <v>301</v>
      </c>
      <c r="C3" s="815">
        <v>2</v>
      </c>
      <c r="D3" s="816"/>
      <c r="E3" s="816"/>
      <c r="F3" s="817"/>
      <c r="G3" s="269"/>
    </row>
    <row r="4" spans="1:15" ht="14.25" customHeight="1">
      <c r="B4" s="276" t="s">
        <v>302</v>
      </c>
      <c r="C4" s="818" t="str">
        <f>①技術体系!D2</f>
        <v>県全域</v>
      </c>
      <c r="D4" s="819"/>
      <c r="E4" s="819"/>
      <c r="F4" s="814"/>
    </row>
    <row r="5" spans="1:15" ht="14.25" customHeight="1">
      <c r="B5" s="277" t="s">
        <v>303</v>
      </c>
      <c r="C5" s="820" t="str">
        <f>①技術体系!A2</f>
        <v>黒毛和種子牛</v>
      </c>
      <c r="D5" s="819"/>
      <c r="E5" s="819"/>
      <c r="F5" s="814"/>
    </row>
    <row r="6" spans="1:15" ht="14.25" customHeight="1">
      <c r="B6" s="821" t="s">
        <v>304</v>
      </c>
      <c r="C6" s="824" t="str">
        <f>①技術体系!B2&amp;"　、"&amp;①技術体系!C2&amp;"、"&amp;④収入!B3&amp;④収入!C3&amp;④収入!D3&amp;"、"&amp;④収入!F2&amp;④収入!F3*100&amp;"%"</f>
        <v>耕作放棄地親子放牧　、黒毛和種、飼養頭数0.1頭、商品化率80%</v>
      </c>
      <c r="D6" s="825"/>
      <c r="E6" s="825"/>
      <c r="F6" s="826"/>
    </row>
    <row r="7" spans="1:15" ht="14.25" customHeight="1">
      <c r="B7" s="822"/>
      <c r="C7" s="827"/>
      <c r="D7" s="827"/>
      <c r="E7" s="827"/>
      <c r="F7" s="828"/>
    </row>
    <row r="8" spans="1:15" ht="14.25" customHeight="1">
      <c r="B8" s="822"/>
      <c r="C8" s="827"/>
      <c r="D8" s="827"/>
      <c r="E8" s="827"/>
      <c r="F8" s="828"/>
    </row>
    <row r="9" spans="1:15">
      <c r="B9" s="823"/>
      <c r="C9" s="829"/>
      <c r="D9" s="829"/>
      <c r="E9" s="829"/>
      <c r="F9" s="829"/>
    </row>
    <row r="10" spans="1:15" ht="14.25" customHeight="1">
      <c r="B10" s="274" t="s">
        <v>305</v>
      </c>
      <c r="E10" s="274" t="s">
        <v>306</v>
      </c>
      <c r="K10" s="274" t="s">
        <v>307</v>
      </c>
      <c r="M10" s="278"/>
    </row>
    <row r="11" spans="1:15" ht="14.25" customHeight="1">
      <c r="B11" s="275" t="s">
        <v>308</v>
      </c>
      <c r="C11" s="279">
        <f>④収入!B22</f>
        <v>4.0999999999999996</v>
      </c>
      <c r="E11" s="275" t="s">
        <v>309</v>
      </c>
      <c r="F11" s="280">
        <f>作業体系表!D43</f>
        <v>0.5</v>
      </c>
      <c r="H11" s="275" t="s">
        <v>310</v>
      </c>
      <c r="I11" s="280">
        <f>作業体系表!V43</f>
        <v>0.60000000000000009</v>
      </c>
      <c r="K11" s="277" t="s">
        <v>311</v>
      </c>
      <c r="L11" s="830" t="s">
        <v>806</v>
      </c>
      <c r="M11" s="814"/>
    </row>
    <row r="12" spans="1:15" ht="14.25" customHeight="1">
      <c r="B12" s="275" t="s">
        <v>312</v>
      </c>
      <c r="C12" s="279">
        <f>④収入!C22</f>
        <v>18195.121951219513</v>
      </c>
      <c r="E12" s="275" t="s">
        <v>313</v>
      </c>
      <c r="F12" s="280">
        <f>作業体系表!E43</f>
        <v>0.5</v>
      </c>
      <c r="H12" s="275" t="s">
        <v>314</v>
      </c>
      <c r="I12" s="280">
        <f>作業体系表!W43</f>
        <v>0.60000000000000009</v>
      </c>
      <c r="K12" s="277" t="s">
        <v>315</v>
      </c>
      <c r="L12" s="831" t="s">
        <v>841</v>
      </c>
      <c r="M12" s="814"/>
    </row>
    <row r="13" spans="1:15" ht="14.25" customHeight="1">
      <c r="B13" s="276" t="s">
        <v>316</v>
      </c>
      <c r="C13" s="279">
        <f>④収入!E22+④収入!F22</f>
        <v>40000</v>
      </c>
      <c r="E13" s="275" t="s">
        <v>317</v>
      </c>
      <c r="F13" s="280">
        <f>作業体系表!F43</f>
        <v>0.5</v>
      </c>
      <c r="H13" s="275" t="s">
        <v>318</v>
      </c>
      <c r="I13" s="280">
        <f>作業体系表!X43</f>
        <v>0.75032051282051304</v>
      </c>
      <c r="K13" s="281" t="s">
        <v>319</v>
      </c>
      <c r="L13" s="282">
        <v>1</v>
      </c>
      <c r="M13" s="283"/>
    </row>
    <row r="14" spans="1:15" ht="14.25" customHeight="1">
      <c r="B14" s="276" t="s">
        <v>320</v>
      </c>
      <c r="C14" s="284">
        <f>C11*C12+C13</f>
        <v>114600</v>
      </c>
      <c r="E14" s="275" t="s">
        <v>321</v>
      </c>
      <c r="F14" s="280">
        <f>作業体系表!G43</f>
        <v>0.5</v>
      </c>
      <c r="H14" s="275" t="s">
        <v>322</v>
      </c>
      <c r="I14" s="280">
        <f>作業体系表!Y43</f>
        <v>0.55000000000000004</v>
      </c>
      <c r="K14" s="281" t="s">
        <v>323</v>
      </c>
      <c r="L14" s="282">
        <v>12</v>
      </c>
      <c r="M14" s="283"/>
    </row>
    <row r="15" spans="1:15" ht="14.25" customHeight="1">
      <c r="B15" s="274" t="s">
        <v>324</v>
      </c>
      <c r="E15" s="275" t="s">
        <v>325</v>
      </c>
      <c r="F15" s="280">
        <f>作業体系表!H43</f>
        <v>0.5</v>
      </c>
      <c r="H15" s="275" t="s">
        <v>326</v>
      </c>
      <c r="I15" s="280">
        <f>作業体系表!Z43</f>
        <v>0.67500000000000004</v>
      </c>
      <c r="K15" s="276" t="s">
        <v>327</v>
      </c>
      <c r="L15" s="813"/>
      <c r="M15" s="814"/>
    </row>
    <row r="16" spans="1:15" ht="14.25" customHeight="1">
      <c r="B16" s="276" t="s">
        <v>328</v>
      </c>
      <c r="C16" s="279">
        <f>経営収支!E8</f>
        <v>2022</v>
      </c>
      <c r="E16" s="275" t="s">
        <v>329</v>
      </c>
      <c r="F16" s="280">
        <f>作業体系表!I43</f>
        <v>0.5</v>
      </c>
      <c r="H16" s="275" t="s">
        <v>330</v>
      </c>
      <c r="I16" s="280">
        <f>作業体系表!AA43</f>
        <v>0.55000000000000004</v>
      </c>
      <c r="K16" s="276" t="s">
        <v>331</v>
      </c>
      <c r="L16" s="813"/>
      <c r="M16" s="814"/>
    </row>
    <row r="17" spans="2:13" ht="14.25" customHeight="1">
      <c r="B17" s="276" t="s">
        <v>332</v>
      </c>
      <c r="C17" s="279">
        <f>経営収支!E9</f>
        <v>7314</v>
      </c>
      <c r="E17" s="275" t="s">
        <v>333</v>
      </c>
      <c r="F17" s="280">
        <f>作業体系表!J43</f>
        <v>0.5</v>
      </c>
      <c r="H17" s="275" t="s">
        <v>334</v>
      </c>
      <c r="I17" s="280">
        <f>作業体系表!AB43</f>
        <v>0.60000000000000009</v>
      </c>
      <c r="K17" s="278"/>
      <c r="L17" s="285"/>
      <c r="M17" s="286"/>
    </row>
    <row r="18" spans="2:13" ht="14.25" customHeight="1">
      <c r="B18" s="276" t="s">
        <v>335</v>
      </c>
      <c r="C18" s="279">
        <f>経営収支!E10</f>
        <v>4040</v>
      </c>
      <c r="E18" s="275" t="s">
        <v>336</v>
      </c>
      <c r="F18" s="280">
        <f>作業体系表!K43</f>
        <v>0.75</v>
      </c>
      <c r="H18" s="275" t="s">
        <v>337</v>
      </c>
      <c r="I18" s="280">
        <f>作業体系表!AC43</f>
        <v>0.55000000000000004</v>
      </c>
      <c r="K18" s="278"/>
      <c r="L18" s="285"/>
      <c r="M18" s="285"/>
    </row>
    <row r="19" spans="2:13" ht="14.25" customHeight="1">
      <c r="B19" s="276" t="s">
        <v>338</v>
      </c>
      <c r="C19" s="279">
        <f>経営収支!E11</f>
        <v>965</v>
      </c>
      <c r="E19" s="275" t="s">
        <v>339</v>
      </c>
      <c r="F19" s="280">
        <f>作業体系表!L43</f>
        <v>0.5</v>
      </c>
      <c r="H19" s="275" t="s">
        <v>340</v>
      </c>
      <c r="I19" s="280">
        <f>作業体系表!AD43</f>
        <v>0.55000000000000004</v>
      </c>
      <c r="K19" s="278"/>
      <c r="L19" s="285"/>
      <c r="M19" s="285"/>
    </row>
    <row r="20" spans="2:13" ht="14.25" customHeight="1">
      <c r="B20" s="276" t="s">
        <v>341</v>
      </c>
      <c r="C20" s="279">
        <f>経営収支!E12</f>
        <v>15989</v>
      </c>
      <c r="E20" s="275" t="s">
        <v>342</v>
      </c>
      <c r="F20" s="280">
        <f>作業体系表!M43</f>
        <v>0</v>
      </c>
      <c r="H20" s="275" t="s">
        <v>343</v>
      </c>
      <c r="I20" s="280">
        <f>作業体系表!AE43</f>
        <v>0.5</v>
      </c>
      <c r="K20" s="278"/>
      <c r="L20" s="285"/>
      <c r="M20" s="285"/>
    </row>
    <row r="21" spans="2:13" ht="14.25" customHeight="1">
      <c r="B21" s="276" t="s">
        <v>344</v>
      </c>
      <c r="C21" s="279">
        <f>経営収支!E14</f>
        <v>850</v>
      </c>
      <c r="E21" s="275" t="s">
        <v>345</v>
      </c>
      <c r="F21" s="280">
        <f>作業体系表!N43</f>
        <v>0</v>
      </c>
      <c r="H21" s="275" t="s">
        <v>346</v>
      </c>
      <c r="I21" s="280">
        <f>作業体系表!AF43</f>
        <v>0.5</v>
      </c>
      <c r="K21" s="278"/>
      <c r="L21" s="285"/>
      <c r="M21" s="285"/>
    </row>
    <row r="22" spans="2:13" ht="14.25" customHeight="1">
      <c r="B22" s="276" t="s">
        <v>347</v>
      </c>
      <c r="C22" s="279">
        <f>経営収支!E15</f>
        <v>9810</v>
      </c>
      <c r="E22" s="275" t="s">
        <v>348</v>
      </c>
      <c r="F22" s="280">
        <f>作業体系表!O43</f>
        <v>0.85355635544609654</v>
      </c>
      <c r="H22" s="275" t="s">
        <v>349</v>
      </c>
      <c r="I22" s="280">
        <f>作業体系表!AG43</f>
        <v>0.5</v>
      </c>
      <c r="K22" s="278"/>
      <c r="L22" s="285"/>
      <c r="M22" s="285"/>
    </row>
    <row r="23" spans="2:13" ht="14.25" customHeight="1">
      <c r="B23" s="276" t="s">
        <v>350</v>
      </c>
      <c r="C23" s="279">
        <f>経営収支!E30</f>
        <v>3004</v>
      </c>
      <c r="E23" s="275" t="s">
        <v>351</v>
      </c>
      <c r="F23" s="280">
        <f>作業体系表!P43</f>
        <v>0.200320512820513</v>
      </c>
      <c r="H23" s="275" t="s">
        <v>352</v>
      </c>
      <c r="I23" s="280">
        <f>作業体系表!AH43</f>
        <v>0.5</v>
      </c>
      <c r="K23" s="278"/>
      <c r="L23" s="285"/>
      <c r="M23" s="285"/>
    </row>
    <row r="24" spans="2:13" ht="14.25" customHeight="1">
      <c r="B24" s="276" t="s">
        <v>353</v>
      </c>
      <c r="C24" s="733">
        <f>経営収支!E13</f>
        <v>0</v>
      </c>
      <c r="E24" s="275" t="s">
        <v>354</v>
      </c>
      <c r="F24" s="280">
        <f>作業体系表!Q43</f>
        <v>2.25</v>
      </c>
      <c r="H24" s="275" t="s">
        <v>355</v>
      </c>
      <c r="I24" s="280">
        <f>作業体系表!AI43</f>
        <v>0.6</v>
      </c>
      <c r="K24" s="278"/>
      <c r="L24" s="285"/>
      <c r="M24" s="285"/>
    </row>
    <row r="25" spans="2:13" ht="14.25" customHeight="1">
      <c r="B25" s="276" t="s">
        <v>320</v>
      </c>
      <c r="C25" s="284">
        <f>SUM(C16:C24)</f>
        <v>43994</v>
      </c>
      <c r="E25" s="275" t="s">
        <v>356</v>
      </c>
      <c r="F25" s="280">
        <f>作業体系表!R43</f>
        <v>1.7515151515151515</v>
      </c>
      <c r="H25" s="275" t="s">
        <v>357</v>
      </c>
      <c r="I25" s="280">
        <f>作業体系表!AJ43</f>
        <v>0.5</v>
      </c>
      <c r="M25" s="285"/>
    </row>
    <row r="26" spans="2:13" ht="14.25" customHeight="1">
      <c r="B26" s="287"/>
      <c r="C26" s="278"/>
      <c r="E26" s="275" t="s">
        <v>358</v>
      </c>
      <c r="F26" s="280">
        <f>作業体系表!S43</f>
        <v>2.7015151515151512</v>
      </c>
      <c r="H26" s="275" t="s">
        <v>359</v>
      </c>
      <c r="I26" s="280">
        <f>作業体系表!AK43</f>
        <v>0.5</v>
      </c>
      <c r="K26" s="278"/>
      <c r="L26" s="285"/>
      <c r="M26" s="285"/>
    </row>
    <row r="27" spans="2:13" ht="14.25" customHeight="1">
      <c r="B27" s="276" t="s">
        <v>360</v>
      </c>
      <c r="C27" s="288">
        <f>C14-C25</f>
        <v>70606</v>
      </c>
      <c r="E27" s="275" t="s">
        <v>361</v>
      </c>
      <c r="F27" s="280">
        <f>作業体系表!T43</f>
        <v>0.85</v>
      </c>
      <c r="H27" s="275" t="s">
        <v>362</v>
      </c>
      <c r="I27" s="280">
        <f>作業体系表!AL43</f>
        <v>0.5</v>
      </c>
      <c r="K27" s="289"/>
      <c r="L27" s="290" t="s">
        <v>363</v>
      </c>
      <c r="M27" s="285"/>
    </row>
    <row r="28" spans="2:13">
      <c r="E28" s="275" t="s">
        <v>364</v>
      </c>
      <c r="F28" s="280">
        <f>作業体系表!U43</f>
        <v>0.55000000000000004</v>
      </c>
      <c r="H28" s="275" t="s">
        <v>365</v>
      </c>
      <c r="I28" s="280">
        <f>作業体系表!AM43</f>
        <v>0.5</v>
      </c>
      <c r="K28" s="291"/>
      <c r="L28" s="292">
        <v>1</v>
      </c>
      <c r="M28" s="278"/>
    </row>
  </sheetData>
  <sheetProtection sheet="1" objects="1" scenarios="1"/>
  <mergeCells count="9">
    <mergeCell ref="L16:M16"/>
    <mergeCell ref="C3:F3"/>
    <mergeCell ref="C4:F4"/>
    <mergeCell ref="C5:F5"/>
    <mergeCell ref="B6:B9"/>
    <mergeCell ref="C6:F9"/>
    <mergeCell ref="L11:M11"/>
    <mergeCell ref="L12:M12"/>
    <mergeCell ref="L15:M15"/>
  </mergeCells>
  <phoneticPr fontId="14"/>
  <dataValidations count="6">
    <dataValidation type="list" allowBlank="1" showInputMessage="1" showErrorMessage="1"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ormula1>"する,しない"</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formula1>"該当する,該当しない"</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formula1>"田,畑,樹園地,ハウス等"</formula1>
    </dataValidation>
    <dataValidation imeMode="on"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dataValidation type="list" allowBlank="1" showInputMessage="1" showErrorMessage="1" sqref="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formula1>"上,中,下"</formula1>
    </dataValidation>
    <dataValidation type="whole" allowBlank="1" showInputMessage="1" showErrorMessage="1"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ormula1>1</formula1>
      <formula2>12</formula2>
    </dataValidation>
  </dataValidations>
  <printOptions horizontalCentered="1"/>
  <pageMargins left="0.78740157480314965" right="0.78740157480314965" top="0.78740157480314965" bottom="0.78740157480314965"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Sheet7">
    <tabColor rgb="FFFFFF00"/>
    <pageSetUpPr fitToPage="1"/>
  </sheetPr>
  <dimension ref="A1:X107"/>
  <sheetViews>
    <sheetView showGridLines="0" workbookViewId="0">
      <pane ySplit="5" topLeftCell="A6" activePane="bottomLeft" state="frozen"/>
      <selection activeCell="I22" sqref="I22"/>
      <selection pane="bottomLeft" activeCell="D11" sqref="D11"/>
    </sheetView>
  </sheetViews>
  <sheetFormatPr defaultRowHeight="13.5" zeroHeight="1"/>
  <cols>
    <col min="1" max="1" width="18.375" style="90" customWidth="1"/>
    <col min="2" max="2" width="46.625" style="90" customWidth="1"/>
    <col min="3" max="3" width="15.625" style="90" customWidth="1"/>
    <col min="4" max="4" width="43" style="90" customWidth="1"/>
    <col min="5" max="5" width="31.5" style="90" customWidth="1"/>
    <col min="6" max="6" width="3.125" style="89" customWidth="1"/>
    <col min="7" max="24" width="9" style="89"/>
    <col min="25" max="16384" width="9" style="90"/>
  </cols>
  <sheetData>
    <row r="1" spans="1:24" s="87" customFormat="1">
      <c r="A1" s="85" t="s">
        <v>0</v>
      </c>
      <c r="B1" s="85" t="s">
        <v>273</v>
      </c>
      <c r="C1" s="85" t="s">
        <v>1</v>
      </c>
      <c r="D1" s="85" t="s">
        <v>2</v>
      </c>
      <c r="E1" s="316" t="s">
        <v>393</v>
      </c>
      <c r="F1" s="86"/>
      <c r="G1" s="86"/>
      <c r="H1" s="86"/>
      <c r="I1" s="86"/>
      <c r="J1" s="86"/>
      <c r="K1" s="86"/>
      <c r="L1" s="86"/>
      <c r="M1" s="86"/>
      <c r="N1" s="86"/>
      <c r="O1" s="86"/>
      <c r="P1" s="86"/>
      <c r="Q1" s="86"/>
      <c r="R1" s="86"/>
      <c r="S1" s="86"/>
      <c r="T1" s="86"/>
      <c r="U1" s="86"/>
      <c r="V1" s="86"/>
      <c r="W1" s="86"/>
      <c r="X1" s="86"/>
    </row>
    <row r="2" spans="1:24">
      <c r="A2" s="406" t="s">
        <v>468</v>
      </c>
      <c r="B2" s="88" t="s">
        <v>469</v>
      </c>
      <c r="C2" s="262" t="s">
        <v>438</v>
      </c>
      <c r="D2" s="367" t="s">
        <v>439</v>
      </c>
      <c r="E2" s="368">
        <v>2</v>
      </c>
    </row>
    <row r="3" spans="1:24" ht="9.75" customHeight="1">
      <c r="A3" s="407"/>
      <c r="B3" s="407"/>
      <c r="C3" s="407"/>
      <c r="D3" s="407"/>
      <c r="E3" s="407"/>
    </row>
    <row r="4" spans="1:24">
      <c r="A4" s="407" t="s">
        <v>3</v>
      </c>
      <c r="B4" s="407"/>
      <c r="C4" s="407"/>
      <c r="D4" s="407"/>
      <c r="E4" s="407"/>
    </row>
    <row r="5" spans="1:24" ht="21.95" customHeight="1">
      <c r="A5" s="91" t="s">
        <v>4</v>
      </c>
      <c r="B5" s="85" t="s">
        <v>5</v>
      </c>
      <c r="C5" s="85" t="s">
        <v>6</v>
      </c>
      <c r="D5" s="92" t="s">
        <v>7</v>
      </c>
      <c r="E5" s="85" t="s">
        <v>8</v>
      </c>
    </row>
    <row r="6" spans="1:24" ht="24" customHeight="1">
      <c r="A6" s="464" t="s">
        <v>470</v>
      </c>
      <c r="B6" s="359" t="s">
        <v>440</v>
      </c>
      <c r="C6" s="359" t="s">
        <v>471</v>
      </c>
      <c r="D6" s="360" t="s">
        <v>441</v>
      </c>
      <c r="E6" s="361" t="s">
        <v>847</v>
      </c>
    </row>
    <row r="7" spans="1:24" ht="24" customHeight="1">
      <c r="A7" s="364" t="s">
        <v>442</v>
      </c>
      <c r="B7" s="362" t="s">
        <v>443</v>
      </c>
      <c r="C7" s="362" t="s">
        <v>472</v>
      </c>
      <c r="D7" s="363" t="s">
        <v>444</v>
      </c>
      <c r="E7" s="362" t="s">
        <v>445</v>
      </c>
    </row>
    <row r="8" spans="1:24" ht="24" customHeight="1">
      <c r="A8" s="364" t="s">
        <v>473</v>
      </c>
      <c r="B8" s="362" t="s">
        <v>474</v>
      </c>
      <c r="C8" s="362" t="s">
        <v>471</v>
      </c>
      <c r="D8" s="363" t="s">
        <v>475</v>
      </c>
      <c r="E8" s="362" t="s">
        <v>848</v>
      </c>
    </row>
    <row r="9" spans="1:24" ht="24" customHeight="1">
      <c r="A9" s="364" t="s">
        <v>446</v>
      </c>
      <c r="B9" s="362" t="s">
        <v>447</v>
      </c>
      <c r="C9" s="362" t="s">
        <v>476</v>
      </c>
      <c r="D9" s="363" t="s">
        <v>448</v>
      </c>
      <c r="E9" s="362"/>
    </row>
    <row r="10" spans="1:24" ht="24" customHeight="1">
      <c r="A10" s="364" t="s">
        <v>449</v>
      </c>
      <c r="B10" s="362" t="s">
        <v>477</v>
      </c>
      <c r="C10" s="362" t="s">
        <v>476</v>
      </c>
      <c r="D10" s="363" t="s">
        <v>450</v>
      </c>
      <c r="E10" s="362" t="s">
        <v>478</v>
      </c>
    </row>
    <row r="11" spans="1:24" ht="24" customHeight="1">
      <c r="A11" s="364" t="s">
        <v>479</v>
      </c>
      <c r="B11" s="362" t="s">
        <v>480</v>
      </c>
      <c r="C11" s="362" t="s">
        <v>481</v>
      </c>
      <c r="D11" s="363" t="s">
        <v>451</v>
      </c>
      <c r="E11" s="362" t="s">
        <v>452</v>
      </c>
    </row>
    <row r="12" spans="1:24" ht="24" customHeight="1">
      <c r="A12" s="364" t="s">
        <v>482</v>
      </c>
      <c r="B12" s="362" t="s">
        <v>483</v>
      </c>
      <c r="C12" s="362" t="s">
        <v>484</v>
      </c>
      <c r="D12" s="363" t="s">
        <v>485</v>
      </c>
      <c r="E12" s="362"/>
    </row>
    <row r="13" spans="1:24" ht="24" customHeight="1">
      <c r="A13" s="364" t="s">
        <v>486</v>
      </c>
      <c r="B13" s="362" t="s">
        <v>487</v>
      </c>
      <c r="C13" s="362" t="s">
        <v>488</v>
      </c>
      <c r="D13" s="363" t="s">
        <v>489</v>
      </c>
      <c r="E13" s="362"/>
    </row>
    <row r="14" spans="1:24" ht="24" customHeight="1">
      <c r="A14" s="364" t="s">
        <v>490</v>
      </c>
      <c r="B14" s="362" t="s">
        <v>491</v>
      </c>
      <c r="C14" s="362" t="s">
        <v>492</v>
      </c>
      <c r="D14" s="363" t="s">
        <v>493</v>
      </c>
      <c r="E14" s="362"/>
    </row>
    <row r="15" spans="1:24" ht="24" customHeight="1">
      <c r="A15" s="364" t="s">
        <v>494</v>
      </c>
      <c r="B15" s="362" t="s">
        <v>495</v>
      </c>
      <c r="C15" s="362" t="s">
        <v>496</v>
      </c>
      <c r="D15" s="363" t="s">
        <v>497</v>
      </c>
      <c r="E15" s="362"/>
    </row>
    <row r="16" spans="1:24" ht="24" customHeight="1">
      <c r="A16" s="364" t="s">
        <v>498</v>
      </c>
      <c r="B16" s="362" t="s">
        <v>499</v>
      </c>
      <c r="C16" s="362" t="s">
        <v>500</v>
      </c>
      <c r="D16" s="363" t="s">
        <v>501</v>
      </c>
      <c r="E16" s="362"/>
    </row>
    <row r="17" spans="1:24" ht="24" customHeight="1">
      <c r="A17" s="364" t="s">
        <v>502</v>
      </c>
      <c r="B17" s="362" t="s">
        <v>503</v>
      </c>
      <c r="C17" s="362" t="s">
        <v>710</v>
      </c>
      <c r="D17" s="363" t="s">
        <v>504</v>
      </c>
      <c r="E17" s="362"/>
    </row>
    <row r="18" spans="1:24" ht="24" customHeight="1">
      <c r="A18" s="364" t="s">
        <v>505</v>
      </c>
      <c r="B18" s="362" t="s">
        <v>506</v>
      </c>
      <c r="C18" s="362" t="s">
        <v>507</v>
      </c>
      <c r="D18" s="363" t="s">
        <v>508</v>
      </c>
      <c r="E18" s="362"/>
    </row>
    <row r="19" spans="1:24" ht="24" customHeight="1">
      <c r="A19" s="364" t="s">
        <v>711</v>
      </c>
      <c r="B19" s="362" t="s">
        <v>712</v>
      </c>
      <c r="C19" s="362" t="s">
        <v>713</v>
      </c>
      <c r="D19" s="363" t="s">
        <v>714</v>
      </c>
      <c r="E19" s="362"/>
    </row>
    <row r="20" spans="1:24" ht="24" customHeight="1">
      <c r="A20" s="364" t="s">
        <v>763</v>
      </c>
      <c r="B20" s="362"/>
      <c r="C20" s="362"/>
      <c r="D20" s="363"/>
      <c r="E20" s="362"/>
    </row>
    <row r="21" spans="1:24" ht="24" customHeight="1">
      <c r="A21" s="364" t="s">
        <v>715</v>
      </c>
      <c r="B21" s="362" t="s">
        <v>716</v>
      </c>
      <c r="C21" s="362" t="s">
        <v>476</v>
      </c>
      <c r="D21" s="363" t="s">
        <v>717</v>
      </c>
      <c r="E21" s="362" t="s">
        <v>718</v>
      </c>
    </row>
    <row r="22" spans="1:24" ht="24" customHeight="1">
      <c r="A22" s="364" t="s">
        <v>719</v>
      </c>
      <c r="B22" s="362" t="s">
        <v>720</v>
      </c>
      <c r="C22" s="362" t="s">
        <v>476</v>
      </c>
      <c r="D22" s="363" t="s">
        <v>721</v>
      </c>
      <c r="E22" s="362" t="s">
        <v>718</v>
      </c>
    </row>
    <row r="23" spans="1:24" ht="24" customHeight="1">
      <c r="A23" s="364" t="s">
        <v>722</v>
      </c>
      <c r="B23" s="362" t="s">
        <v>723</v>
      </c>
      <c r="C23" s="362" t="s">
        <v>481</v>
      </c>
      <c r="D23" s="363" t="s">
        <v>724</v>
      </c>
      <c r="E23" s="362" t="s">
        <v>718</v>
      </c>
    </row>
    <row r="24" spans="1:24" ht="24" customHeight="1">
      <c r="A24" s="365" t="s">
        <v>725</v>
      </c>
      <c r="B24" s="365" t="s">
        <v>726</v>
      </c>
      <c r="C24" s="365" t="s">
        <v>727</v>
      </c>
      <c r="D24" s="365"/>
      <c r="E24" s="365" t="s">
        <v>718</v>
      </c>
    </row>
    <row r="25" spans="1:24" s="407" customFormat="1" ht="24" customHeight="1">
      <c r="A25" s="364" t="s">
        <v>728</v>
      </c>
      <c r="B25" s="362" t="s">
        <v>729</v>
      </c>
      <c r="C25" s="362" t="s">
        <v>730</v>
      </c>
      <c r="D25" s="363" t="s">
        <v>731</v>
      </c>
      <c r="E25" s="362" t="s">
        <v>718</v>
      </c>
      <c r="F25" s="89"/>
      <c r="G25" s="89"/>
      <c r="H25" s="89"/>
      <c r="I25" s="89"/>
      <c r="J25" s="89"/>
      <c r="K25" s="89"/>
      <c r="L25" s="89"/>
      <c r="M25" s="89"/>
      <c r="N25" s="89"/>
      <c r="O25" s="89"/>
      <c r="P25" s="89"/>
      <c r="Q25" s="89"/>
      <c r="R25" s="89"/>
      <c r="S25" s="89"/>
      <c r="T25" s="89"/>
      <c r="U25" s="89"/>
      <c r="V25" s="89"/>
      <c r="W25" s="89"/>
      <c r="X25" s="89"/>
    </row>
    <row r="26" spans="1:24" s="407" customFormat="1" ht="24" customHeight="1">
      <c r="A26" s="364" t="s">
        <v>732</v>
      </c>
      <c r="B26" s="362"/>
      <c r="C26" s="362" t="s">
        <v>733</v>
      </c>
      <c r="D26" s="363"/>
      <c r="E26" s="362" t="s">
        <v>718</v>
      </c>
      <c r="F26" s="89"/>
      <c r="G26" s="89"/>
      <c r="H26" s="89"/>
      <c r="I26" s="89"/>
      <c r="J26" s="89"/>
      <c r="K26" s="89"/>
      <c r="L26" s="89"/>
      <c r="M26" s="89"/>
      <c r="N26" s="89"/>
      <c r="O26" s="89"/>
      <c r="P26" s="89"/>
      <c r="Q26" s="89"/>
      <c r="R26" s="89"/>
      <c r="S26" s="89"/>
      <c r="T26" s="89"/>
      <c r="U26" s="89"/>
      <c r="V26" s="89"/>
      <c r="W26" s="89"/>
      <c r="X26" s="89"/>
    </row>
    <row r="27" spans="1:24" s="407" customFormat="1" ht="24" customHeight="1">
      <c r="A27" s="364" t="s">
        <v>734</v>
      </c>
      <c r="B27" s="362" t="s">
        <v>735</v>
      </c>
      <c r="C27" s="362" t="s">
        <v>733</v>
      </c>
      <c r="D27" s="363"/>
      <c r="E27" s="362" t="s">
        <v>718</v>
      </c>
      <c r="F27" s="89"/>
      <c r="G27" s="89"/>
      <c r="H27" s="89"/>
      <c r="I27" s="89"/>
      <c r="J27" s="89"/>
      <c r="K27" s="89"/>
      <c r="L27" s="89"/>
      <c r="M27" s="89"/>
      <c r="N27" s="89"/>
      <c r="O27" s="89"/>
      <c r="P27" s="89"/>
      <c r="Q27" s="89"/>
      <c r="R27" s="89"/>
      <c r="S27" s="89"/>
      <c r="T27" s="89"/>
      <c r="U27" s="89"/>
      <c r="V27" s="89"/>
      <c r="W27" s="89"/>
      <c r="X27" s="89"/>
    </row>
    <row r="28" spans="1:24" s="407" customFormat="1" ht="24" customHeight="1">
      <c r="A28" s="364" t="s">
        <v>736</v>
      </c>
      <c r="B28" s="362" t="s">
        <v>737</v>
      </c>
      <c r="C28" s="362" t="s">
        <v>733</v>
      </c>
      <c r="D28" s="363" t="s">
        <v>738</v>
      </c>
      <c r="E28" s="362" t="s">
        <v>718</v>
      </c>
      <c r="F28" s="89"/>
      <c r="G28" s="89"/>
      <c r="H28" s="89"/>
      <c r="I28" s="89"/>
      <c r="J28" s="89"/>
      <c r="K28" s="89"/>
      <c r="L28" s="89"/>
      <c r="M28" s="89"/>
      <c r="N28" s="89"/>
      <c r="O28" s="89"/>
      <c r="P28" s="89"/>
      <c r="Q28" s="89"/>
      <c r="R28" s="89"/>
      <c r="S28" s="89"/>
      <c r="T28" s="89"/>
      <c r="U28" s="89"/>
      <c r="V28" s="89"/>
      <c r="W28" s="89"/>
      <c r="X28" s="89"/>
    </row>
    <row r="29" spans="1:24" s="407" customFormat="1" ht="24" customHeight="1">
      <c r="A29" s="365" t="s">
        <v>739</v>
      </c>
      <c r="B29" s="365"/>
      <c r="C29" s="365" t="s">
        <v>733</v>
      </c>
      <c r="D29" s="365"/>
      <c r="E29" s="365" t="s">
        <v>718</v>
      </c>
      <c r="F29" s="89"/>
      <c r="G29" s="89"/>
      <c r="H29" s="89"/>
      <c r="I29" s="89"/>
      <c r="J29" s="89"/>
      <c r="K29" s="89"/>
      <c r="L29" s="89"/>
      <c r="M29" s="89"/>
      <c r="N29" s="89"/>
      <c r="O29" s="89"/>
      <c r="P29" s="89"/>
      <c r="Q29" s="89"/>
      <c r="R29" s="89"/>
      <c r="S29" s="89"/>
      <c r="T29" s="89"/>
      <c r="U29" s="89"/>
      <c r="V29" s="89"/>
      <c r="W29" s="89"/>
      <c r="X29" s="89"/>
    </row>
    <row r="30" spans="1:24" s="407" customFormat="1" ht="24" customHeight="1">
      <c r="A30" s="364" t="s">
        <v>740</v>
      </c>
      <c r="B30" s="362" t="s">
        <v>741</v>
      </c>
      <c r="C30" s="362" t="s">
        <v>742</v>
      </c>
      <c r="D30" s="363"/>
      <c r="E30" s="362" t="s">
        <v>718</v>
      </c>
      <c r="F30" s="89"/>
      <c r="G30" s="89"/>
      <c r="H30" s="89"/>
      <c r="I30" s="89"/>
      <c r="J30" s="89"/>
      <c r="K30" s="89"/>
      <c r="L30" s="89"/>
      <c r="M30" s="89"/>
      <c r="N30" s="89"/>
      <c r="O30" s="89"/>
      <c r="P30" s="89"/>
      <c r="Q30" s="89"/>
      <c r="R30" s="89"/>
      <c r="S30" s="89"/>
      <c r="T30" s="89"/>
      <c r="U30" s="89"/>
      <c r="V30" s="89"/>
      <c r="W30" s="89"/>
      <c r="X30" s="89"/>
    </row>
    <row r="31" spans="1:24" s="407" customFormat="1" ht="24" customHeight="1">
      <c r="A31" s="364" t="s">
        <v>743</v>
      </c>
      <c r="B31" s="362" t="s">
        <v>744</v>
      </c>
      <c r="C31" s="362" t="s">
        <v>745</v>
      </c>
      <c r="D31" s="363" t="s">
        <v>746</v>
      </c>
      <c r="E31" s="362" t="s">
        <v>718</v>
      </c>
      <c r="F31" s="89"/>
      <c r="G31" s="89"/>
      <c r="H31" s="89"/>
      <c r="I31" s="89"/>
      <c r="J31" s="89"/>
      <c r="K31" s="89"/>
      <c r="L31" s="89"/>
      <c r="M31" s="89"/>
      <c r="N31" s="89"/>
      <c r="O31" s="89"/>
      <c r="P31" s="89"/>
      <c r="Q31" s="89"/>
      <c r="R31" s="89"/>
      <c r="S31" s="89"/>
      <c r="T31" s="89"/>
      <c r="U31" s="89"/>
      <c r="V31" s="89"/>
      <c r="W31" s="89"/>
      <c r="X31" s="89"/>
    </row>
    <row r="32" spans="1:24" s="407" customFormat="1" ht="24" customHeight="1">
      <c r="A32" s="364" t="s">
        <v>747</v>
      </c>
      <c r="B32" s="362" t="s">
        <v>748</v>
      </c>
      <c r="C32" s="362" t="s">
        <v>749</v>
      </c>
      <c r="D32" s="363"/>
      <c r="E32" s="362" t="s">
        <v>718</v>
      </c>
      <c r="F32" s="89"/>
      <c r="G32" s="89"/>
      <c r="H32" s="89"/>
      <c r="I32" s="89"/>
      <c r="J32" s="89"/>
      <c r="K32" s="89"/>
      <c r="L32" s="89"/>
      <c r="M32" s="89"/>
      <c r="N32" s="89"/>
      <c r="O32" s="89"/>
      <c r="P32" s="89"/>
      <c r="Q32" s="89"/>
      <c r="R32" s="89"/>
      <c r="S32" s="89"/>
      <c r="T32" s="89"/>
      <c r="U32" s="89"/>
      <c r="V32" s="89"/>
      <c r="W32" s="89"/>
      <c r="X32" s="89"/>
    </row>
    <row r="33" spans="1:24" s="407" customFormat="1" ht="24" customHeight="1">
      <c r="A33" s="364" t="s">
        <v>750</v>
      </c>
      <c r="B33" s="362" t="s">
        <v>751</v>
      </c>
      <c r="C33" s="362" t="s">
        <v>752</v>
      </c>
      <c r="D33" s="363" t="s">
        <v>753</v>
      </c>
      <c r="E33" s="362" t="s">
        <v>718</v>
      </c>
      <c r="F33" s="89"/>
      <c r="G33" s="89"/>
      <c r="H33" s="89"/>
      <c r="I33" s="89"/>
      <c r="J33" s="89"/>
      <c r="K33" s="89"/>
      <c r="L33" s="89"/>
      <c r="M33" s="89"/>
      <c r="N33" s="89"/>
      <c r="O33" s="89"/>
      <c r="P33" s="89"/>
      <c r="Q33" s="89"/>
      <c r="R33" s="89"/>
      <c r="S33" s="89"/>
      <c r="T33" s="89"/>
      <c r="U33" s="89"/>
      <c r="V33" s="89"/>
      <c r="W33" s="89"/>
      <c r="X33" s="89"/>
    </row>
    <row r="34" spans="1:24" s="407" customFormat="1" ht="24" customHeight="1">
      <c r="A34" s="365" t="s">
        <v>754</v>
      </c>
      <c r="B34" s="365" t="s">
        <v>755</v>
      </c>
      <c r="C34" s="365" t="s">
        <v>756</v>
      </c>
      <c r="D34" s="365" t="s">
        <v>757</v>
      </c>
      <c r="E34" s="365" t="s">
        <v>758</v>
      </c>
      <c r="F34" s="89"/>
      <c r="G34" s="89"/>
      <c r="H34" s="89"/>
      <c r="I34" s="89"/>
      <c r="J34" s="89"/>
      <c r="K34" s="89"/>
      <c r="L34" s="89"/>
      <c r="M34" s="89"/>
      <c r="N34" s="89"/>
      <c r="O34" s="89"/>
      <c r="P34" s="89"/>
      <c r="Q34" s="89"/>
      <c r="R34" s="89"/>
      <c r="S34" s="89"/>
      <c r="T34" s="89"/>
      <c r="U34" s="89"/>
      <c r="V34" s="89"/>
      <c r="W34" s="89"/>
      <c r="X34" s="89"/>
    </row>
    <row r="35" spans="1:24" s="407" customFormat="1" ht="24" customHeight="1">
      <c r="A35" s="366" t="s">
        <v>759</v>
      </c>
      <c r="B35" s="366" t="s">
        <v>760</v>
      </c>
      <c r="C35" s="366" t="s">
        <v>761</v>
      </c>
      <c r="D35" s="366" t="s">
        <v>762</v>
      </c>
      <c r="E35" s="366" t="s">
        <v>842</v>
      </c>
      <c r="F35" s="89"/>
      <c r="G35" s="89"/>
      <c r="H35" s="89"/>
      <c r="I35" s="89"/>
      <c r="J35" s="89"/>
      <c r="K35" s="89"/>
      <c r="L35" s="89"/>
      <c r="M35" s="89"/>
      <c r="N35" s="89"/>
      <c r="O35" s="89"/>
      <c r="P35" s="89"/>
      <c r="Q35" s="89"/>
      <c r="R35" s="89"/>
      <c r="S35" s="89"/>
      <c r="T35" s="89"/>
      <c r="U35" s="89"/>
      <c r="V35" s="89"/>
      <c r="W35" s="89"/>
      <c r="X35" s="89"/>
    </row>
    <row r="36" spans="1:24"/>
    <row r="37" spans="1:24"/>
    <row r="38" spans="1:24"/>
    <row r="39" spans="1:24"/>
    <row r="40" spans="1:24"/>
    <row r="41" spans="1:24"/>
    <row r="42" spans="1:24"/>
    <row r="43" spans="1:24"/>
    <row r="44" spans="1:24"/>
    <row r="45" spans="1:24"/>
    <row r="46" spans="1:24"/>
    <row r="47" spans="1:24"/>
    <row r="48" spans="1:24"/>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sheetProtection sheet="1" objects="1" scenarios="1" selectLockedCells="1"/>
  <phoneticPr fontId="14"/>
  <printOptions horizontalCentered="1"/>
  <pageMargins left="0.78740157480314965" right="0.78740157480314965" top="1.1811023622047245" bottom="0.39370078740157483" header="0.78740157480314965" footer="0.51181102362204722"/>
  <pageSetup paperSize="9" scale="61" firstPageNumber="0" orientation="landscape" cellComments="asDisplayed" verticalDpi="300" r:id="rId1"/>
  <headerFooter alignWithMargins="0">
    <oddHeader>&amp;L肉用牛（繁殖）耕作放棄地親子放牧（全域）</oddHeader>
  </headerFooter>
</worksheet>
</file>

<file path=xl/worksheets/sheet5.xml><?xml version="1.0" encoding="utf-8"?>
<worksheet xmlns="http://schemas.openxmlformats.org/spreadsheetml/2006/main" xmlns:r="http://schemas.openxmlformats.org/officeDocument/2006/relationships">
  <sheetPr codeName="Sheet3">
    <tabColor rgb="FFFFFF00"/>
    <pageSetUpPr fitToPage="1"/>
  </sheetPr>
  <dimension ref="A1:CG129"/>
  <sheetViews>
    <sheetView showGridLines="0" workbookViewId="0">
      <pane xSplit="1" ySplit="4" topLeftCell="J5" activePane="bottomRight" state="frozen"/>
      <selection pane="topRight" activeCell="B1" sqref="B1"/>
      <selection pane="bottomLeft" activeCell="A5" sqref="A5"/>
      <selection pane="bottomRight" activeCell="T36" sqref="T36"/>
    </sheetView>
  </sheetViews>
  <sheetFormatPr defaultRowHeight="12" zeroHeight="1"/>
  <cols>
    <col min="1" max="1" width="3.875" style="97" customWidth="1"/>
    <col min="2" max="2" width="2.875" style="97" customWidth="1"/>
    <col min="3" max="3" width="19.375" style="97" customWidth="1"/>
    <col min="4" max="4" width="27.125" style="97" customWidth="1"/>
    <col min="5" max="5" width="3.625" style="97" customWidth="1"/>
    <col min="6" max="6" width="2.625" style="97" bestFit="1" customWidth="1"/>
    <col min="7" max="8" width="3.375" style="97" customWidth="1"/>
    <col min="9" max="9" width="5.25" style="97" customWidth="1"/>
    <col min="10" max="12" width="12.25" style="97" customWidth="1"/>
    <col min="13" max="13" width="5.75" style="98" customWidth="1"/>
    <col min="14" max="15" width="11.25" style="98" customWidth="1"/>
    <col min="16" max="16" width="11.25" style="159" customWidth="1"/>
    <col min="17" max="19" width="11.25" style="97" customWidth="1"/>
    <col min="20" max="20" width="27.25" style="97" bestFit="1" customWidth="1"/>
    <col min="21" max="21" width="4.5" style="97" customWidth="1"/>
    <col min="22" max="22" width="15.125" style="97" customWidth="1"/>
    <col min="23" max="23" width="11.5" style="97" customWidth="1"/>
    <col min="24" max="24" width="12.125" style="97" customWidth="1"/>
    <col min="25" max="25" width="7.875" style="97" customWidth="1"/>
    <col min="26" max="26" width="8.875" style="97" customWidth="1"/>
    <col min="27" max="27" width="4.875" style="97" customWidth="1"/>
    <col min="28" max="28" width="16.25" style="97" customWidth="1"/>
    <col min="29" max="29" width="11.875" style="97" customWidth="1"/>
    <col min="30" max="30" width="8.25" style="97" customWidth="1"/>
    <col min="31" max="31" width="6.125" style="97" customWidth="1"/>
    <col min="32" max="32" width="6.625" style="97" customWidth="1"/>
    <col min="33" max="33" width="12.5" style="97" customWidth="1"/>
    <col min="34" max="16384" width="9" style="97"/>
  </cols>
  <sheetData>
    <row r="1" spans="1:85" ht="16.5" customHeight="1">
      <c r="A1" s="431" t="s">
        <v>9</v>
      </c>
      <c r="B1" s="93"/>
      <c r="C1" s="93"/>
      <c r="D1" s="94" t="s">
        <v>10</v>
      </c>
      <c r="E1" s="838">
        <f>①技術体系!E2*100</f>
        <v>200</v>
      </c>
      <c r="F1" s="838"/>
      <c r="G1" s="95" t="s">
        <v>11</v>
      </c>
      <c r="H1" s="96"/>
      <c r="I1" s="96"/>
      <c r="J1" s="96"/>
      <c r="P1" s="98"/>
      <c r="Q1" s="99" t="str">
        <f>①技術体系!A2</f>
        <v>黒毛和種子牛</v>
      </c>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row>
    <row r="2" spans="1:85" ht="18.75" customHeight="1">
      <c r="A2" s="847" t="s">
        <v>12</v>
      </c>
      <c r="B2" s="847"/>
      <c r="C2" s="847"/>
      <c r="D2" s="101" t="s">
        <v>13</v>
      </c>
      <c r="E2" s="839" t="s">
        <v>14</v>
      </c>
      <c r="F2" s="839" t="s">
        <v>15</v>
      </c>
      <c r="G2" s="839" t="s">
        <v>16</v>
      </c>
      <c r="H2" s="832" t="s">
        <v>17</v>
      </c>
      <c r="I2" s="832" t="s">
        <v>18</v>
      </c>
      <c r="J2" s="205" t="s">
        <v>19</v>
      </c>
      <c r="K2" s="205" t="s">
        <v>20</v>
      </c>
      <c r="L2" s="101" t="s">
        <v>21</v>
      </c>
      <c r="M2" s="833" t="s">
        <v>22</v>
      </c>
      <c r="N2" s="834"/>
      <c r="O2" s="834"/>
      <c r="P2" s="834"/>
      <c r="Q2" s="834"/>
      <c r="R2" s="834"/>
      <c r="S2" s="835"/>
      <c r="T2" s="205"/>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row>
    <row r="3" spans="1:85" ht="17.25" customHeight="1">
      <c r="A3" s="102"/>
      <c r="B3" s="103"/>
      <c r="C3" s="104"/>
      <c r="D3" s="104"/>
      <c r="E3" s="839"/>
      <c r="F3" s="839"/>
      <c r="G3" s="839"/>
      <c r="H3" s="832"/>
      <c r="I3" s="832"/>
      <c r="J3" s="105"/>
      <c r="K3" s="105" t="s">
        <v>23</v>
      </c>
      <c r="L3" s="104" t="s">
        <v>20</v>
      </c>
      <c r="M3" s="836" t="s">
        <v>24</v>
      </c>
      <c r="N3" s="104" t="s">
        <v>25</v>
      </c>
      <c r="O3" s="104" t="s">
        <v>26</v>
      </c>
      <c r="P3" s="104" t="s">
        <v>27</v>
      </c>
      <c r="Q3" s="104" t="s">
        <v>28</v>
      </c>
      <c r="R3" s="104" t="s">
        <v>28</v>
      </c>
      <c r="S3" s="104" t="s">
        <v>29</v>
      </c>
      <c r="T3" s="104" t="s">
        <v>30</v>
      </c>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row>
    <row r="4" spans="1:85" ht="18" customHeight="1">
      <c r="A4" s="106"/>
      <c r="B4" s="107"/>
      <c r="C4" s="108"/>
      <c r="D4" s="108"/>
      <c r="E4" s="839"/>
      <c r="F4" s="839"/>
      <c r="G4" s="839"/>
      <c r="H4" s="832"/>
      <c r="I4" s="832"/>
      <c r="J4" s="109"/>
      <c r="K4" s="109"/>
      <c r="L4" s="108"/>
      <c r="M4" s="836"/>
      <c r="N4" s="108"/>
      <c r="O4" s="108"/>
      <c r="P4" s="108"/>
      <c r="Q4" s="108"/>
      <c r="R4" s="110" t="s">
        <v>31</v>
      </c>
      <c r="S4" s="110" t="s">
        <v>31</v>
      </c>
      <c r="T4" s="108"/>
      <c r="U4" s="100"/>
      <c r="V4" s="23"/>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row>
    <row r="5" spans="1:85" ht="14.1" customHeight="1">
      <c r="A5" s="111"/>
      <c r="B5" s="848" t="s">
        <v>511</v>
      </c>
      <c r="C5" s="849"/>
      <c r="D5" s="112" t="s">
        <v>509</v>
      </c>
      <c r="E5" s="113">
        <v>1</v>
      </c>
      <c r="F5" s="113" t="s">
        <v>510</v>
      </c>
      <c r="G5" s="114"/>
      <c r="H5" s="113">
        <v>24</v>
      </c>
      <c r="I5" s="124">
        <v>1</v>
      </c>
      <c r="J5" s="115">
        <v>3720000</v>
      </c>
      <c r="K5" s="387">
        <f>J5*E5</f>
        <v>3720000</v>
      </c>
      <c r="L5" s="388">
        <f>IF(I5="",K5,I5*K5)</f>
        <v>3720000</v>
      </c>
      <c r="M5" s="114">
        <v>6.7000000000000004E-2</v>
      </c>
      <c r="N5" s="397">
        <f>IF(I5="",INT(K5*M5),INT(K5*I5*M5))</f>
        <v>249240</v>
      </c>
      <c r="O5" s="397">
        <f>N5*(G5)</f>
        <v>0</v>
      </c>
      <c r="P5" s="398">
        <f>N5-O5</f>
        <v>249240</v>
      </c>
      <c r="Q5" s="397">
        <f>IF(H5="",0,ROUND(P5/H5,0))</f>
        <v>10385</v>
      </c>
      <c r="R5" s="397">
        <f>IF(Q5=0,0,INT(Q5/$E$1*10))</f>
        <v>519</v>
      </c>
      <c r="S5" s="397">
        <f>IF(R5=0,0,$D$42*K5*M5/$E$1*10)</f>
        <v>124.62</v>
      </c>
      <c r="T5" s="319" t="s">
        <v>512</v>
      </c>
      <c r="U5" s="203"/>
      <c r="V5" s="204"/>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row>
    <row r="6" spans="1:85" ht="14.1" customHeight="1">
      <c r="A6" s="116" t="s">
        <v>32</v>
      </c>
      <c r="B6" s="850"/>
      <c r="C6" s="851"/>
      <c r="D6" s="112"/>
      <c r="E6" s="113"/>
      <c r="F6" s="113"/>
      <c r="G6" s="114"/>
      <c r="H6" s="113"/>
      <c r="I6" s="124"/>
      <c r="J6" s="117"/>
      <c r="K6" s="387">
        <f>J6*E6</f>
        <v>0</v>
      </c>
      <c r="L6" s="389">
        <f>IF(I6="",K6,I6*K6)</f>
        <v>0</v>
      </c>
      <c r="M6" s="114"/>
      <c r="N6" s="397">
        <f>IF(I6="",INT(K6*M6),INT(K6*I6*M6))</f>
        <v>0</v>
      </c>
      <c r="O6" s="397">
        <f>N6*(G6)</f>
        <v>0</v>
      </c>
      <c r="P6" s="398">
        <f>N6-O6</f>
        <v>0</v>
      </c>
      <c r="Q6" s="397">
        <f>IF(H6="",0,ROUND(P6/H6,0))</f>
        <v>0</v>
      </c>
      <c r="R6" s="397">
        <f t="shared" ref="R6:R18" si="0">IF(Q6=0,0,INT(Q6/$E$1*10))</f>
        <v>0</v>
      </c>
      <c r="S6" s="397">
        <f>IF(R6=0,0,$D$42*K6*M6/$E$1*10)</f>
        <v>0</v>
      </c>
      <c r="T6" s="320"/>
      <c r="U6" s="100"/>
      <c r="V6" s="1"/>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row>
    <row r="7" spans="1:85" ht="14.1" customHeight="1">
      <c r="A7" s="116" t="s">
        <v>33</v>
      </c>
      <c r="B7" s="850"/>
      <c r="C7" s="851"/>
      <c r="D7" s="112"/>
      <c r="E7" s="113"/>
      <c r="F7" s="113"/>
      <c r="G7" s="114"/>
      <c r="H7" s="113"/>
      <c r="I7" s="124"/>
      <c r="J7" s="118"/>
      <c r="K7" s="387">
        <f>J7*E7</f>
        <v>0</v>
      </c>
      <c r="L7" s="389">
        <f>IF(I7="",K7,I7*K7)</f>
        <v>0</v>
      </c>
      <c r="M7" s="114"/>
      <c r="N7" s="397">
        <f>IF(I7="",INT(K7*M7),INT(K7*I7*M7))</f>
        <v>0</v>
      </c>
      <c r="O7" s="397">
        <f>N7*(G7)</f>
        <v>0</v>
      </c>
      <c r="P7" s="398">
        <f>N7-O7</f>
        <v>0</v>
      </c>
      <c r="Q7" s="397">
        <f>IF(H7="",0,ROUND(P7/H7,0))</f>
        <v>0</v>
      </c>
      <c r="R7" s="397">
        <f t="shared" si="0"/>
        <v>0</v>
      </c>
      <c r="S7" s="397">
        <f>IF(R7=0,0,$D$42*K7*M7/$E$1*10)</f>
        <v>0</v>
      </c>
      <c r="T7" s="320"/>
      <c r="U7" s="100"/>
      <c r="V7" s="1"/>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row>
    <row r="8" spans="1:85" ht="14.1" customHeight="1">
      <c r="A8" s="119"/>
      <c r="B8" s="854"/>
      <c r="C8" s="855"/>
      <c r="D8" s="419"/>
      <c r="E8" s="420"/>
      <c r="F8" s="420"/>
      <c r="G8" s="421"/>
      <c r="H8" s="420"/>
      <c r="I8" s="422"/>
      <c r="J8" s="423"/>
      <c r="K8" s="390">
        <f>SUM(K5:K7)</f>
        <v>3720000</v>
      </c>
      <c r="L8" s="391">
        <f>SUM(L5:L7)</f>
        <v>3720000</v>
      </c>
      <c r="M8" s="421"/>
      <c r="N8" s="394">
        <f t="shared" ref="N8:S8" si="1">SUM(N5:N7)</f>
        <v>249240</v>
      </c>
      <c r="O8" s="394">
        <f t="shared" si="1"/>
        <v>0</v>
      </c>
      <c r="P8" s="394">
        <f t="shared" si="1"/>
        <v>249240</v>
      </c>
      <c r="Q8" s="394">
        <f t="shared" si="1"/>
        <v>10385</v>
      </c>
      <c r="R8" s="394">
        <f t="shared" si="1"/>
        <v>519</v>
      </c>
      <c r="S8" s="394">
        <f t="shared" si="1"/>
        <v>124.62</v>
      </c>
      <c r="T8" s="120"/>
      <c r="U8" s="100"/>
      <c r="V8" s="1"/>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row>
    <row r="9" spans="1:85" ht="14.1" customHeight="1">
      <c r="A9" s="116"/>
      <c r="B9" s="848" t="s">
        <v>513</v>
      </c>
      <c r="C9" s="849"/>
      <c r="D9" s="112" t="s">
        <v>514</v>
      </c>
      <c r="E9" s="113">
        <v>1</v>
      </c>
      <c r="F9" s="113" t="s">
        <v>510</v>
      </c>
      <c r="G9" s="114"/>
      <c r="H9" s="113">
        <v>10</v>
      </c>
      <c r="I9" s="545">
        <v>1</v>
      </c>
      <c r="J9" s="118">
        <f>189800+簡易牛舎算出根基!L24</f>
        <v>214812</v>
      </c>
      <c r="K9" s="387">
        <f>J9*E9</f>
        <v>214812</v>
      </c>
      <c r="L9" s="389">
        <f t="shared" ref="L9:L16" si="2">IF(I9="",K9,I9*K9)</f>
        <v>214812</v>
      </c>
      <c r="M9" s="546">
        <v>1</v>
      </c>
      <c r="N9" s="397">
        <f t="shared" ref="N9:N16" si="3">IF(I9="",INT(K9*M9),INT(K9*I9*M9))</f>
        <v>214812</v>
      </c>
      <c r="O9" s="397">
        <f t="shared" ref="O9:O16" si="4">N9*(G9)</f>
        <v>0</v>
      </c>
      <c r="P9" s="398">
        <f t="shared" ref="P9:P16" si="5">N9-O9</f>
        <v>214812</v>
      </c>
      <c r="Q9" s="397">
        <f t="shared" ref="Q9:Q16" si="6">IF(H9="",0,ROUND(P9/H9,0))</f>
        <v>21481</v>
      </c>
      <c r="R9" s="397">
        <f t="shared" si="0"/>
        <v>1074</v>
      </c>
      <c r="S9" s="397">
        <f>IF(R9=0,0,$D$42*K9*M9/$E$1*10)</f>
        <v>107.40599999999999</v>
      </c>
      <c r="T9" s="319" t="s">
        <v>823</v>
      </c>
      <c r="U9" s="100"/>
      <c r="V9" s="1"/>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row>
    <row r="10" spans="1:85" ht="14.1" customHeight="1">
      <c r="A10" s="116"/>
      <c r="B10" s="850"/>
      <c r="C10" s="851"/>
      <c r="D10" s="112"/>
      <c r="E10" s="113"/>
      <c r="F10" s="113"/>
      <c r="G10" s="114"/>
      <c r="H10" s="113"/>
      <c r="I10" s="124"/>
      <c r="J10" s="202"/>
      <c r="K10" s="387">
        <f t="shared" ref="K10:K16" si="7">J10*E10</f>
        <v>0</v>
      </c>
      <c r="L10" s="389">
        <f t="shared" si="2"/>
        <v>0</v>
      </c>
      <c r="M10" s="114"/>
      <c r="N10" s="397">
        <f t="shared" si="3"/>
        <v>0</v>
      </c>
      <c r="O10" s="397">
        <f t="shared" si="4"/>
        <v>0</v>
      </c>
      <c r="P10" s="398">
        <f t="shared" si="5"/>
        <v>0</v>
      </c>
      <c r="Q10" s="397">
        <f t="shared" si="6"/>
        <v>0</v>
      </c>
      <c r="R10" s="397">
        <f t="shared" si="0"/>
        <v>0</v>
      </c>
      <c r="S10" s="397">
        <f>IF(R10=0,0,$D$42*K10*M10/$E$1*10)</f>
        <v>0</v>
      </c>
      <c r="T10" s="319" t="s">
        <v>850</v>
      </c>
      <c r="U10" s="100"/>
      <c r="V10" s="1"/>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row>
    <row r="11" spans="1:85" ht="14.1" customHeight="1">
      <c r="A11" s="121" t="s">
        <v>34</v>
      </c>
      <c r="B11" s="850"/>
      <c r="C11" s="851"/>
      <c r="D11" s="465"/>
      <c r="E11" s="113"/>
      <c r="F11" s="113"/>
      <c r="G11" s="114"/>
      <c r="H11" s="113"/>
      <c r="I11" s="124"/>
      <c r="J11" s="202"/>
      <c r="K11" s="387">
        <f t="shared" si="7"/>
        <v>0</v>
      </c>
      <c r="L11" s="389">
        <f t="shared" si="2"/>
        <v>0</v>
      </c>
      <c r="M11" s="114"/>
      <c r="N11" s="397">
        <f t="shared" si="3"/>
        <v>0</v>
      </c>
      <c r="O11" s="397">
        <f t="shared" si="4"/>
        <v>0</v>
      </c>
      <c r="P11" s="398">
        <f t="shared" si="5"/>
        <v>0</v>
      </c>
      <c r="Q11" s="397">
        <f t="shared" si="6"/>
        <v>0</v>
      </c>
      <c r="R11" s="397">
        <f t="shared" si="0"/>
        <v>0</v>
      </c>
      <c r="S11" s="397">
        <f>IF(R11=0,0,$D$42*K11*M11/$E$1*10)</f>
        <v>0</v>
      </c>
      <c r="T11" s="319"/>
      <c r="U11" s="100"/>
      <c r="V11" s="1"/>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row>
    <row r="12" spans="1:85" ht="14.1" customHeight="1">
      <c r="A12" s="121"/>
      <c r="B12" s="850"/>
      <c r="C12" s="851"/>
      <c r="D12" s="465"/>
      <c r="E12" s="113"/>
      <c r="F12" s="113"/>
      <c r="G12" s="114"/>
      <c r="H12" s="113"/>
      <c r="I12" s="124"/>
      <c r="J12" s="202"/>
      <c r="K12" s="387">
        <f t="shared" si="7"/>
        <v>0</v>
      </c>
      <c r="L12" s="389">
        <f t="shared" si="2"/>
        <v>0</v>
      </c>
      <c r="M12" s="114"/>
      <c r="N12" s="397">
        <f t="shared" si="3"/>
        <v>0</v>
      </c>
      <c r="O12" s="397">
        <f t="shared" si="4"/>
        <v>0</v>
      </c>
      <c r="P12" s="398">
        <f t="shared" si="5"/>
        <v>0</v>
      </c>
      <c r="Q12" s="397">
        <f t="shared" si="6"/>
        <v>0</v>
      </c>
      <c r="R12" s="397">
        <f t="shared" si="0"/>
        <v>0</v>
      </c>
      <c r="S12" s="397">
        <f>IF(R12=0,0,$D$42*K12*M12/$E$1*10)</f>
        <v>0</v>
      </c>
      <c r="T12" s="319"/>
      <c r="U12" s="100"/>
      <c r="V12" s="1"/>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row>
    <row r="13" spans="1:85" ht="14.1" customHeight="1">
      <c r="A13" s="121" t="s">
        <v>35</v>
      </c>
      <c r="B13" s="850"/>
      <c r="C13" s="851"/>
      <c r="D13" s="112"/>
      <c r="E13" s="113"/>
      <c r="F13" s="113"/>
      <c r="G13" s="114"/>
      <c r="H13" s="113"/>
      <c r="I13" s="124"/>
      <c r="J13" s="466"/>
      <c r="K13" s="387">
        <f t="shared" si="7"/>
        <v>0</v>
      </c>
      <c r="L13" s="389">
        <f t="shared" si="2"/>
        <v>0</v>
      </c>
      <c r="M13" s="114"/>
      <c r="N13" s="397">
        <f t="shared" si="3"/>
        <v>0</v>
      </c>
      <c r="O13" s="397">
        <f t="shared" si="4"/>
        <v>0</v>
      </c>
      <c r="P13" s="398">
        <f t="shared" si="5"/>
        <v>0</v>
      </c>
      <c r="Q13" s="397">
        <f t="shared" si="6"/>
        <v>0</v>
      </c>
      <c r="R13" s="397">
        <f t="shared" si="0"/>
        <v>0</v>
      </c>
      <c r="S13" s="397">
        <f>IF(R13=0,0,$D$42*K13*M13/$E$1*10)</f>
        <v>0</v>
      </c>
      <c r="T13" s="319"/>
      <c r="U13" s="100"/>
      <c r="V13" s="1"/>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row>
    <row r="14" spans="1:85" ht="14.1" customHeight="1">
      <c r="A14" s="121"/>
      <c r="B14" s="850"/>
      <c r="C14" s="851"/>
      <c r="D14" s="112"/>
      <c r="E14" s="113"/>
      <c r="F14" s="113"/>
      <c r="G14" s="123"/>
      <c r="H14" s="113"/>
      <c r="I14" s="124"/>
      <c r="J14" s="118"/>
      <c r="K14" s="392">
        <f t="shared" si="7"/>
        <v>0</v>
      </c>
      <c r="L14" s="393">
        <f t="shared" si="2"/>
        <v>0</v>
      </c>
      <c r="M14" s="114"/>
      <c r="N14" s="397">
        <f t="shared" si="3"/>
        <v>0</v>
      </c>
      <c r="O14" s="397">
        <f t="shared" si="4"/>
        <v>0</v>
      </c>
      <c r="P14" s="398">
        <f t="shared" si="5"/>
        <v>0</v>
      </c>
      <c r="Q14" s="397">
        <f t="shared" si="6"/>
        <v>0</v>
      </c>
      <c r="R14" s="397">
        <f t="shared" si="0"/>
        <v>0</v>
      </c>
      <c r="S14" s="397">
        <f>IF(R14=0,0,$D$43*K14*M14/$E$1*10)</f>
        <v>0</v>
      </c>
      <c r="T14" s="320"/>
      <c r="U14" s="100"/>
      <c r="V14" s="1"/>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row>
    <row r="15" spans="1:85" ht="14.1" customHeight="1">
      <c r="A15" s="121"/>
      <c r="B15" s="850"/>
      <c r="C15" s="851"/>
      <c r="D15" s="112"/>
      <c r="E15" s="113"/>
      <c r="F15" s="113"/>
      <c r="G15" s="123"/>
      <c r="H15" s="113"/>
      <c r="I15" s="124"/>
      <c r="J15" s="118"/>
      <c r="K15" s="392">
        <f t="shared" si="7"/>
        <v>0</v>
      </c>
      <c r="L15" s="393">
        <f t="shared" si="2"/>
        <v>0</v>
      </c>
      <c r="M15" s="114"/>
      <c r="N15" s="397">
        <f t="shared" si="3"/>
        <v>0</v>
      </c>
      <c r="O15" s="397">
        <f t="shared" si="4"/>
        <v>0</v>
      </c>
      <c r="P15" s="398">
        <f t="shared" si="5"/>
        <v>0</v>
      </c>
      <c r="Q15" s="397">
        <f t="shared" si="6"/>
        <v>0</v>
      </c>
      <c r="R15" s="397">
        <f t="shared" si="0"/>
        <v>0</v>
      </c>
      <c r="S15" s="397">
        <f>IF(R15=0,0,$D$43*K15*M15/$E$1*10)</f>
        <v>0</v>
      </c>
      <c r="T15" s="320"/>
      <c r="U15" s="100"/>
      <c r="V15" s="1"/>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row>
    <row r="16" spans="1:85" ht="14.1" customHeight="1">
      <c r="A16" s="121"/>
      <c r="B16" s="850"/>
      <c r="C16" s="851"/>
      <c r="D16" s="112"/>
      <c r="E16" s="113"/>
      <c r="F16" s="113"/>
      <c r="G16" s="114"/>
      <c r="H16" s="113"/>
      <c r="I16" s="124"/>
      <c r="J16" s="201"/>
      <c r="K16" s="387">
        <f t="shared" si="7"/>
        <v>0</v>
      </c>
      <c r="L16" s="389">
        <f t="shared" si="2"/>
        <v>0</v>
      </c>
      <c r="M16" s="114"/>
      <c r="N16" s="397">
        <f t="shared" si="3"/>
        <v>0</v>
      </c>
      <c r="O16" s="397">
        <f t="shared" si="4"/>
        <v>0</v>
      </c>
      <c r="P16" s="398">
        <f t="shared" si="5"/>
        <v>0</v>
      </c>
      <c r="Q16" s="397">
        <f t="shared" si="6"/>
        <v>0</v>
      </c>
      <c r="R16" s="397">
        <f t="shared" si="0"/>
        <v>0</v>
      </c>
      <c r="S16" s="397">
        <f>IF(R16=0,0,$D$42*K16*M16/$E$1*10)</f>
        <v>0</v>
      </c>
      <c r="T16" s="320"/>
      <c r="U16" s="100"/>
      <c r="V16" s="1"/>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row>
    <row r="17" spans="1:84" ht="14.1" customHeight="1">
      <c r="A17" s="121"/>
      <c r="B17" s="850"/>
      <c r="C17" s="851"/>
      <c r="D17" s="112"/>
      <c r="E17" s="113"/>
      <c r="F17" s="113"/>
      <c r="G17" s="114"/>
      <c r="H17" s="113"/>
      <c r="I17" s="124"/>
      <c r="J17" s="201"/>
      <c r="K17" s="387">
        <f>J17*E17</f>
        <v>0</v>
      </c>
      <c r="L17" s="389">
        <f>IF(I17="",K17,I17*K17)</f>
        <v>0</v>
      </c>
      <c r="M17" s="114"/>
      <c r="N17" s="397">
        <f>IF(I17="",INT(K17*M17),INT(K17*I17*M17))</f>
        <v>0</v>
      </c>
      <c r="O17" s="397">
        <f>N17*(G17)</f>
        <v>0</v>
      </c>
      <c r="P17" s="398">
        <f>N17-O17</f>
        <v>0</v>
      </c>
      <c r="Q17" s="397">
        <f>IF(H17="",0,ROUND(P17/H17,0))</f>
        <v>0</v>
      </c>
      <c r="R17" s="397">
        <f t="shared" si="0"/>
        <v>0</v>
      </c>
      <c r="S17" s="397">
        <f>IF(R17=0,0,$D$42*K17*M17/$E$1*10)</f>
        <v>0</v>
      </c>
      <c r="T17" s="320"/>
      <c r="U17" s="100"/>
      <c r="V17" s="1"/>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row>
    <row r="18" spans="1:84" ht="14.1" customHeight="1">
      <c r="A18" s="121"/>
      <c r="B18" s="850"/>
      <c r="C18" s="851"/>
      <c r="D18" s="112"/>
      <c r="E18" s="113"/>
      <c r="F18" s="113"/>
      <c r="G18" s="114"/>
      <c r="H18" s="113"/>
      <c r="I18" s="124"/>
      <c r="J18" s="201"/>
      <c r="K18" s="387">
        <f>J18*E18</f>
        <v>0</v>
      </c>
      <c r="L18" s="389">
        <f>IF(I18="",K18,I18*K18)</f>
        <v>0</v>
      </c>
      <c r="M18" s="114"/>
      <c r="N18" s="397">
        <f>IF(I18="",INT(K18*M18),INT(K18*I18*M18))</f>
        <v>0</v>
      </c>
      <c r="O18" s="397">
        <f>N18*(G18)</f>
        <v>0</v>
      </c>
      <c r="P18" s="398">
        <f>N18-O18</f>
        <v>0</v>
      </c>
      <c r="Q18" s="397">
        <f>IF(H18="",0,ROUND(P18/H18,0))</f>
        <v>0</v>
      </c>
      <c r="R18" s="397">
        <f t="shared" si="0"/>
        <v>0</v>
      </c>
      <c r="S18" s="397">
        <f>IF(R18=0,0,$D$42*K18*M18/$E$1*10)</f>
        <v>0</v>
      </c>
      <c r="T18" s="320"/>
      <c r="U18" s="100"/>
      <c r="V18" s="1"/>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row>
    <row r="19" spans="1:84" ht="14.1" customHeight="1">
      <c r="A19" s="122"/>
      <c r="B19" s="856"/>
      <c r="C19" s="857"/>
      <c r="D19" s="419"/>
      <c r="E19" s="420"/>
      <c r="F19" s="420"/>
      <c r="G19" s="419"/>
      <c r="H19" s="424"/>
      <c r="I19" s="425"/>
      <c r="J19" s="426"/>
      <c r="K19" s="390">
        <f>SUM(K9:K18)</f>
        <v>214812</v>
      </c>
      <c r="L19" s="394">
        <f>SUM(L9:L18)</f>
        <v>214812</v>
      </c>
      <c r="M19" s="419"/>
      <c r="N19" s="394">
        <f t="shared" ref="N19:S19" si="8">SUM(N9:N18)</f>
        <v>214812</v>
      </c>
      <c r="O19" s="394">
        <f t="shared" si="8"/>
        <v>0</v>
      </c>
      <c r="P19" s="394">
        <f t="shared" si="8"/>
        <v>214812</v>
      </c>
      <c r="Q19" s="394">
        <f t="shared" si="8"/>
        <v>21481</v>
      </c>
      <c r="R19" s="394">
        <f t="shared" si="8"/>
        <v>1074</v>
      </c>
      <c r="S19" s="394">
        <f t="shared" si="8"/>
        <v>107.40599999999999</v>
      </c>
      <c r="T19" s="120"/>
      <c r="U19" s="100"/>
      <c r="V19" s="1"/>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row>
    <row r="20" spans="1:84" ht="14.1" customHeight="1">
      <c r="A20" s="840" t="s">
        <v>286</v>
      </c>
      <c r="B20" s="700" t="s">
        <v>764</v>
      </c>
      <c r="C20" s="112"/>
      <c r="D20" s="112"/>
      <c r="E20" s="113">
        <v>1</v>
      </c>
      <c r="F20" s="113" t="s">
        <v>775</v>
      </c>
      <c r="G20" s="114"/>
      <c r="H20" s="113">
        <v>10</v>
      </c>
      <c r="I20" s="545">
        <v>1</v>
      </c>
      <c r="J20" s="118">
        <v>35000</v>
      </c>
      <c r="K20" s="387">
        <f>J20*E20</f>
        <v>35000</v>
      </c>
      <c r="L20" s="389">
        <f>IF(I20="",K20,I20*K20)</f>
        <v>35000</v>
      </c>
      <c r="M20" s="124">
        <v>1</v>
      </c>
      <c r="N20" s="397">
        <f>IF(I20="",INT(K20*M20),INT(K20*I20*M20))</f>
        <v>35000</v>
      </c>
      <c r="O20" s="397">
        <f>N20*(G20)</f>
        <v>0</v>
      </c>
      <c r="P20" s="398">
        <f>N20-O20</f>
        <v>35000</v>
      </c>
      <c r="Q20" s="397">
        <f>IF(H20="",0,ROUND(P20/H20,0))</f>
        <v>3500</v>
      </c>
      <c r="R20" s="397">
        <f>IF(Q20=0,0,INT(Q20/$E$1*10))</f>
        <v>175</v>
      </c>
      <c r="S20" s="399">
        <f>IF(R20=0,0,$D$43*K20*M20/$E$1*10)</f>
        <v>70</v>
      </c>
      <c r="T20" s="320"/>
      <c r="U20" s="100"/>
      <c r="V20" s="1"/>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row>
    <row r="21" spans="1:84" ht="14.1" customHeight="1">
      <c r="A21" s="841"/>
      <c r="B21" s="700" t="s">
        <v>765</v>
      </c>
      <c r="C21" s="112"/>
      <c r="D21" s="112" t="s">
        <v>776</v>
      </c>
      <c r="E21" s="113">
        <v>1</v>
      </c>
      <c r="F21" s="113" t="s">
        <v>775</v>
      </c>
      <c r="G21" s="123"/>
      <c r="H21" s="113">
        <v>7</v>
      </c>
      <c r="I21" s="545">
        <v>1</v>
      </c>
      <c r="J21" s="118">
        <v>3159450</v>
      </c>
      <c r="K21" s="387">
        <f>J21*E21</f>
        <v>3159450</v>
      </c>
      <c r="L21" s="389">
        <f>IF(I21="",K21,I21*K21)</f>
        <v>3159450</v>
      </c>
      <c r="M21" s="124">
        <v>6.7000000000000004E-2</v>
      </c>
      <c r="N21" s="397">
        <f>IF(I21="",INT(K21*M21),INT(K21*I21*M21))</f>
        <v>211683</v>
      </c>
      <c r="O21" s="397">
        <f>N21*(G21)</f>
        <v>0</v>
      </c>
      <c r="P21" s="398">
        <f>N21-O21</f>
        <v>211683</v>
      </c>
      <c r="Q21" s="397">
        <f>IF(H21="",0,ROUND(P21/H21,0))</f>
        <v>30240</v>
      </c>
      <c r="R21" s="397">
        <f>IF(Q21=0,0,INT(Q21/$E$1*10))</f>
        <v>1512</v>
      </c>
      <c r="S21" s="397">
        <f>IF(R21=0,0,$D$43*K21*M21/$E$1*10)</f>
        <v>423.36630000000008</v>
      </c>
      <c r="T21" s="320" t="s">
        <v>512</v>
      </c>
      <c r="U21" s="100"/>
      <c r="V21" s="1"/>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row>
    <row r="22" spans="1:84" ht="14.1" customHeight="1">
      <c r="A22" s="842"/>
      <c r="B22" s="700" t="s">
        <v>766</v>
      </c>
      <c r="C22" s="112"/>
      <c r="D22" s="112" t="s">
        <v>777</v>
      </c>
      <c r="E22" s="113">
        <v>1</v>
      </c>
      <c r="F22" s="113" t="s">
        <v>775</v>
      </c>
      <c r="G22" s="123"/>
      <c r="H22" s="113">
        <v>7</v>
      </c>
      <c r="I22" s="545">
        <v>1</v>
      </c>
      <c r="J22" s="118">
        <v>451000</v>
      </c>
      <c r="K22" s="387">
        <f t="shared" ref="K22:K31" si="9">J22*E22</f>
        <v>451000</v>
      </c>
      <c r="L22" s="389">
        <f t="shared" ref="L22:L31" si="10">IF(I22="",K22,I22*K22)</f>
        <v>451000</v>
      </c>
      <c r="M22" s="124">
        <v>6.7000000000000004E-2</v>
      </c>
      <c r="N22" s="397">
        <f t="shared" ref="N22:N30" si="11">IF(I22="",INT(K22*M22),INT(K22*I22*M22))</f>
        <v>30217</v>
      </c>
      <c r="O22" s="397">
        <f t="shared" ref="O22:O30" si="12">N22*(G22)</f>
        <v>0</v>
      </c>
      <c r="P22" s="398">
        <f t="shared" ref="P22:P30" si="13">N22-O22</f>
        <v>30217</v>
      </c>
      <c r="Q22" s="397">
        <f t="shared" ref="Q22:Q30" si="14">IF(H22="",0,ROUND(P22/H22,0))</f>
        <v>4317</v>
      </c>
      <c r="R22" s="397">
        <f t="shared" ref="R22:R30" si="15">IF(Q22=0,0,INT(Q22/$E$1*10))</f>
        <v>215</v>
      </c>
      <c r="S22" s="397">
        <f t="shared" ref="S22:S30" si="16">IF(R22=0,0,$D$43*K22*M22/$E$1*10)</f>
        <v>60.433999999999997</v>
      </c>
      <c r="T22" s="320" t="s">
        <v>512</v>
      </c>
      <c r="U22" s="100"/>
      <c r="V22" s="1"/>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row>
    <row r="23" spans="1:84" ht="14.1" customHeight="1">
      <c r="A23" s="842"/>
      <c r="B23" s="700" t="s">
        <v>767</v>
      </c>
      <c r="C23" s="112"/>
      <c r="D23" s="112" t="s">
        <v>778</v>
      </c>
      <c r="E23" s="113">
        <v>1</v>
      </c>
      <c r="F23" s="113" t="s">
        <v>775</v>
      </c>
      <c r="G23" s="123"/>
      <c r="H23" s="113">
        <v>7</v>
      </c>
      <c r="I23" s="545">
        <v>1</v>
      </c>
      <c r="J23" s="118">
        <v>260000</v>
      </c>
      <c r="K23" s="387">
        <f t="shared" si="9"/>
        <v>260000</v>
      </c>
      <c r="L23" s="389">
        <f t="shared" si="10"/>
        <v>260000</v>
      </c>
      <c r="M23" s="124">
        <v>6.7000000000000004E-2</v>
      </c>
      <c r="N23" s="397">
        <f t="shared" si="11"/>
        <v>17420</v>
      </c>
      <c r="O23" s="397">
        <f t="shared" si="12"/>
        <v>0</v>
      </c>
      <c r="P23" s="398">
        <f t="shared" si="13"/>
        <v>17420</v>
      </c>
      <c r="Q23" s="397">
        <f t="shared" si="14"/>
        <v>2489</v>
      </c>
      <c r="R23" s="397">
        <f t="shared" si="15"/>
        <v>124</v>
      </c>
      <c r="S23" s="397">
        <f t="shared" si="16"/>
        <v>34.840000000000003</v>
      </c>
      <c r="T23" s="320" t="s">
        <v>512</v>
      </c>
      <c r="U23" s="100"/>
      <c r="V23" s="1"/>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row>
    <row r="24" spans="1:84" ht="14.1" customHeight="1">
      <c r="A24" s="842"/>
      <c r="B24" s="700" t="s">
        <v>768</v>
      </c>
      <c r="C24" s="112"/>
      <c r="D24" s="112" t="s">
        <v>779</v>
      </c>
      <c r="E24" s="113">
        <v>1</v>
      </c>
      <c r="F24" s="113" t="s">
        <v>775</v>
      </c>
      <c r="G24" s="123"/>
      <c r="H24" s="113">
        <v>7</v>
      </c>
      <c r="I24" s="545">
        <v>1</v>
      </c>
      <c r="J24" s="118">
        <v>2968350</v>
      </c>
      <c r="K24" s="387">
        <f t="shared" si="9"/>
        <v>2968350</v>
      </c>
      <c r="L24" s="389">
        <f t="shared" si="10"/>
        <v>2968350</v>
      </c>
      <c r="M24" s="124">
        <v>6.7000000000000004E-2</v>
      </c>
      <c r="N24" s="397">
        <f t="shared" si="11"/>
        <v>198879</v>
      </c>
      <c r="O24" s="397">
        <f t="shared" si="12"/>
        <v>0</v>
      </c>
      <c r="P24" s="398">
        <f t="shared" si="13"/>
        <v>198879</v>
      </c>
      <c r="Q24" s="397">
        <f t="shared" si="14"/>
        <v>28411</v>
      </c>
      <c r="R24" s="397">
        <f t="shared" si="15"/>
        <v>1420</v>
      </c>
      <c r="S24" s="397">
        <f t="shared" si="16"/>
        <v>397.75890000000004</v>
      </c>
      <c r="T24" s="320" t="s">
        <v>512</v>
      </c>
      <c r="U24" s="100"/>
      <c r="V24" s="1"/>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row>
    <row r="25" spans="1:84" ht="14.1" customHeight="1">
      <c r="A25" s="842"/>
      <c r="B25" s="700" t="s">
        <v>769</v>
      </c>
      <c r="C25" s="112"/>
      <c r="D25" s="112"/>
      <c r="E25" s="113">
        <v>1</v>
      </c>
      <c r="F25" s="113" t="s">
        <v>775</v>
      </c>
      <c r="G25" s="123"/>
      <c r="H25" s="113">
        <v>7</v>
      </c>
      <c r="I25" s="545">
        <v>1</v>
      </c>
      <c r="J25" s="118">
        <v>2600000</v>
      </c>
      <c r="K25" s="387">
        <f t="shared" si="9"/>
        <v>2600000</v>
      </c>
      <c r="L25" s="389">
        <f t="shared" si="10"/>
        <v>2600000</v>
      </c>
      <c r="M25" s="124">
        <v>6.7000000000000004E-2</v>
      </c>
      <c r="N25" s="397">
        <f t="shared" si="11"/>
        <v>174200</v>
      </c>
      <c r="O25" s="397">
        <f t="shared" si="12"/>
        <v>0</v>
      </c>
      <c r="P25" s="398">
        <f t="shared" si="13"/>
        <v>174200</v>
      </c>
      <c r="Q25" s="397">
        <f t="shared" si="14"/>
        <v>24886</v>
      </c>
      <c r="R25" s="397">
        <f t="shared" si="15"/>
        <v>1244</v>
      </c>
      <c r="S25" s="397">
        <f t="shared" si="16"/>
        <v>348.40000000000003</v>
      </c>
      <c r="T25" s="320" t="s">
        <v>512</v>
      </c>
      <c r="U25" s="100"/>
      <c r="V25" s="1"/>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row>
    <row r="26" spans="1:84" ht="14.1" customHeight="1">
      <c r="A26" s="842"/>
      <c r="B26" s="700" t="s">
        <v>770</v>
      </c>
      <c r="C26" s="112"/>
      <c r="D26" s="112" t="s">
        <v>780</v>
      </c>
      <c r="E26" s="113">
        <v>1</v>
      </c>
      <c r="F26" s="113" t="s">
        <v>775</v>
      </c>
      <c r="G26" s="123"/>
      <c r="H26" s="113">
        <v>7</v>
      </c>
      <c r="I26" s="545">
        <v>1</v>
      </c>
      <c r="J26" s="118">
        <v>1200000</v>
      </c>
      <c r="K26" s="387">
        <f t="shared" si="9"/>
        <v>1200000</v>
      </c>
      <c r="L26" s="389">
        <f t="shared" si="10"/>
        <v>1200000</v>
      </c>
      <c r="M26" s="124">
        <v>6.7000000000000004E-2</v>
      </c>
      <c r="N26" s="397">
        <f t="shared" si="11"/>
        <v>80400</v>
      </c>
      <c r="O26" s="397">
        <f t="shared" si="12"/>
        <v>0</v>
      </c>
      <c r="P26" s="398">
        <f t="shared" si="13"/>
        <v>80400</v>
      </c>
      <c r="Q26" s="397">
        <f t="shared" si="14"/>
        <v>11486</v>
      </c>
      <c r="R26" s="397">
        <f t="shared" si="15"/>
        <v>574</v>
      </c>
      <c r="S26" s="397">
        <f t="shared" si="16"/>
        <v>160.79999999999998</v>
      </c>
      <c r="T26" s="320" t="s">
        <v>512</v>
      </c>
      <c r="U26" s="100"/>
      <c r="V26" s="1"/>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row>
    <row r="27" spans="1:84" ht="14.1" customHeight="1">
      <c r="A27" s="842"/>
      <c r="B27" s="700" t="s">
        <v>771</v>
      </c>
      <c r="C27" s="112"/>
      <c r="D27" s="112" t="s">
        <v>781</v>
      </c>
      <c r="E27" s="113">
        <v>1</v>
      </c>
      <c r="F27" s="113" t="s">
        <v>775</v>
      </c>
      <c r="G27" s="123"/>
      <c r="H27" s="113">
        <v>7</v>
      </c>
      <c r="I27" s="545">
        <v>1</v>
      </c>
      <c r="J27" s="118">
        <v>89000</v>
      </c>
      <c r="K27" s="387">
        <f t="shared" si="9"/>
        <v>89000</v>
      </c>
      <c r="L27" s="389">
        <f t="shared" si="10"/>
        <v>89000</v>
      </c>
      <c r="M27" s="124">
        <v>6.7000000000000004E-2</v>
      </c>
      <c r="N27" s="397">
        <f t="shared" si="11"/>
        <v>5963</v>
      </c>
      <c r="O27" s="397">
        <f t="shared" si="12"/>
        <v>0</v>
      </c>
      <c r="P27" s="398">
        <f t="shared" si="13"/>
        <v>5963</v>
      </c>
      <c r="Q27" s="397">
        <f t="shared" si="14"/>
        <v>852</v>
      </c>
      <c r="R27" s="397">
        <f t="shared" si="15"/>
        <v>42</v>
      </c>
      <c r="S27" s="397">
        <f t="shared" si="16"/>
        <v>11.926000000000002</v>
      </c>
      <c r="T27" s="320" t="s">
        <v>512</v>
      </c>
      <c r="U27" s="100"/>
      <c r="V27" s="1"/>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row>
    <row r="28" spans="1:84" ht="14.1" customHeight="1">
      <c r="A28" s="842"/>
      <c r="B28" s="700" t="s">
        <v>772</v>
      </c>
      <c r="C28" s="112"/>
      <c r="D28" s="112" t="s">
        <v>782</v>
      </c>
      <c r="E28" s="113">
        <v>1</v>
      </c>
      <c r="F28" s="113" t="s">
        <v>775</v>
      </c>
      <c r="G28" s="123"/>
      <c r="H28" s="113">
        <v>7</v>
      </c>
      <c r="I28" s="545">
        <v>1</v>
      </c>
      <c r="J28" s="118">
        <v>70000</v>
      </c>
      <c r="K28" s="387">
        <f t="shared" si="9"/>
        <v>70000</v>
      </c>
      <c r="L28" s="389">
        <f t="shared" si="10"/>
        <v>70000</v>
      </c>
      <c r="M28" s="124">
        <v>6.7000000000000004E-2</v>
      </c>
      <c r="N28" s="397">
        <f t="shared" si="11"/>
        <v>4690</v>
      </c>
      <c r="O28" s="397">
        <f t="shared" si="12"/>
        <v>0</v>
      </c>
      <c r="P28" s="398">
        <f t="shared" si="13"/>
        <v>4690</v>
      </c>
      <c r="Q28" s="397">
        <f t="shared" si="14"/>
        <v>670</v>
      </c>
      <c r="R28" s="397">
        <f t="shared" si="15"/>
        <v>33</v>
      </c>
      <c r="S28" s="397">
        <f t="shared" si="16"/>
        <v>9.3800000000000026</v>
      </c>
      <c r="T28" s="320" t="s">
        <v>512</v>
      </c>
      <c r="U28" s="100"/>
      <c r="V28" s="1"/>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row>
    <row r="29" spans="1:84" ht="14.1" customHeight="1">
      <c r="A29" s="841"/>
      <c r="B29" s="700" t="s">
        <v>773</v>
      </c>
      <c r="C29" s="112"/>
      <c r="D29" s="112" t="s">
        <v>783</v>
      </c>
      <c r="E29" s="113">
        <v>1</v>
      </c>
      <c r="F29" s="113" t="s">
        <v>775</v>
      </c>
      <c r="G29" s="123"/>
      <c r="H29" s="113">
        <v>7</v>
      </c>
      <c r="I29" s="545">
        <v>1</v>
      </c>
      <c r="J29" s="118">
        <v>114000</v>
      </c>
      <c r="K29" s="387">
        <f t="shared" si="9"/>
        <v>114000</v>
      </c>
      <c r="L29" s="389">
        <f t="shared" si="10"/>
        <v>114000</v>
      </c>
      <c r="M29" s="124">
        <v>6.7000000000000004E-2</v>
      </c>
      <c r="N29" s="397">
        <f t="shared" si="11"/>
        <v>7638</v>
      </c>
      <c r="O29" s="397">
        <f t="shared" si="12"/>
        <v>0</v>
      </c>
      <c r="P29" s="398">
        <f t="shared" si="13"/>
        <v>7638</v>
      </c>
      <c r="Q29" s="397">
        <f t="shared" si="14"/>
        <v>1091</v>
      </c>
      <c r="R29" s="397">
        <f t="shared" si="15"/>
        <v>54</v>
      </c>
      <c r="S29" s="397">
        <f t="shared" si="16"/>
        <v>15.276000000000003</v>
      </c>
      <c r="T29" s="320" t="s">
        <v>512</v>
      </c>
      <c r="U29" s="100"/>
      <c r="V29" s="1"/>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row>
    <row r="30" spans="1:84" ht="14.1" customHeight="1">
      <c r="A30" s="841"/>
      <c r="B30" s="700" t="s">
        <v>774</v>
      </c>
      <c r="C30" s="112"/>
      <c r="D30" s="112" t="s">
        <v>784</v>
      </c>
      <c r="E30" s="113">
        <v>1</v>
      </c>
      <c r="F30" s="113" t="s">
        <v>775</v>
      </c>
      <c r="G30" s="123"/>
      <c r="H30" s="113">
        <v>7</v>
      </c>
      <c r="I30" s="545">
        <v>1</v>
      </c>
      <c r="J30" s="118">
        <v>1200000</v>
      </c>
      <c r="K30" s="387">
        <f t="shared" si="9"/>
        <v>1200000</v>
      </c>
      <c r="L30" s="389">
        <f t="shared" si="10"/>
        <v>1200000</v>
      </c>
      <c r="M30" s="124">
        <v>6.7000000000000004E-2</v>
      </c>
      <c r="N30" s="397">
        <f t="shared" si="11"/>
        <v>80400</v>
      </c>
      <c r="O30" s="397">
        <f t="shared" si="12"/>
        <v>0</v>
      </c>
      <c r="P30" s="398">
        <f t="shared" si="13"/>
        <v>80400</v>
      </c>
      <c r="Q30" s="397">
        <f t="shared" si="14"/>
        <v>11486</v>
      </c>
      <c r="R30" s="397">
        <f t="shared" si="15"/>
        <v>574</v>
      </c>
      <c r="S30" s="397">
        <f t="shared" si="16"/>
        <v>160.79999999999998</v>
      </c>
      <c r="T30" s="320" t="s">
        <v>512</v>
      </c>
      <c r="U30" s="100"/>
      <c r="V30" s="1"/>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row>
    <row r="31" spans="1:84" ht="14.1" customHeight="1">
      <c r="A31" s="841"/>
      <c r="B31" s="850"/>
      <c r="C31" s="851"/>
      <c r="D31" s="112"/>
      <c r="E31" s="113"/>
      <c r="F31" s="113"/>
      <c r="G31" s="123"/>
      <c r="H31" s="113"/>
      <c r="I31" s="124"/>
      <c r="J31" s="118"/>
      <c r="K31" s="387">
        <f t="shared" si="9"/>
        <v>0</v>
      </c>
      <c r="L31" s="389">
        <f t="shared" si="10"/>
        <v>0</v>
      </c>
      <c r="M31" s="124"/>
      <c r="N31" s="397">
        <f>IF(I31="",INT(K31*M31),INT(K31*I31*M31))</f>
        <v>0</v>
      </c>
      <c r="O31" s="397">
        <f>N31*(G31)</f>
        <v>0</v>
      </c>
      <c r="P31" s="398">
        <f>N31-O31</f>
        <v>0</v>
      </c>
      <c r="Q31" s="397">
        <f>IF(H31="",0,ROUND(P31/H31,0))</f>
        <v>0</v>
      </c>
      <c r="R31" s="397">
        <f>IF(Q31=0,0,INT(Q31/$E$1*10))</f>
        <v>0</v>
      </c>
      <c r="S31" s="397">
        <f>IF(R31=0,0,$D$43*K31*M31/$E$1*10)</f>
        <v>0</v>
      </c>
      <c r="T31" s="320"/>
      <c r="U31" s="100"/>
      <c r="V31" s="1"/>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row>
    <row r="32" spans="1:84" ht="14.1" customHeight="1">
      <c r="A32" s="841"/>
      <c r="B32" s="850"/>
      <c r="C32" s="851"/>
      <c r="D32" s="112"/>
      <c r="E32" s="113"/>
      <c r="F32" s="113"/>
      <c r="G32" s="123"/>
      <c r="H32" s="113"/>
      <c r="I32" s="124"/>
      <c r="J32" s="118"/>
      <c r="K32" s="392">
        <f>J32*E32</f>
        <v>0</v>
      </c>
      <c r="L32" s="393">
        <f>IF(I32="",K32,I32*K32)</f>
        <v>0</v>
      </c>
      <c r="M32" s="124"/>
      <c r="N32" s="397">
        <f>IF(I32="",INT(K32*M32),INT(K32*I32*M32))</f>
        <v>0</v>
      </c>
      <c r="O32" s="397">
        <f>N32*(G32)</f>
        <v>0</v>
      </c>
      <c r="P32" s="398">
        <f>N32-O32</f>
        <v>0</v>
      </c>
      <c r="Q32" s="397">
        <f>IF(H32="",0,ROUND(P32/H32,0))</f>
        <v>0</v>
      </c>
      <c r="R32" s="397">
        <f>IF(Q32=0,0,INT(Q32/$E$1*10))</f>
        <v>0</v>
      </c>
      <c r="S32" s="397">
        <f>IF(R32=0,0,$D$43*K32*M32/$E$1*10)</f>
        <v>0</v>
      </c>
      <c r="T32" s="320"/>
      <c r="U32" s="100"/>
      <c r="V32" s="1"/>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row>
    <row r="33" spans="1:84" ht="14.1" customHeight="1">
      <c r="A33" s="841"/>
      <c r="B33" s="850"/>
      <c r="C33" s="851"/>
      <c r="D33" s="112"/>
      <c r="E33" s="113"/>
      <c r="F33" s="113"/>
      <c r="G33" s="123"/>
      <c r="H33" s="113"/>
      <c r="I33" s="124"/>
      <c r="J33" s="118"/>
      <c r="K33" s="392">
        <f>J33*E33</f>
        <v>0</v>
      </c>
      <c r="L33" s="393">
        <f>IF(I33="",K33,I33*K33)</f>
        <v>0</v>
      </c>
      <c r="M33" s="124"/>
      <c r="N33" s="397">
        <f>IF(I33="",INT(K33*M33),INT(K33*I33*M33))</f>
        <v>0</v>
      </c>
      <c r="O33" s="397">
        <f>N33*(G33)</f>
        <v>0</v>
      </c>
      <c r="P33" s="398">
        <f>N33-O33</f>
        <v>0</v>
      </c>
      <c r="Q33" s="397">
        <f>IF(H33="",0,ROUND(P33/H33,0))</f>
        <v>0</v>
      </c>
      <c r="R33" s="397">
        <f>IF(Q33=0,0,INT(Q33/$E$1*10))</f>
        <v>0</v>
      </c>
      <c r="S33" s="397">
        <f>IF(R33=0,0,$D$43*K33*M33/$E$1*10)</f>
        <v>0</v>
      </c>
      <c r="T33" s="320"/>
      <c r="U33" s="100"/>
      <c r="V33" s="1"/>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row>
    <row r="34" spans="1:84" ht="14.1" customHeight="1">
      <c r="A34" s="843"/>
      <c r="B34" s="854" t="s">
        <v>36</v>
      </c>
      <c r="C34" s="855"/>
      <c r="D34" s="419"/>
      <c r="E34" s="420"/>
      <c r="F34" s="420"/>
      <c r="G34" s="427"/>
      <c r="H34" s="424">
        <f>IF(P34&gt;0,P34/Q34,"")</f>
        <v>7.08786884147771</v>
      </c>
      <c r="I34" s="425"/>
      <c r="J34" s="423"/>
      <c r="K34" s="395">
        <f>SUM(K20:K33)</f>
        <v>12146800</v>
      </c>
      <c r="L34" s="394">
        <f>SUM(L20:L33)</f>
        <v>12146800</v>
      </c>
      <c r="M34" s="419"/>
      <c r="N34" s="394">
        <f t="shared" ref="N34:S34" si="17">SUM(N20:N33)</f>
        <v>846490</v>
      </c>
      <c r="O34" s="394">
        <f t="shared" si="17"/>
        <v>0</v>
      </c>
      <c r="P34" s="394">
        <f t="shared" si="17"/>
        <v>846490</v>
      </c>
      <c r="Q34" s="394">
        <f t="shared" si="17"/>
        <v>119428</v>
      </c>
      <c r="R34" s="394">
        <f t="shared" si="17"/>
        <v>5967</v>
      </c>
      <c r="S34" s="394">
        <f t="shared" si="17"/>
        <v>1692.9812000000002</v>
      </c>
      <c r="T34" s="120"/>
      <c r="U34" s="100"/>
      <c r="V34" s="1"/>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row>
    <row r="35" spans="1:84" ht="14.1" customHeight="1">
      <c r="A35" s="844" t="s">
        <v>37</v>
      </c>
      <c r="B35" s="845" t="s">
        <v>682</v>
      </c>
      <c r="C35" s="845"/>
      <c r="D35" s="112" t="s">
        <v>681</v>
      </c>
      <c r="E35" s="113">
        <v>2</v>
      </c>
      <c r="F35" s="113" t="s">
        <v>454</v>
      </c>
      <c r="G35" s="123"/>
      <c r="H35" s="113">
        <v>5</v>
      </c>
      <c r="I35" s="124">
        <v>1</v>
      </c>
      <c r="J35" s="118">
        <f>536000+牛購入根基!N57</f>
        <v>539848</v>
      </c>
      <c r="K35" s="387">
        <f>J35*E35</f>
        <v>1079696</v>
      </c>
      <c r="L35" s="389">
        <f>K35</f>
        <v>1079696</v>
      </c>
      <c r="M35" s="124">
        <v>0.44600000000000001</v>
      </c>
      <c r="N35" s="600">
        <f>IF(I35="",INT(K35*M35),INT(K35*I35*M35))</f>
        <v>481544</v>
      </c>
      <c r="O35" s="397">
        <f>N35*(G35)</f>
        <v>0</v>
      </c>
      <c r="P35" s="398">
        <f>N35-O35</f>
        <v>481544</v>
      </c>
      <c r="Q35" s="397">
        <f>IF(H35="",0,ROUND(P35/H35,0))</f>
        <v>96309</v>
      </c>
      <c r="R35" s="397">
        <f>IF(Q35=0,0,INT(Q35/$E$1*10))</f>
        <v>4815</v>
      </c>
      <c r="S35" s="397"/>
      <c r="T35" s="320" t="s">
        <v>824</v>
      </c>
      <c r="U35" s="100"/>
      <c r="V35" s="1"/>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row>
    <row r="36" spans="1:84" ht="14.1" customHeight="1">
      <c r="A36" s="844"/>
      <c r="B36" s="846"/>
      <c r="C36" s="846"/>
      <c r="D36" s="112"/>
      <c r="E36" s="113"/>
      <c r="F36" s="113"/>
      <c r="G36" s="123"/>
      <c r="H36" s="113"/>
      <c r="I36" s="124"/>
      <c r="J36" s="118"/>
      <c r="K36" s="387">
        <f>J36*E36</f>
        <v>0</v>
      </c>
      <c r="L36" s="389">
        <f>K36</f>
        <v>0</v>
      </c>
      <c r="M36" s="124"/>
      <c r="N36" s="600">
        <f>IF(I36="",INT(K36*M36),INT(K36*I36*M36))</f>
        <v>0</v>
      </c>
      <c r="O36" s="397">
        <f>N36*(G36)</f>
        <v>0</v>
      </c>
      <c r="P36" s="398">
        <f>N36-O36</f>
        <v>0</v>
      </c>
      <c r="Q36" s="397">
        <f>IF(H36="",0,ROUND(P36/H36,0))</f>
        <v>0</v>
      </c>
      <c r="R36" s="397">
        <f>IF(Q36=0,0,INT(Q36/$E$1*10))</f>
        <v>0</v>
      </c>
      <c r="S36" s="397"/>
      <c r="T36" s="320" t="s">
        <v>851</v>
      </c>
      <c r="U36" s="100"/>
      <c r="V36" s="1"/>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row>
    <row r="37" spans="1:84" ht="14.1" customHeight="1">
      <c r="A37" s="844"/>
      <c r="B37" s="854" t="s">
        <v>38</v>
      </c>
      <c r="C37" s="855"/>
      <c r="D37" s="419"/>
      <c r="E37" s="420"/>
      <c r="F37" s="420"/>
      <c r="G37" s="419"/>
      <c r="H37" s="428">
        <f>IF(P37&gt;0,P37/Q37,"")</f>
        <v>4.9999896167544051</v>
      </c>
      <c r="I37" s="425"/>
      <c r="J37" s="423"/>
      <c r="K37" s="390"/>
      <c r="L37" s="394">
        <f>L36+L35</f>
        <v>1079696</v>
      </c>
      <c r="M37" s="419"/>
      <c r="N37" s="394">
        <f>N36+N35</f>
        <v>481544</v>
      </c>
      <c r="O37" s="394">
        <f>O36+O35</f>
        <v>0</v>
      </c>
      <c r="P37" s="394">
        <f>P36+P35</f>
        <v>481544</v>
      </c>
      <c r="Q37" s="394">
        <f>Q36+Q35</f>
        <v>96309</v>
      </c>
      <c r="R37" s="394">
        <f>R36+R35</f>
        <v>4815</v>
      </c>
      <c r="S37" s="394"/>
      <c r="T37" s="120"/>
      <c r="U37" s="100"/>
      <c r="V37" s="1"/>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row>
    <row r="38" spans="1:84" ht="14.1" customHeight="1">
      <c r="A38" s="125"/>
      <c r="B38" s="429"/>
      <c r="C38" s="419" t="s">
        <v>39</v>
      </c>
      <c r="D38" s="419"/>
      <c r="E38" s="419"/>
      <c r="F38" s="419"/>
      <c r="G38" s="419"/>
      <c r="H38" s="419"/>
      <c r="I38" s="419"/>
      <c r="J38" s="423"/>
      <c r="K38" s="390">
        <f>K37+K34+K19+K8</f>
        <v>16081612</v>
      </c>
      <c r="L38" s="396">
        <f>L37+L34+L19+L8</f>
        <v>17161308</v>
      </c>
      <c r="M38" s="430"/>
      <c r="N38" s="400">
        <f t="shared" ref="N38:S38" si="18">N37+N34+N19+N8</f>
        <v>1792086</v>
      </c>
      <c r="O38" s="400">
        <f t="shared" si="18"/>
        <v>0</v>
      </c>
      <c r="P38" s="400">
        <f t="shared" si="18"/>
        <v>1792086</v>
      </c>
      <c r="Q38" s="400">
        <f t="shared" si="18"/>
        <v>247603</v>
      </c>
      <c r="R38" s="400">
        <f t="shared" si="18"/>
        <v>12375</v>
      </c>
      <c r="S38" s="400">
        <f t="shared" si="18"/>
        <v>1925.0072</v>
      </c>
      <c r="T38" s="126"/>
      <c r="U38" s="100"/>
      <c r="V38" s="1"/>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row>
    <row r="39" spans="1:84" ht="12" customHeight="1">
      <c r="C39" s="93"/>
      <c r="D39" s="93"/>
      <c r="E39" s="93"/>
      <c r="F39" s="93"/>
      <c r="J39" s="93"/>
      <c r="K39" s="93"/>
      <c r="L39" s="127">
        <f>L38-L37</f>
        <v>16081612</v>
      </c>
      <c r="M39" s="93"/>
      <c r="N39" s="128"/>
      <c r="O39" s="93"/>
      <c r="P39" s="127">
        <f>P34+P19+P8</f>
        <v>1310542</v>
      </c>
      <c r="Q39" s="127">
        <f>Q34+Q19+Q8</f>
        <v>151294</v>
      </c>
      <c r="R39" s="128"/>
      <c r="S39" s="128"/>
      <c r="T39" s="93"/>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row>
    <row r="40" spans="1:84" ht="6" customHeight="1">
      <c r="C40" s="93"/>
      <c r="D40" s="93"/>
      <c r="E40" s="93"/>
      <c r="F40" s="93"/>
      <c r="J40" s="93"/>
      <c r="K40" s="93"/>
      <c r="L40" s="93"/>
      <c r="M40" s="93"/>
      <c r="N40" s="93"/>
      <c r="O40" s="93"/>
      <c r="P40" s="93"/>
      <c r="Q40" s="93"/>
      <c r="R40" s="93"/>
      <c r="S40" s="93"/>
      <c r="T40" s="93"/>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row>
    <row r="41" spans="1:84" ht="13.5" customHeight="1">
      <c r="B41" s="405" t="s">
        <v>40</v>
      </c>
      <c r="C41" s="129"/>
      <c r="D41" s="130" t="s">
        <v>41</v>
      </c>
      <c r="E41" s="93"/>
      <c r="F41" s="131"/>
      <c r="G41" s="132"/>
      <c r="H41" s="47"/>
      <c r="I41" s="133" t="s">
        <v>42</v>
      </c>
      <c r="J41" s="134"/>
      <c r="K41" s="134"/>
      <c r="L41" s="135" t="s">
        <v>43</v>
      </c>
      <c r="M41" s="837" t="s">
        <v>44</v>
      </c>
      <c r="N41" s="837"/>
      <c r="O41" s="207" t="s">
        <v>45</v>
      </c>
      <c r="P41" s="93"/>
      <c r="Q41" s="136" t="s">
        <v>46</v>
      </c>
      <c r="R41" s="137"/>
      <c r="S41" s="93"/>
      <c r="T41" s="93"/>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row>
    <row r="42" spans="1:84" ht="13.5" customHeight="1">
      <c r="A42" s="47"/>
      <c r="B42" s="138" t="s">
        <v>47</v>
      </c>
      <c r="C42" s="139" t="s">
        <v>48</v>
      </c>
      <c r="D42" s="140">
        <v>0.01</v>
      </c>
      <c r="E42" s="47"/>
      <c r="F42" s="141"/>
      <c r="G42" s="132"/>
      <c r="H42" s="47"/>
      <c r="I42" s="142"/>
      <c r="J42" s="141" t="s">
        <v>49</v>
      </c>
      <c r="K42" s="143"/>
      <c r="L42" s="144">
        <f>(N38-O38)/2+O38</f>
        <v>896043</v>
      </c>
      <c r="M42" s="208"/>
      <c r="N42" s="209">
        <f>((N34+N8-O34-O8)/2+O34+O8)</f>
        <v>547865</v>
      </c>
      <c r="O42" s="209">
        <f>(N19-O19)/2+O19</f>
        <v>107406</v>
      </c>
      <c r="P42" s="47"/>
      <c r="Q42" s="145" t="s">
        <v>50</v>
      </c>
      <c r="R42" s="146">
        <f>IF(P8=0,0,P8/Q8)</f>
        <v>24</v>
      </c>
      <c r="S42" s="47"/>
      <c r="T42" s="47"/>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row>
    <row r="43" spans="1:84" ht="13.5" customHeight="1">
      <c r="A43" s="47"/>
      <c r="B43" s="147" t="s">
        <v>51</v>
      </c>
      <c r="C43" s="148" t="s">
        <v>52</v>
      </c>
      <c r="D43" s="149">
        <v>0.04</v>
      </c>
      <c r="E43" s="47"/>
      <c r="F43" s="141"/>
      <c r="G43" s="132"/>
      <c r="H43" s="47"/>
      <c r="I43" s="142"/>
      <c r="J43" s="852" t="s">
        <v>53</v>
      </c>
      <c r="K43" s="853"/>
      <c r="L43" s="150">
        <v>0.5</v>
      </c>
      <c r="M43" s="210"/>
      <c r="N43" s="211">
        <f>L43</f>
        <v>0.5</v>
      </c>
      <c r="O43" s="211">
        <f>N43</f>
        <v>0.5</v>
      </c>
      <c r="P43" s="47"/>
      <c r="Q43" s="151" t="s">
        <v>45</v>
      </c>
      <c r="R43" s="152">
        <f>IF(P19=0,0,P19/Q19)</f>
        <v>10.000093105535123</v>
      </c>
      <c r="S43" s="47"/>
      <c r="T43" s="47"/>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row>
    <row r="44" spans="1:84" ht="13.5" customHeight="1">
      <c r="A44" s="47"/>
      <c r="B44" s="47"/>
      <c r="C44" s="47"/>
      <c r="D44" s="47"/>
      <c r="E44" s="47"/>
      <c r="F44" s="141"/>
      <c r="G44" s="132"/>
      <c r="H44" s="47"/>
      <c r="I44" s="142"/>
      <c r="J44" s="141" t="s">
        <v>54</v>
      </c>
      <c r="K44" s="141"/>
      <c r="L44" s="144">
        <f>L43*L42</f>
        <v>448021.5</v>
      </c>
      <c r="M44" s="210"/>
      <c r="N44" s="212">
        <f>N43*N42</f>
        <v>273932.5</v>
      </c>
      <c r="O44" s="212">
        <f>O43*O42</f>
        <v>53703</v>
      </c>
      <c r="P44" s="47"/>
      <c r="Q44" s="151" t="s">
        <v>55</v>
      </c>
      <c r="R44" s="152">
        <f>IF(P34=0,0,P34/Q34)</f>
        <v>7.08786884147771</v>
      </c>
      <c r="S44" s="47"/>
      <c r="T44" s="47"/>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row>
    <row r="45" spans="1:84" ht="13.5" customHeight="1">
      <c r="A45" s="47"/>
      <c r="B45" s="47"/>
      <c r="C45" s="47"/>
      <c r="D45" s="47"/>
      <c r="E45" s="47"/>
      <c r="F45" s="141"/>
      <c r="G45" s="132"/>
      <c r="H45" s="47"/>
      <c r="I45" s="142"/>
      <c r="J45" s="141" t="s">
        <v>56</v>
      </c>
      <c r="K45" s="141"/>
      <c r="L45" s="144">
        <f>IF($E$1=0,0,L44/$E$1*10)</f>
        <v>22401.075000000001</v>
      </c>
      <c r="M45" s="210"/>
      <c r="N45" s="213">
        <f>IF($E$1=0,0,N44/$E$1*10)</f>
        <v>13696.625</v>
      </c>
      <c r="O45" s="213">
        <f>IF($E$1=0,0,O44/$E$1*10)</f>
        <v>2685.1499999999996</v>
      </c>
      <c r="P45" s="47"/>
      <c r="Q45" s="153" t="s">
        <v>43</v>
      </c>
      <c r="R45" s="154">
        <f>IF(P37=0,0,(P38-P37)/(Q38-Q37))</f>
        <v>8.6622205771544145</v>
      </c>
      <c r="S45" s="47"/>
      <c r="T45" s="47"/>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row>
    <row r="46" spans="1:84" ht="13.5" customHeight="1">
      <c r="A46" s="47"/>
      <c r="B46" s="47"/>
      <c r="C46" s="47"/>
      <c r="D46" s="47"/>
      <c r="E46" s="47"/>
      <c r="F46" s="141"/>
      <c r="G46" s="132"/>
      <c r="H46" s="47"/>
      <c r="I46" s="142"/>
      <c r="J46" s="141" t="s">
        <v>57</v>
      </c>
      <c r="K46" s="141"/>
      <c r="L46" s="155">
        <v>0.02</v>
      </c>
      <c r="M46" s="210"/>
      <c r="N46" s="211">
        <f>L46</f>
        <v>0.02</v>
      </c>
      <c r="O46" s="211">
        <f>N46</f>
        <v>0.02</v>
      </c>
      <c r="P46" s="47"/>
      <c r="Q46" s="47"/>
      <c r="R46" s="47"/>
      <c r="S46" s="47"/>
      <c r="T46" s="47"/>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84" ht="13.5" customHeight="1">
      <c r="A47" s="47"/>
      <c r="B47" s="47"/>
      <c r="C47" s="47"/>
      <c r="D47" s="47"/>
      <c r="E47" s="47"/>
      <c r="F47" s="141"/>
      <c r="G47" s="132"/>
      <c r="H47" s="47"/>
      <c r="I47" s="156"/>
      <c r="J47" s="157" t="s">
        <v>58</v>
      </c>
      <c r="K47" s="157"/>
      <c r="L47" s="158">
        <f>INT(L46*L45)</f>
        <v>448</v>
      </c>
      <c r="M47" s="214"/>
      <c r="N47" s="215">
        <f>INT(N46*N45)</f>
        <v>273</v>
      </c>
      <c r="O47" s="215">
        <f>INT(O46*O45)</f>
        <v>53</v>
      </c>
      <c r="P47" s="47"/>
      <c r="Q47" s="47"/>
      <c r="R47" s="47"/>
      <c r="S47" s="47"/>
      <c r="T47" s="47"/>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row>
    <row r="48" spans="1:84" ht="13.5" customHeight="1">
      <c r="A48" s="100"/>
      <c r="B48" s="100"/>
      <c r="C48" s="100"/>
      <c r="D48" s="100"/>
      <c r="E48" s="100"/>
      <c r="F48" s="100"/>
      <c r="J48" s="100"/>
      <c r="K48" s="100"/>
      <c r="L48" s="100"/>
      <c r="M48" s="22"/>
      <c r="N48" s="22"/>
      <c r="O48" s="22"/>
      <c r="P48" s="22"/>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row>
    <row r="49" spans="1:41" ht="13.5" customHeight="1">
      <c r="A49" s="100"/>
      <c r="B49" s="100"/>
      <c r="C49" s="100"/>
      <c r="D49" s="100"/>
      <c r="E49" s="100"/>
      <c r="F49" s="100"/>
      <c r="J49" s="100"/>
      <c r="K49" s="100"/>
      <c r="L49" s="100"/>
      <c r="M49" s="22"/>
      <c r="N49" s="22"/>
      <c r="O49" s="22"/>
      <c r="P49" s="22"/>
      <c r="Q49" s="100"/>
      <c r="R49" s="100"/>
      <c r="S49" s="100"/>
      <c r="T49" s="100"/>
      <c r="U49" s="100"/>
      <c r="V49" s="100"/>
      <c r="W49" s="100"/>
      <c r="X49" s="100"/>
      <c r="Y49" s="100"/>
      <c r="Z49" s="100"/>
      <c r="AA49" s="100"/>
      <c r="AB49" s="100"/>
      <c r="AC49" s="100"/>
    </row>
    <row r="50" spans="1:41" ht="13.5" customHeight="1">
      <c r="A50" s="100"/>
      <c r="B50" s="100"/>
      <c r="C50" s="100"/>
      <c r="D50" s="100"/>
      <c r="E50" s="100"/>
      <c r="F50" s="100"/>
      <c r="J50" s="100"/>
      <c r="K50" s="100"/>
      <c r="L50" s="100"/>
      <c r="M50" s="22"/>
      <c r="N50" s="22"/>
      <c r="O50" s="22"/>
      <c r="P50" s="22"/>
      <c r="Q50" s="100"/>
      <c r="R50" s="100"/>
      <c r="S50" s="100"/>
      <c r="T50" s="100"/>
      <c r="U50" s="100"/>
      <c r="V50" s="100"/>
      <c r="W50" s="100"/>
      <c r="X50" s="100"/>
      <c r="Y50" s="100"/>
      <c r="Z50" s="100"/>
      <c r="AA50" s="100"/>
      <c r="AB50" s="100"/>
      <c r="AC50" s="100"/>
    </row>
    <row r="51" spans="1:41" ht="13.5" customHeight="1">
      <c r="A51" s="100"/>
      <c r="B51" s="100"/>
      <c r="C51" s="100"/>
      <c r="D51" s="100"/>
      <c r="E51" s="100"/>
      <c r="F51" s="100"/>
      <c r="J51" s="100"/>
      <c r="K51" s="100"/>
      <c r="L51" s="100"/>
      <c r="M51" s="22"/>
      <c r="N51" s="22"/>
      <c r="O51" s="22"/>
      <c r="P51" s="22"/>
      <c r="Q51" s="100"/>
      <c r="R51" s="100"/>
      <c r="S51" s="100"/>
      <c r="T51" s="100"/>
      <c r="U51" s="100"/>
      <c r="V51" s="100"/>
      <c r="W51" s="100"/>
      <c r="X51" s="100"/>
      <c r="Y51" s="100"/>
      <c r="Z51" s="100"/>
      <c r="AA51" s="100"/>
      <c r="AB51" s="100"/>
      <c r="AC51" s="100"/>
    </row>
    <row r="52" spans="1:41" ht="13.5" customHeight="1">
      <c r="A52" s="100"/>
      <c r="B52" s="100"/>
      <c r="C52" s="100"/>
      <c r="D52" s="100"/>
      <c r="E52" s="100"/>
      <c r="F52" s="100"/>
      <c r="J52" s="100"/>
      <c r="K52" s="100"/>
      <c r="L52" s="100"/>
      <c r="M52" s="22"/>
      <c r="N52" s="22"/>
      <c r="O52" s="22"/>
      <c r="P52" s="22"/>
      <c r="Q52" s="100"/>
      <c r="R52" s="100"/>
      <c r="S52" s="100"/>
      <c r="T52" s="100"/>
      <c r="U52" s="100"/>
      <c r="V52" s="100"/>
      <c r="W52" s="100"/>
      <c r="X52" s="100"/>
      <c r="Y52" s="100"/>
      <c r="Z52" s="100"/>
      <c r="AA52" s="100"/>
      <c r="AB52" s="100"/>
      <c r="AC52" s="100"/>
    </row>
    <row r="53" spans="1:41" ht="13.5" customHeight="1">
      <c r="A53" s="100"/>
      <c r="B53" s="100"/>
      <c r="C53" s="100"/>
      <c r="D53" s="100"/>
      <c r="E53" s="100"/>
      <c r="F53" s="100"/>
      <c r="J53" s="100"/>
      <c r="K53" s="100"/>
      <c r="L53" s="100"/>
      <c r="M53" s="22"/>
      <c r="N53" s="22"/>
      <c r="O53" s="22"/>
      <c r="P53" s="22"/>
      <c r="Q53" s="100"/>
      <c r="R53" s="100"/>
      <c r="S53" s="100"/>
      <c r="T53" s="100"/>
      <c r="U53" s="100"/>
      <c r="V53" s="100"/>
      <c r="W53" s="100"/>
      <c r="X53" s="100"/>
      <c r="Y53" s="100"/>
      <c r="Z53" s="100"/>
      <c r="AA53" s="100"/>
      <c r="AB53" s="100"/>
      <c r="AC53" s="100"/>
    </row>
    <row r="54" spans="1:41" ht="13.5" customHeight="1">
      <c r="A54" s="100"/>
      <c r="B54" s="100"/>
      <c r="C54" s="100"/>
      <c r="D54" s="100"/>
      <c r="E54" s="100"/>
      <c r="F54" s="100"/>
      <c r="J54" s="100"/>
      <c r="K54" s="100"/>
      <c r="L54" s="100"/>
      <c r="M54" s="22"/>
      <c r="N54" s="22"/>
      <c r="O54" s="22"/>
      <c r="P54" s="22"/>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row>
    <row r="55" spans="1:41" ht="13.5" customHeight="1">
      <c r="A55" s="100"/>
      <c r="B55" s="100"/>
      <c r="C55" s="100"/>
      <c r="D55" s="100"/>
      <c r="E55" s="100"/>
      <c r="F55" s="100"/>
      <c r="J55" s="100"/>
      <c r="K55" s="100"/>
      <c r="L55" s="100"/>
      <c r="M55" s="22"/>
      <c r="N55" s="22"/>
      <c r="O55" s="22"/>
      <c r="P55" s="22"/>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row>
    <row r="56" spans="1:41" ht="13.5" customHeight="1">
      <c r="A56" s="100"/>
      <c r="B56" s="100"/>
      <c r="C56" s="100"/>
      <c r="D56" s="100"/>
      <c r="E56" s="100"/>
      <c r="F56" s="100"/>
      <c r="J56" s="100"/>
      <c r="K56" s="100"/>
      <c r="L56" s="100"/>
      <c r="M56" s="22"/>
      <c r="N56" s="22"/>
      <c r="O56" s="22"/>
      <c r="P56" s="22"/>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row>
    <row r="57" spans="1:41" ht="13.5" customHeight="1">
      <c r="A57" s="100"/>
      <c r="B57" s="100"/>
      <c r="C57" s="100"/>
      <c r="D57" s="100"/>
      <c r="E57" s="100"/>
      <c r="F57" s="100"/>
      <c r="J57" s="100"/>
      <c r="K57" s="100"/>
      <c r="L57" s="100"/>
      <c r="M57" s="22"/>
      <c r="N57" s="22"/>
      <c r="O57" s="22"/>
      <c r="P57" s="22"/>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row>
    <row r="58" spans="1:41" ht="13.5" customHeight="1">
      <c r="A58" s="100"/>
      <c r="B58" s="100"/>
      <c r="C58" s="100"/>
      <c r="D58" s="100"/>
      <c r="E58" s="100"/>
      <c r="F58" s="100"/>
      <c r="J58" s="100"/>
      <c r="K58" s="100"/>
      <c r="L58" s="100"/>
      <c r="M58" s="22"/>
      <c r="N58" s="22"/>
      <c r="O58" s="22"/>
      <c r="P58" s="22"/>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row>
    <row r="59" spans="1:41" ht="14.1" customHeight="1">
      <c r="A59" s="100"/>
      <c r="B59" s="100"/>
      <c r="C59" s="100"/>
      <c r="D59" s="100"/>
      <c r="E59" s="100"/>
      <c r="F59" s="100"/>
      <c r="J59" s="100"/>
      <c r="K59" s="100"/>
      <c r="L59" s="100"/>
      <c r="M59" s="22"/>
      <c r="N59" s="22"/>
      <c r="O59" s="22"/>
      <c r="P59" s="22"/>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row>
    <row r="60" spans="1:41" ht="14.1" customHeight="1">
      <c r="A60" s="100"/>
      <c r="B60" s="100"/>
      <c r="C60" s="100"/>
      <c r="D60" s="100"/>
      <c r="E60" s="100"/>
      <c r="F60" s="100"/>
      <c r="J60" s="100"/>
      <c r="K60" s="100"/>
      <c r="L60" s="100"/>
      <c r="M60" s="22"/>
      <c r="N60" s="22"/>
      <c r="O60" s="22"/>
      <c r="P60" s="22"/>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row>
    <row r="61" spans="1:41" ht="14.1" customHeight="1">
      <c r="A61" s="100"/>
      <c r="B61" s="100"/>
      <c r="C61" s="100"/>
      <c r="D61" s="100"/>
      <c r="E61" s="100"/>
      <c r="F61" s="100"/>
      <c r="J61" s="100"/>
      <c r="K61" s="100"/>
      <c r="L61" s="100"/>
      <c r="M61" s="22"/>
      <c r="N61" s="22"/>
      <c r="O61" s="22"/>
      <c r="P61" s="22"/>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row>
    <row r="62" spans="1:41" ht="14.1" customHeight="1">
      <c r="A62" s="100"/>
      <c r="B62" s="100"/>
      <c r="C62" s="100"/>
      <c r="D62" s="100"/>
      <c r="E62" s="100"/>
      <c r="F62" s="100"/>
      <c r="J62" s="100"/>
      <c r="K62" s="100"/>
      <c r="L62" s="100"/>
      <c r="M62" s="22"/>
      <c r="N62" s="22"/>
      <c r="O62" s="22"/>
      <c r="P62" s="22"/>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row>
    <row r="63" spans="1:41" ht="14.1" customHeight="1">
      <c r="A63" s="100"/>
      <c r="B63" s="100"/>
      <c r="C63" s="100"/>
      <c r="D63" s="100"/>
      <c r="E63" s="100"/>
      <c r="F63" s="100"/>
      <c r="J63" s="100"/>
      <c r="K63" s="100"/>
      <c r="L63" s="100"/>
      <c r="M63" s="22"/>
      <c r="N63" s="22"/>
      <c r="O63" s="22"/>
      <c r="P63" s="22"/>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row>
    <row r="64" spans="1:41" ht="14.1" customHeight="1">
      <c r="A64" s="100"/>
      <c r="B64" s="100"/>
      <c r="C64" s="100"/>
      <c r="D64" s="100"/>
      <c r="E64" s="100"/>
      <c r="F64" s="100"/>
      <c r="J64" s="100"/>
      <c r="K64" s="100"/>
      <c r="L64" s="100"/>
      <c r="M64" s="22"/>
      <c r="N64" s="22"/>
      <c r="O64" s="22"/>
      <c r="P64" s="22"/>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row>
    <row r="65" spans="1:41" ht="14.1" customHeight="1">
      <c r="A65" s="100"/>
      <c r="B65" s="100"/>
      <c r="C65" s="100"/>
      <c r="D65" s="100"/>
      <c r="E65" s="100"/>
      <c r="F65" s="100"/>
      <c r="J65" s="100"/>
      <c r="K65" s="100"/>
      <c r="L65" s="100"/>
      <c r="M65" s="22"/>
      <c r="N65" s="22"/>
      <c r="O65" s="22"/>
      <c r="P65" s="22"/>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row>
    <row r="66" spans="1:41" ht="14.1" customHeight="1">
      <c r="A66" s="100"/>
      <c r="B66" s="100"/>
      <c r="C66" s="100"/>
      <c r="D66" s="100"/>
      <c r="E66" s="100"/>
      <c r="F66" s="100"/>
      <c r="J66" s="100"/>
      <c r="K66" s="100"/>
      <c r="L66" s="100"/>
      <c r="M66" s="22"/>
      <c r="N66" s="22"/>
      <c r="O66" s="22"/>
      <c r="P66" s="22"/>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row>
    <row r="67" spans="1:41" ht="14.1" customHeight="1">
      <c r="A67" s="100"/>
      <c r="B67" s="100"/>
      <c r="C67" s="100"/>
      <c r="D67" s="100"/>
      <c r="E67" s="100"/>
      <c r="F67" s="100"/>
      <c r="J67" s="100"/>
      <c r="K67" s="100"/>
      <c r="L67" s="100"/>
      <c r="M67" s="22"/>
      <c r="N67" s="22"/>
      <c r="O67" s="22"/>
      <c r="P67" s="22"/>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row>
    <row r="68" spans="1:41" ht="14.1" customHeight="1">
      <c r="A68" s="100"/>
      <c r="B68" s="100"/>
      <c r="C68" s="100"/>
      <c r="D68" s="100"/>
      <c r="E68" s="100"/>
      <c r="F68" s="100"/>
      <c r="J68" s="100"/>
      <c r="K68" s="100"/>
      <c r="L68" s="100"/>
      <c r="M68" s="22"/>
      <c r="N68" s="22"/>
      <c r="O68" s="22"/>
      <c r="P68" s="22"/>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row>
    <row r="69" spans="1:41" ht="14.1" customHeight="1">
      <c r="A69" s="100"/>
      <c r="B69" s="100"/>
      <c r="C69" s="100"/>
      <c r="D69" s="100"/>
      <c r="E69" s="100"/>
      <c r="F69" s="100"/>
      <c r="J69" s="100"/>
      <c r="K69" s="100"/>
      <c r="L69" s="100"/>
      <c r="M69" s="22"/>
      <c r="N69" s="22"/>
      <c r="O69" s="22"/>
      <c r="P69" s="22"/>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row>
    <row r="70" spans="1:41" ht="14.1" customHeight="1">
      <c r="A70" s="100"/>
      <c r="B70" s="100"/>
      <c r="C70" s="100"/>
      <c r="D70" s="100"/>
      <c r="E70" s="100"/>
      <c r="F70" s="100"/>
      <c r="J70" s="100"/>
      <c r="K70" s="100"/>
      <c r="L70" s="100"/>
      <c r="M70" s="22"/>
      <c r="N70" s="22"/>
      <c r="O70" s="22"/>
      <c r="P70" s="22"/>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row>
    <row r="71" spans="1:41" ht="14.1" customHeight="1">
      <c r="A71" s="100"/>
      <c r="B71" s="100"/>
      <c r="C71" s="100"/>
      <c r="D71" s="100"/>
      <c r="E71" s="100"/>
      <c r="F71" s="100"/>
      <c r="J71" s="100"/>
      <c r="K71" s="100"/>
      <c r="L71" s="100"/>
      <c r="M71" s="22"/>
      <c r="N71" s="22"/>
      <c r="O71" s="22"/>
      <c r="P71" s="22"/>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row>
    <row r="72" spans="1:41" ht="14.1" customHeight="1">
      <c r="A72" s="100"/>
      <c r="B72" s="100"/>
      <c r="C72" s="100"/>
      <c r="D72" s="100"/>
      <c r="E72" s="100"/>
      <c r="F72" s="100"/>
      <c r="J72" s="100"/>
      <c r="K72" s="100"/>
      <c r="L72" s="100"/>
      <c r="M72" s="22"/>
      <c r="N72" s="22"/>
      <c r="O72" s="22"/>
      <c r="P72" s="22"/>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row>
    <row r="73" spans="1:41" ht="14.1" customHeight="1">
      <c r="A73" s="100"/>
      <c r="B73" s="100"/>
      <c r="C73" s="100"/>
      <c r="D73" s="100"/>
      <c r="E73" s="100"/>
      <c r="F73" s="100"/>
      <c r="J73" s="100"/>
      <c r="K73" s="100"/>
      <c r="L73" s="100"/>
      <c r="M73" s="22"/>
      <c r="N73" s="22"/>
      <c r="O73" s="22"/>
      <c r="P73" s="22"/>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row>
    <row r="74" spans="1:41" ht="14.1" customHeight="1">
      <c r="A74" s="100"/>
      <c r="B74" s="100"/>
      <c r="C74" s="100"/>
      <c r="D74" s="100"/>
      <c r="E74" s="100"/>
      <c r="F74" s="100"/>
      <c r="J74" s="100"/>
      <c r="K74" s="100"/>
      <c r="L74" s="100"/>
      <c r="M74" s="22"/>
      <c r="N74" s="22"/>
      <c r="O74" s="22"/>
      <c r="P74" s="22"/>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row>
    <row r="75" spans="1:41" ht="14.1" customHeight="1">
      <c r="A75" s="100"/>
      <c r="B75" s="100"/>
      <c r="C75" s="100"/>
      <c r="D75" s="100"/>
      <c r="E75" s="100"/>
      <c r="F75" s="100"/>
      <c r="J75" s="100"/>
      <c r="K75" s="100"/>
      <c r="L75" s="100"/>
      <c r="M75" s="22"/>
      <c r="N75" s="22"/>
      <c r="O75" s="22"/>
      <c r="P75" s="22"/>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row>
    <row r="76" spans="1:41" ht="14.1" customHeight="1">
      <c r="A76" s="100"/>
      <c r="B76" s="100"/>
      <c r="C76" s="100"/>
      <c r="D76" s="100"/>
      <c r="E76" s="100"/>
      <c r="F76" s="100"/>
      <c r="J76" s="100"/>
      <c r="K76" s="100"/>
      <c r="L76" s="100"/>
      <c r="M76" s="22"/>
      <c r="N76" s="22"/>
      <c r="O76" s="22"/>
      <c r="P76" s="22"/>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row>
    <row r="77" spans="1:41" ht="14.1" customHeight="1">
      <c r="A77" s="100"/>
      <c r="B77" s="100"/>
      <c r="C77" s="100"/>
      <c r="D77" s="100"/>
      <c r="E77" s="100"/>
      <c r="F77" s="100"/>
      <c r="J77" s="100"/>
      <c r="K77" s="100"/>
      <c r="L77" s="100"/>
      <c r="M77" s="22"/>
      <c r="N77" s="22"/>
      <c r="O77" s="22"/>
      <c r="P77" s="22"/>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row>
    <row r="78" spans="1:41" ht="14.1" customHeight="1">
      <c r="A78" s="100"/>
      <c r="B78" s="100"/>
      <c r="C78" s="100"/>
      <c r="D78" s="100"/>
      <c r="E78" s="100"/>
      <c r="F78" s="100"/>
      <c r="J78" s="100"/>
      <c r="K78" s="100"/>
      <c r="L78" s="100"/>
      <c r="M78" s="22"/>
      <c r="N78" s="22"/>
      <c r="O78" s="22"/>
      <c r="P78" s="22"/>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row>
    <row r="79" spans="1:41" ht="14.1" customHeight="1">
      <c r="P79" s="98"/>
    </row>
    <row r="80" spans="1:41" ht="14.1" customHeight="1">
      <c r="P80" s="98"/>
    </row>
    <row r="81" ht="14.1" customHeight="1"/>
    <row r="82" ht="14.1" customHeight="1"/>
    <row r="83" ht="14.1" customHeight="1"/>
    <row r="84" ht="12.75" hidden="1" customHeight="1"/>
    <row r="85" ht="12.75" hidden="1" customHeight="1"/>
    <row r="86" ht="12.75" hidden="1" customHeight="1"/>
    <row r="87" ht="12.75" hidden="1" customHeight="1"/>
    <row r="88" ht="12.75" hidden="1" customHeight="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row r="118"/>
    <row r="119"/>
    <row r="120"/>
    <row r="121"/>
    <row r="122"/>
    <row r="123"/>
    <row r="124"/>
    <row r="125"/>
    <row r="126"/>
    <row r="127"/>
    <row r="128"/>
    <row r="129"/>
  </sheetData>
  <sheetProtection sheet="1" objects="1" scenarios="1" selectLockedCells="1"/>
  <mergeCells count="35">
    <mergeCell ref="J43:K43"/>
    <mergeCell ref="B37:C37"/>
    <mergeCell ref="B34:C34"/>
    <mergeCell ref="B19:C19"/>
    <mergeCell ref="B8:C8"/>
    <mergeCell ref="B31:C31"/>
    <mergeCell ref="B32:C32"/>
    <mergeCell ref="B33:C33"/>
    <mergeCell ref="B16:C16"/>
    <mergeCell ref="B17:C17"/>
    <mergeCell ref="B18:C18"/>
    <mergeCell ref="A20:A34"/>
    <mergeCell ref="A35:A37"/>
    <mergeCell ref="B35:C35"/>
    <mergeCell ref="B36:C36"/>
    <mergeCell ref="H2:H4"/>
    <mergeCell ref="A2:C2"/>
    <mergeCell ref="B5:C5"/>
    <mergeCell ref="B6:C6"/>
    <mergeCell ref="B7:C7"/>
    <mergeCell ref="B9:C9"/>
    <mergeCell ref="B10:C10"/>
    <mergeCell ref="B11:C11"/>
    <mergeCell ref="B12:C12"/>
    <mergeCell ref="B13:C13"/>
    <mergeCell ref="B14:C14"/>
    <mergeCell ref="B15:C15"/>
    <mergeCell ref="I2:I4"/>
    <mergeCell ref="M2:S2"/>
    <mergeCell ref="M3:M4"/>
    <mergeCell ref="M41:N41"/>
    <mergeCell ref="E1:F1"/>
    <mergeCell ref="E2:E4"/>
    <mergeCell ref="F2:F4"/>
    <mergeCell ref="G2:G4"/>
  </mergeCells>
  <phoneticPr fontId="14"/>
  <printOptions horizontalCentered="1"/>
  <pageMargins left="0.82677165354330717" right="0.82677165354330717" top="1.3385826771653544" bottom="0.74803149606299213" header="0.9055118110236221" footer="0.31496062992125984"/>
  <pageSetup paperSize="9" scale="62" firstPageNumber="0" orientation="landscape" cellComments="asDisplayed" horizontalDpi="4294967293" verticalDpi="300" r:id="rId1"/>
  <headerFooter alignWithMargins="0">
    <oddHeader>&amp;L肉用牛（繁殖）耕作放棄地親子放牧（全域）</oddHeader>
  </headerFooter>
  <legacyDrawing r:id="rId2"/>
</worksheet>
</file>

<file path=xl/worksheets/sheet6.xml><?xml version="1.0" encoding="utf-8"?>
<worksheet xmlns="http://schemas.openxmlformats.org/spreadsheetml/2006/main" xmlns:r="http://schemas.openxmlformats.org/officeDocument/2006/relationships">
  <sheetPr codeName="Sheet9">
    <tabColor rgb="FFFFFF00"/>
    <pageSetUpPr fitToPage="1"/>
  </sheetPr>
  <dimension ref="A1:R353"/>
  <sheetViews>
    <sheetView showGridLines="0" workbookViewId="0">
      <pane ySplit="4" topLeftCell="A5" activePane="bottomLeft" state="frozen"/>
      <selection activeCell="I22" sqref="I22"/>
      <selection pane="bottomLeft" activeCell="H11" sqref="H11"/>
    </sheetView>
  </sheetViews>
  <sheetFormatPr defaultRowHeight="13.5"/>
  <cols>
    <col min="1" max="1" width="15.125" style="10" customWidth="1"/>
    <col min="2" max="2" width="9" style="10"/>
    <col min="3" max="3" width="14.625" style="10" customWidth="1"/>
    <col min="4" max="4" width="16.625" style="10" customWidth="1"/>
    <col min="5" max="5" width="4.875" style="10" bestFit="1" customWidth="1"/>
    <col min="6" max="10" width="9" style="321"/>
    <col min="11" max="11" width="18.375" style="10" customWidth="1"/>
    <col min="12" max="12" width="9.125" style="10" customWidth="1"/>
    <col min="13" max="13" width="9.125" style="322" customWidth="1"/>
    <col min="14" max="14" width="9.125" style="321" customWidth="1"/>
    <col min="15" max="15" width="18.625" style="323" customWidth="1"/>
    <col min="16" max="16" width="9" style="10"/>
    <col min="17" max="18" width="9" style="652"/>
    <col min="19" max="16384" width="9" style="10"/>
  </cols>
  <sheetData>
    <row r="1" spans="1:18" ht="14.25" thickBot="1">
      <c r="A1" s="24" t="str">
        <f>IF(①技術体系!A2=0,"",①技術体系!A2)</f>
        <v>黒毛和種子牛</v>
      </c>
      <c r="D1" s="24" t="str">
        <f>IF(①技術体系!C2=0,"",①技術体系!C2)</f>
        <v>黒毛和種</v>
      </c>
    </row>
    <row r="2" spans="1:18" s="432" customFormat="1" ht="24" customHeight="1" thickBot="1">
      <c r="A2" s="875" t="s">
        <v>4</v>
      </c>
      <c r="B2" s="876" t="s">
        <v>59</v>
      </c>
      <c r="C2" s="877" t="s">
        <v>60</v>
      </c>
      <c r="D2" s="877" t="s">
        <v>61</v>
      </c>
      <c r="E2" s="878" t="s">
        <v>394</v>
      </c>
      <c r="F2" s="872" t="s">
        <v>291</v>
      </c>
      <c r="G2" s="873"/>
      <c r="H2" s="873"/>
      <c r="I2" s="873"/>
      <c r="J2" s="873"/>
      <c r="K2" s="874" t="s">
        <v>62</v>
      </c>
      <c r="L2" s="874"/>
      <c r="M2" s="874"/>
      <c r="N2" s="874"/>
      <c r="O2" s="858" t="s">
        <v>63</v>
      </c>
      <c r="Q2" s="653"/>
      <c r="R2" s="653"/>
    </row>
    <row r="3" spans="1:18" s="432" customFormat="1" ht="19.5" customHeight="1" thickBot="1">
      <c r="A3" s="875"/>
      <c r="B3" s="876"/>
      <c r="C3" s="877"/>
      <c r="D3" s="877"/>
      <c r="E3" s="879"/>
      <c r="F3" s="859" t="s">
        <v>292</v>
      </c>
      <c r="G3" s="860"/>
      <c r="H3" s="859" t="s">
        <v>293</v>
      </c>
      <c r="I3" s="861"/>
      <c r="J3" s="862" t="s">
        <v>66</v>
      </c>
      <c r="K3" s="864" t="s">
        <v>67</v>
      </c>
      <c r="L3" s="866" t="s">
        <v>693</v>
      </c>
      <c r="M3" s="868" t="s">
        <v>395</v>
      </c>
      <c r="N3" s="870" t="s">
        <v>396</v>
      </c>
      <c r="O3" s="858"/>
      <c r="Q3" s="653"/>
      <c r="R3" s="653"/>
    </row>
    <row r="4" spans="1:18" s="432" customFormat="1" ht="27.75" thickBot="1">
      <c r="A4" s="875"/>
      <c r="B4" s="876"/>
      <c r="C4" s="877"/>
      <c r="D4" s="877"/>
      <c r="E4" s="879"/>
      <c r="F4" s="324" t="s">
        <v>64</v>
      </c>
      <c r="G4" s="325" t="s">
        <v>289</v>
      </c>
      <c r="H4" s="326" t="s">
        <v>65</v>
      </c>
      <c r="I4" s="325" t="s">
        <v>290</v>
      </c>
      <c r="J4" s="863"/>
      <c r="K4" s="865"/>
      <c r="L4" s="867"/>
      <c r="M4" s="869"/>
      <c r="N4" s="871"/>
      <c r="O4" s="858"/>
      <c r="Q4" s="653" t="s">
        <v>691</v>
      </c>
      <c r="R4" s="653" t="s">
        <v>692</v>
      </c>
    </row>
    <row r="5" spans="1:18">
      <c r="A5" s="635"/>
      <c r="B5" s="636"/>
      <c r="C5" s="637"/>
      <c r="D5" s="638"/>
      <c r="E5" s="3"/>
      <c r="F5" s="265"/>
      <c r="G5" s="265"/>
      <c r="H5" s="5"/>
      <c r="I5" s="5"/>
      <c r="J5" s="401">
        <f>(+F5*G5+H5*I5)*E5</f>
        <v>0</v>
      </c>
      <c r="K5" s="6"/>
      <c r="L5" s="5"/>
      <c r="M5" s="4"/>
      <c r="N5" s="263" t="str">
        <f>IF(K5=0,"",L5*M5*E5)</f>
        <v/>
      </c>
      <c r="O5" s="701"/>
      <c r="Q5" s="652">
        <f>F5*G5*E5</f>
        <v>0</v>
      </c>
      <c r="R5" s="652">
        <f>H5*E5*I5</f>
        <v>0</v>
      </c>
    </row>
    <row r="6" spans="1:18">
      <c r="A6" s="635"/>
      <c r="B6" s="636"/>
      <c r="C6" s="639"/>
      <c r="D6" s="640"/>
      <c r="E6" s="3"/>
      <c r="F6" s="266"/>
      <c r="G6" s="266"/>
      <c r="H6" s="8"/>
      <c r="I6" s="5"/>
      <c r="J6" s="401">
        <f t="shared" ref="J6:J69" si="0">(+F6*G6+H6*I6)*E6</f>
        <v>0</v>
      </c>
      <c r="K6" s="2"/>
      <c r="L6" s="8"/>
      <c r="M6" s="7"/>
      <c r="N6" s="9" t="str">
        <f t="shared" ref="N6:N69" si="1">IF(K6=0,"",L6*M6*E6)</f>
        <v/>
      </c>
      <c r="O6" s="20"/>
      <c r="Q6" s="652">
        <f t="shared" ref="Q6:Q69" si="2">F6*G6*E6</f>
        <v>0</v>
      </c>
      <c r="R6" s="652">
        <f t="shared" ref="R6:R69" si="3">H6*E6*I6</f>
        <v>0</v>
      </c>
    </row>
    <row r="7" spans="1:18">
      <c r="A7" s="635" t="s">
        <v>446</v>
      </c>
      <c r="B7" s="636" t="s">
        <v>217</v>
      </c>
      <c r="C7" s="640" t="s">
        <v>453</v>
      </c>
      <c r="D7" s="640"/>
      <c r="E7" s="3">
        <v>1</v>
      </c>
      <c r="F7" s="734">
        <f>(0.2+0.2)/2</f>
        <v>0.2</v>
      </c>
      <c r="G7" s="266">
        <v>1</v>
      </c>
      <c r="H7" s="8"/>
      <c r="I7" s="5"/>
      <c r="J7" s="401">
        <f t="shared" si="0"/>
        <v>0.2</v>
      </c>
      <c r="K7" s="2" t="s">
        <v>174</v>
      </c>
      <c r="L7" s="735">
        <f>0.4/2</f>
        <v>0.2</v>
      </c>
      <c r="M7" s="7">
        <v>1</v>
      </c>
      <c r="N7" s="9">
        <f t="shared" si="1"/>
        <v>0.2</v>
      </c>
      <c r="O7" s="736" t="s">
        <v>826</v>
      </c>
      <c r="Q7" s="652">
        <f t="shared" si="2"/>
        <v>0.2</v>
      </c>
      <c r="R7" s="652">
        <f t="shared" si="3"/>
        <v>0</v>
      </c>
    </row>
    <row r="8" spans="1:18">
      <c r="A8" s="635" t="s">
        <v>449</v>
      </c>
      <c r="B8" s="636" t="s">
        <v>217</v>
      </c>
      <c r="C8" s="640"/>
      <c r="D8" s="640"/>
      <c r="E8" s="3">
        <v>1</v>
      </c>
      <c r="F8" s="734">
        <f>0.4/2</f>
        <v>0.2</v>
      </c>
      <c r="G8" s="266">
        <v>1</v>
      </c>
      <c r="H8" s="8"/>
      <c r="I8" s="5"/>
      <c r="J8" s="401">
        <f t="shared" si="0"/>
        <v>0.2</v>
      </c>
      <c r="K8" s="2"/>
      <c r="L8" s="8"/>
      <c r="M8" s="7"/>
      <c r="N8" s="9" t="str">
        <f t="shared" si="1"/>
        <v/>
      </c>
      <c r="O8" s="736" t="s">
        <v>826</v>
      </c>
      <c r="Q8" s="652">
        <f t="shared" si="2"/>
        <v>0.2</v>
      </c>
      <c r="R8" s="652">
        <f t="shared" si="3"/>
        <v>0</v>
      </c>
    </row>
    <row r="9" spans="1:18">
      <c r="A9" s="635" t="s">
        <v>479</v>
      </c>
      <c r="B9" s="636" t="s">
        <v>222</v>
      </c>
      <c r="C9" s="640"/>
      <c r="D9" s="640"/>
      <c r="E9" s="3">
        <v>1</v>
      </c>
      <c r="F9" s="734">
        <f>0.1/2</f>
        <v>0.05</v>
      </c>
      <c r="G9" s="266">
        <v>1</v>
      </c>
      <c r="H9" s="8"/>
      <c r="I9" s="5"/>
      <c r="J9" s="401">
        <f>(+F9*G9+H9*I9)*E9</f>
        <v>0.05</v>
      </c>
      <c r="K9" s="2"/>
      <c r="L9" s="8"/>
      <c r="M9" s="7"/>
      <c r="N9" s="9" t="str">
        <f t="shared" si="1"/>
        <v/>
      </c>
      <c r="O9" s="736" t="s">
        <v>827</v>
      </c>
      <c r="Q9" s="652">
        <f t="shared" si="2"/>
        <v>0.05</v>
      </c>
      <c r="R9" s="652">
        <f t="shared" si="3"/>
        <v>0</v>
      </c>
    </row>
    <row r="10" spans="1:18">
      <c r="A10" s="635" t="s">
        <v>482</v>
      </c>
      <c r="B10" s="636" t="s">
        <v>222</v>
      </c>
      <c r="C10" s="640"/>
      <c r="D10" s="640"/>
      <c r="E10" s="3">
        <v>10</v>
      </c>
      <c r="F10" s="734">
        <f>0.1/2</f>
        <v>0.05</v>
      </c>
      <c r="G10" s="266">
        <v>1</v>
      </c>
      <c r="H10" s="8"/>
      <c r="I10" s="5"/>
      <c r="J10" s="401">
        <f>(+F10*G10+H10*I10)*E10</f>
        <v>0.5</v>
      </c>
      <c r="K10" s="2"/>
      <c r="L10" s="8"/>
      <c r="M10" s="7"/>
      <c r="N10" s="9" t="str">
        <f t="shared" si="1"/>
        <v/>
      </c>
      <c r="O10" s="736" t="s">
        <v>828</v>
      </c>
      <c r="Q10" s="652">
        <f t="shared" si="2"/>
        <v>0.5</v>
      </c>
      <c r="R10" s="652">
        <f t="shared" si="3"/>
        <v>0</v>
      </c>
    </row>
    <row r="11" spans="1:18">
      <c r="A11" s="635" t="s">
        <v>482</v>
      </c>
      <c r="B11" s="636" t="s">
        <v>224</v>
      </c>
      <c r="C11" s="639"/>
      <c r="D11" s="640"/>
      <c r="E11" s="3">
        <v>10</v>
      </c>
      <c r="F11" s="734">
        <f>0.1/2</f>
        <v>0.05</v>
      </c>
      <c r="G11" s="266">
        <v>1</v>
      </c>
      <c r="H11" s="8"/>
      <c r="I11" s="5"/>
      <c r="J11" s="401">
        <f t="shared" si="0"/>
        <v>0.5</v>
      </c>
      <c r="K11" s="2"/>
      <c r="L11" s="8"/>
      <c r="M11" s="7"/>
      <c r="N11" s="9" t="str">
        <f t="shared" si="1"/>
        <v/>
      </c>
      <c r="O11" s="736" t="s">
        <v>828</v>
      </c>
      <c r="Q11" s="652">
        <f t="shared" si="2"/>
        <v>0.5</v>
      </c>
      <c r="R11" s="652">
        <f t="shared" si="3"/>
        <v>0</v>
      </c>
    </row>
    <row r="12" spans="1:18">
      <c r="A12" s="635" t="s">
        <v>486</v>
      </c>
      <c r="B12" s="636" t="s">
        <v>226</v>
      </c>
      <c r="C12" s="639"/>
      <c r="D12" s="640"/>
      <c r="E12" s="3">
        <v>10</v>
      </c>
      <c r="F12" s="734">
        <f>0.1/2</f>
        <v>0.05</v>
      </c>
      <c r="G12" s="266">
        <v>1</v>
      </c>
      <c r="H12" s="8"/>
      <c r="I12" s="5"/>
      <c r="J12" s="401">
        <f t="shared" si="0"/>
        <v>0.5</v>
      </c>
      <c r="K12" s="2"/>
      <c r="L12" s="8"/>
      <c r="M12" s="7"/>
      <c r="N12" s="9" t="str">
        <f t="shared" si="1"/>
        <v/>
      </c>
      <c r="O12" s="736" t="s">
        <v>828</v>
      </c>
      <c r="Q12" s="652">
        <f t="shared" si="2"/>
        <v>0.5</v>
      </c>
      <c r="R12" s="652">
        <f t="shared" si="3"/>
        <v>0</v>
      </c>
    </row>
    <row r="13" spans="1:18">
      <c r="A13" s="635" t="s">
        <v>486</v>
      </c>
      <c r="B13" s="636" t="s">
        <v>228</v>
      </c>
      <c r="C13" s="640"/>
      <c r="D13" s="640"/>
      <c r="E13" s="3">
        <v>8</v>
      </c>
      <c r="F13" s="734">
        <f>0.1/2</f>
        <v>0.05</v>
      </c>
      <c r="G13" s="266">
        <v>1</v>
      </c>
      <c r="H13" s="8"/>
      <c r="I13" s="5"/>
      <c r="J13" s="401">
        <f t="shared" si="0"/>
        <v>0.4</v>
      </c>
      <c r="K13" s="2"/>
      <c r="L13" s="8"/>
      <c r="M13" s="7"/>
      <c r="N13" s="9" t="str">
        <f t="shared" si="1"/>
        <v/>
      </c>
      <c r="O13" s="736" t="s">
        <v>828</v>
      </c>
      <c r="Q13" s="652">
        <f t="shared" si="2"/>
        <v>0.4</v>
      </c>
      <c r="R13" s="652">
        <f t="shared" si="3"/>
        <v>0</v>
      </c>
    </row>
    <row r="14" spans="1:18">
      <c r="A14" s="635" t="s">
        <v>486</v>
      </c>
      <c r="B14" s="636" t="s">
        <v>228</v>
      </c>
      <c r="C14" s="641"/>
      <c r="D14" s="640"/>
      <c r="E14" s="3">
        <v>2</v>
      </c>
      <c r="F14" s="734">
        <f>0.3/2</f>
        <v>0.15</v>
      </c>
      <c r="G14" s="266">
        <v>1</v>
      </c>
      <c r="H14" s="8"/>
      <c r="I14" s="5"/>
      <c r="J14" s="401">
        <f t="shared" si="0"/>
        <v>0.3</v>
      </c>
      <c r="K14" s="2"/>
      <c r="L14" s="8"/>
      <c r="M14" s="7"/>
      <c r="N14" s="9" t="str">
        <f t="shared" si="1"/>
        <v/>
      </c>
      <c r="O14" s="736" t="s">
        <v>829</v>
      </c>
      <c r="Q14" s="652">
        <f t="shared" si="2"/>
        <v>0.3</v>
      </c>
      <c r="R14" s="652">
        <f t="shared" si="3"/>
        <v>0</v>
      </c>
    </row>
    <row r="15" spans="1:18">
      <c r="A15" s="635" t="s">
        <v>486</v>
      </c>
      <c r="B15" s="636" t="s">
        <v>230</v>
      </c>
      <c r="C15" s="641"/>
      <c r="D15" s="640"/>
      <c r="E15" s="3">
        <v>10</v>
      </c>
      <c r="F15" s="734">
        <f t="shared" ref="F15:F20" si="4">0.1/2</f>
        <v>0.05</v>
      </c>
      <c r="G15" s="266">
        <v>1</v>
      </c>
      <c r="H15" s="8"/>
      <c r="I15" s="5"/>
      <c r="J15" s="401">
        <f t="shared" si="0"/>
        <v>0.5</v>
      </c>
      <c r="K15" s="2"/>
      <c r="L15" s="8"/>
      <c r="M15" s="7"/>
      <c r="N15" s="9" t="str">
        <f t="shared" si="1"/>
        <v/>
      </c>
      <c r="O15" s="736" t="s">
        <v>828</v>
      </c>
      <c r="Q15" s="652">
        <f t="shared" si="2"/>
        <v>0.5</v>
      </c>
      <c r="R15" s="652">
        <f t="shared" si="3"/>
        <v>0</v>
      </c>
    </row>
    <row r="16" spans="1:18">
      <c r="A16" s="635" t="s">
        <v>490</v>
      </c>
      <c r="B16" s="636" t="s">
        <v>231</v>
      </c>
      <c r="C16" s="641"/>
      <c r="D16" s="640"/>
      <c r="E16" s="3">
        <v>10</v>
      </c>
      <c r="F16" s="734">
        <f t="shared" si="4"/>
        <v>0.05</v>
      </c>
      <c r="G16" s="266">
        <v>1</v>
      </c>
      <c r="H16" s="8"/>
      <c r="I16" s="5"/>
      <c r="J16" s="401">
        <f t="shared" si="0"/>
        <v>0.5</v>
      </c>
      <c r="K16" s="2"/>
      <c r="L16" s="8"/>
      <c r="M16" s="7"/>
      <c r="N16" s="9" t="str">
        <f t="shared" si="1"/>
        <v/>
      </c>
      <c r="O16" s="736" t="s">
        <v>828</v>
      </c>
      <c r="Q16" s="652">
        <f t="shared" si="2"/>
        <v>0.5</v>
      </c>
      <c r="R16" s="652">
        <f t="shared" si="3"/>
        <v>0</v>
      </c>
    </row>
    <row r="17" spans="1:18">
      <c r="A17" s="635" t="s">
        <v>490</v>
      </c>
      <c r="B17" s="636" t="s">
        <v>233</v>
      </c>
      <c r="C17" s="641"/>
      <c r="D17" s="640"/>
      <c r="E17" s="3">
        <v>10</v>
      </c>
      <c r="F17" s="734">
        <f t="shared" si="4"/>
        <v>0.05</v>
      </c>
      <c r="G17" s="266">
        <v>1</v>
      </c>
      <c r="H17" s="8"/>
      <c r="I17" s="5"/>
      <c r="J17" s="401">
        <f t="shared" si="0"/>
        <v>0.5</v>
      </c>
      <c r="K17" s="2"/>
      <c r="L17" s="8"/>
      <c r="M17" s="7"/>
      <c r="N17" s="9" t="str">
        <f t="shared" si="1"/>
        <v/>
      </c>
      <c r="O17" s="736" t="s">
        <v>828</v>
      </c>
      <c r="Q17" s="652">
        <f t="shared" si="2"/>
        <v>0.5</v>
      </c>
      <c r="R17" s="652">
        <f t="shared" si="3"/>
        <v>0</v>
      </c>
    </row>
    <row r="18" spans="1:18">
      <c r="A18" s="635" t="s">
        <v>490</v>
      </c>
      <c r="B18" s="636" t="s">
        <v>234</v>
      </c>
      <c r="C18" s="641"/>
      <c r="D18" s="640"/>
      <c r="E18" s="3">
        <v>10</v>
      </c>
      <c r="F18" s="734">
        <f t="shared" si="4"/>
        <v>0.05</v>
      </c>
      <c r="G18" s="266">
        <v>1</v>
      </c>
      <c r="H18" s="8"/>
      <c r="I18" s="5"/>
      <c r="J18" s="401">
        <f t="shared" si="0"/>
        <v>0.5</v>
      </c>
      <c r="K18" s="2"/>
      <c r="L18" s="8"/>
      <c r="M18" s="7"/>
      <c r="N18" s="9" t="str">
        <f t="shared" si="1"/>
        <v/>
      </c>
      <c r="O18" s="736" t="s">
        <v>828</v>
      </c>
      <c r="Q18" s="652">
        <f t="shared" si="2"/>
        <v>0.5</v>
      </c>
      <c r="R18" s="652">
        <f t="shared" si="3"/>
        <v>0</v>
      </c>
    </row>
    <row r="19" spans="1:18">
      <c r="A19" s="635" t="s">
        <v>490</v>
      </c>
      <c r="B19" s="636" t="s">
        <v>68</v>
      </c>
      <c r="C19" s="641"/>
      <c r="D19" s="640"/>
      <c r="E19" s="3">
        <v>10</v>
      </c>
      <c r="F19" s="734">
        <f t="shared" si="4"/>
        <v>0.05</v>
      </c>
      <c r="G19" s="266">
        <v>1</v>
      </c>
      <c r="H19" s="8"/>
      <c r="I19" s="5"/>
      <c r="J19" s="401">
        <f t="shared" si="0"/>
        <v>0.5</v>
      </c>
      <c r="K19" s="2"/>
      <c r="L19" s="8"/>
      <c r="M19" s="7"/>
      <c r="N19" s="9" t="str">
        <f t="shared" si="1"/>
        <v/>
      </c>
      <c r="O19" s="736" t="s">
        <v>828</v>
      </c>
      <c r="Q19" s="652">
        <f t="shared" si="2"/>
        <v>0.5</v>
      </c>
      <c r="R19" s="652">
        <f t="shared" si="3"/>
        <v>0</v>
      </c>
    </row>
    <row r="20" spans="1:18">
      <c r="A20" s="635" t="s">
        <v>490</v>
      </c>
      <c r="B20" s="636" t="s">
        <v>235</v>
      </c>
      <c r="C20" s="640"/>
      <c r="D20" s="640"/>
      <c r="E20" s="3">
        <v>10</v>
      </c>
      <c r="F20" s="734">
        <f t="shared" si="4"/>
        <v>0.05</v>
      </c>
      <c r="G20" s="266">
        <v>1</v>
      </c>
      <c r="H20" s="8"/>
      <c r="I20" s="5"/>
      <c r="J20" s="401">
        <f t="shared" si="0"/>
        <v>0.5</v>
      </c>
      <c r="K20" s="2"/>
      <c r="L20" s="8"/>
      <c r="M20" s="7"/>
      <c r="N20" s="9" t="str">
        <f t="shared" si="1"/>
        <v/>
      </c>
      <c r="O20" s="736" t="s">
        <v>828</v>
      </c>
      <c r="Q20" s="652">
        <f t="shared" si="2"/>
        <v>0.5</v>
      </c>
      <c r="R20" s="652">
        <f t="shared" si="3"/>
        <v>0</v>
      </c>
    </row>
    <row r="21" spans="1:18">
      <c r="A21" s="635" t="s">
        <v>494</v>
      </c>
      <c r="B21" s="636" t="s">
        <v>235</v>
      </c>
      <c r="C21" s="640"/>
      <c r="D21" s="640"/>
      <c r="E21" s="3">
        <v>3</v>
      </c>
      <c r="F21" s="734">
        <f>0.05/2</f>
        <v>2.5000000000000001E-2</v>
      </c>
      <c r="G21" s="266">
        <v>1</v>
      </c>
      <c r="H21" s="8"/>
      <c r="I21" s="5"/>
      <c r="J21" s="401">
        <f t="shared" si="0"/>
        <v>7.5000000000000011E-2</v>
      </c>
      <c r="K21" s="2"/>
      <c r="L21" s="8"/>
      <c r="M21" s="7"/>
      <c r="N21" s="9" t="str">
        <f t="shared" si="1"/>
        <v/>
      </c>
      <c r="O21" s="736" t="s">
        <v>830</v>
      </c>
      <c r="Q21" s="652">
        <f t="shared" si="2"/>
        <v>7.5000000000000011E-2</v>
      </c>
      <c r="R21" s="652">
        <f t="shared" si="3"/>
        <v>0</v>
      </c>
    </row>
    <row r="22" spans="1:18">
      <c r="A22" s="635" t="s">
        <v>490</v>
      </c>
      <c r="B22" s="636" t="s">
        <v>70</v>
      </c>
      <c r="C22" s="640"/>
      <c r="D22" s="640"/>
      <c r="E22" s="3">
        <v>10</v>
      </c>
      <c r="F22" s="734">
        <f t="shared" ref="F22:F43" si="5">0.1/2</f>
        <v>0.05</v>
      </c>
      <c r="G22" s="266">
        <v>1</v>
      </c>
      <c r="H22" s="8"/>
      <c r="I22" s="5"/>
      <c r="J22" s="401">
        <f t="shared" si="0"/>
        <v>0.5</v>
      </c>
      <c r="K22" s="2"/>
      <c r="L22" s="8"/>
      <c r="M22" s="7"/>
      <c r="N22" s="9" t="str">
        <f t="shared" si="1"/>
        <v/>
      </c>
      <c r="O22" s="736" t="s">
        <v>828</v>
      </c>
      <c r="Q22" s="652">
        <f t="shared" si="2"/>
        <v>0.5</v>
      </c>
      <c r="R22" s="652">
        <f t="shared" si="3"/>
        <v>0</v>
      </c>
    </row>
    <row r="23" spans="1:18">
      <c r="A23" s="635" t="s">
        <v>490</v>
      </c>
      <c r="B23" s="636" t="s">
        <v>238</v>
      </c>
      <c r="C23" s="640"/>
      <c r="D23" s="640"/>
      <c r="E23" s="3">
        <v>10</v>
      </c>
      <c r="F23" s="734">
        <f t="shared" si="5"/>
        <v>0.05</v>
      </c>
      <c r="G23" s="266">
        <v>1</v>
      </c>
      <c r="H23" s="8"/>
      <c r="I23" s="5"/>
      <c r="J23" s="401">
        <f t="shared" si="0"/>
        <v>0.5</v>
      </c>
      <c r="K23" s="2"/>
      <c r="L23" s="8"/>
      <c r="M23" s="7"/>
      <c r="N23" s="9" t="str">
        <f t="shared" si="1"/>
        <v/>
      </c>
      <c r="O23" s="736" t="s">
        <v>828</v>
      </c>
      <c r="Q23" s="652">
        <f t="shared" si="2"/>
        <v>0.5</v>
      </c>
      <c r="R23" s="652">
        <f t="shared" si="3"/>
        <v>0</v>
      </c>
    </row>
    <row r="24" spans="1:18">
      <c r="A24" s="635" t="s">
        <v>490</v>
      </c>
      <c r="B24" s="636" t="s">
        <v>240</v>
      </c>
      <c r="C24" s="640"/>
      <c r="D24" s="640"/>
      <c r="E24" s="3">
        <v>10</v>
      </c>
      <c r="F24" s="734">
        <f t="shared" si="5"/>
        <v>0.05</v>
      </c>
      <c r="G24" s="266">
        <v>1</v>
      </c>
      <c r="H24" s="8"/>
      <c r="I24" s="5"/>
      <c r="J24" s="401">
        <f t="shared" si="0"/>
        <v>0.5</v>
      </c>
      <c r="K24" s="2"/>
      <c r="L24" s="8"/>
      <c r="M24" s="7"/>
      <c r="N24" s="9" t="str">
        <f t="shared" si="1"/>
        <v/>
      </c>
      <c r="O24" s="736" t="s">
        <v>828</v>
      </c>
      <c r="Q24" s="652">
        <f t="shared" si="2"/>
        <v>0.5</v>
      </c>
      <c r="R24" s="652">
        <f t="shared" si="3"/>
        <v>0</v>
      </c>
    </row>
    <row r="25" spans="1:18">
      <c r="A25" s="635" t="s">
        <v>490</v>
      </c>
      <c r="B25" s="636" t="s">
        <v>73</v>
      </c>
      <c r="C25" s="640"/>
      <c r="D25" s="640"/>
      <c r="E25" s="3">
        <v>10</v>
      </c>
      <c r="F25" s="734">
        <f t="shared" si="5"/>
        <v>0.05</v>
      </c>
      <c r="G25" s="266">
        <v>1</v>
      </c>
      <c r="H25" s="8"/>
      <c r="I25" s="5"/>
      <c r="J25" s="401">
        <f t="shared" si="0"/>
        <v>0.5</v>
      </c>
      <c r="K25" s="2"/>
      <c r="L25" s="8"/>
      <c r="M25" s="7"/>
      <c r="N25" s="9" t="str">
        <f t="shared" si="1"/>
        <v/>
      </c>
      <c r="O25" s="736" t="s">
        <v>828</v>
      </c>
      <c r="Q25" s="652">
        <f t="shared" si="2"/>
        <v>0.5</v>
      </c>
      <c r="R25" s="652">
        <f t="shared" si="3"/>
        <v>0</v>
      </c>
    </row>
    <row r="26" spans="1:18">
      <c r="A26" s="635" t="s">
        <v>490</v>
      </c>
      <c r="B26" s="636" t="s">
        <v>242</v>
      </c>
      <c r="C26" s="640"/>
      <c r="D26" s="640"/>
      <c r="E26" s="3">
        <v>10</v>
      </c>
      <c r="F26" s="734">
        <f t="shared" si="5"/>
        <v>0.05</v>
      </c>
      <c r="G26" s="266">
        <v>1</v>
      </c>
      <c r="H26" s="8"/>
      <c r="I26" s="5"/>
      <c r="J26" s="401">
        <f t="shared" si="0"/>
        <v>0.5</v>
      </c>
      <c r="K26" s="2"/>
      <c r="L26" s="8"/>
      <c r="M26" s="7"/>
      <c r="N26" s="9" t="str">
        <f t="shared" si="1"/>
        <v/>
      </c>
      <c r="O26" s="736" t="s">
        <v>828</v>
      </c>
      <c r="Q26" s="652">
        <f t="shared" si="2"/>
        <v>0.5</v>
      </c>
      <c r="R26" s="652">
        <f t="shared" si="3"/>
        <v>0</v>
      </c>
    </row>
    <row r="27" spans="1:18">
      <c r="A27" s="635" t="s">
        <v>490</v>
      </c>
      <c r="B27" s="636" t="s">
        <v>72</v>
      </c>
      <c r="C27" s="640"/>
      <c r="D27" s="640"/>
      <c r="E27" s="3">
        <v>10</v>
      </c>
      <c r="F27" s="734">
        <f t="shared" si="5"/>
        <v>0.05</v>
      </c>
      <c r="G27" s="266">
        <v>1</v>
      </c>
      <c r="H27" s="8"/>
      <c r="I27" s="5"/>
      <c r="J27" s="401">
        <f t="shared" si="0"/>
        <v>0.5</v>
      </c>
      <c r="K27" s="2"/>
      <c r="L27" s="8"/>
      <c r="M27" s="7"/>
      <c r="N27" s="9" t="str">
        <f t="shared" si="1"/>
        <v/>
      </c>
      <c r="O27" s="736" t="s">
        <v>828</v>
      </c>
      <c r="Q27" s="652">
        <f t="shared" si="2"/>
        <v>0.5</v>
      </c>
      <c r="R27" s="652">
        <f t="shared" si="3"/>
        <v>0</v>
      </c>
    </row>
    <row r="28" spans="1:18">
      <c r="A28" s="635" t="s">
        <v>490</v>
      </c>
      <c r="B28" s="636" t="s">
        <v>244</v>
      </c>
      <c r="C28" s="640"/>
      <c r="D28" s="640"/>
      <c r="E28" s="3">
        <v>10</v>
      </c>
      <c r="F28" s="734">
        <f t="shared" si="5"/>
        <v>0.05</v>
      </c>
      <c r="G28" s="266">
        <v>1</v>
      </c>
      <c r="H28" s="8"/>
      <c r="I28" s="5"/>
      <c r="J28" s="401">
        <f t="shared" si="0"/>
        <v>0.5</v>
      </c>
      <c r="K28" s="2"/>
      <c r="L28" s="8"/>
      <c r="M28" s="7"/>
      <c r="N28" s="9" t="str">
        <f t="shared" si="1"/>
        <v/>
      </c>
      <c r="O28" s="736" t="s">
        <v>828</v>
      </c>
      <c r="Q28" s="652">
        <f t="shared" si="2"/>
        <v>0.5</v>
      </c>
      <c r="R28" s="652">
        <f t="shared" si="3"/>
        <v>0</v>
      </c>
    </row>
    <row r="29" spans="1:18">
      <c r="A29" s="635" t="s">
        <v>490</v>
      </c>
      <c r="B29" s="636" t="s">
        <v>75</v>
      </c>
      <c r="C29" s="640"/>
      <c r="D29" s="640"/>
      <c r="E29" s="3">
        <v>10</v>
      </c>
      <c r="F29" s="734">
        <f t="shared" si="5"/>
        <v>0.05</v>
      </c>
      <c r="G29" s="266">
        <v>1</v>
      </c>
      <c r="H29" s="8"/>
      <c r="I29" s="5"/>
      <c r="J29" s="401">
        <f t="shared" si="0"/>
        <v>0.5</v>
      </c>
      <c r="K29" s="2"/>
      <c r="L29" s="8"/>
      <c r="M29" s="7"/>
      <c r="N29" s="9" t="str">
        <f t="shared" si="1"/>
        <v/>
      </c>
      <c r="O29" s="736" t="s">
        <v>828</v>
      </c>
      <c r="Q29" s="652">
        <f t="shared" si="2"/>
        <v>0.5</v>
      </c>
      <c r="R29" s="652">
        <f t="shared" si="3"/>
        <v>0</v>
      </c>
    </row>
    <row r="30" spans="1:18">
      <c r="A30" s="635" t="s">
        <v>490</v>
      </c>
      <c r="B30" s="636" t="s">
        <v>245</v>
      </c>
      <c r="C30" s="640"/>
      <c r="D30" s="640"/>
      <c r="E30" s="3">
        <v>10</v>
      </c>
      <c r="F30" s="734">
        <f t="shared" si="5"/>
        <v>0.05</v>
      </c>
      <c r="G30" s="266">
        <v>1</v>
      </c>
      <c r="H30" s="8"/>
      <c r="I30" s="5"/>
      <c r="J30" s="401">
        <f t="shared" si="0"/>
        <v>0.5</v>
      </c>
      <c r="K30" s="2"/>
      <c r="L30" s="8"/>
      <c r="M30" s="7"/>
      <c r="N30" s="9" t="str">
        <f t="shared" si="1"/>
        <v/>
      </c>
      <c r="O30" s="736" t="s">
        <v>828</v>
      </c>
      <c r="Q30" s="652">
        <f t="shared" si="2"/>
        <v>0.5</v>
      </c>
      <c r="R30" s="652">
        <f t="shared" si="3"/>
        <v>0</v>
      </c>
    </row>
    <row r="31" spans="1:18">
      <c r="A31" s="635" t="s">
        <v>498</v>
      </c>
      <c r="B31" s="636" t="s">
        <v>245</v>
      </c>
      <c r="C31" s="640"/>
      <c r="D31" s="640"/>
      <c r="E31" s="3">
        <v>2</v>
      </c>
      <c r="F31" s="734">
        <f t="shared" si="5"/>
        <v>0.05</v>
      </c>
      <c r="G31" s="266">
        <v>1</v>
      </c>
      <c r="H31" s="8"/>
      <c r="I31" s="5"/>
      <c r="J31" s="401">
        <f t="shared" si="0"/>
        <v>0.1</v>
      </c>
      <c r="K31" s="2"/>
      <c r="L31" s="8"/>
      <c r="M31" s="7"/>
      <c r="N31" s="9" t="str">
        <f t="shared" si="1"/>
        <v/>
      </c>
      <c r="O31" s="736" t="s">
        <v>831</v>
      </c>
      <c r="Q31" s="652">
        <f t="shared" si="2"/>
        <v>0.1</v>
      </c>
      <c r="R31" s="652">
        <f t="shared" si="3"/>
        <v>0</v>
      </c>
    </row>
    <row r="32" spans="1:18">
      <c r="A32" s="635" t="s">
        <v>502</v>
      </c>
      <c r="B32" s="636" t="s">
        <v>246</v>
      </c>
      <c r="C32" s="640"/>
      <c r="D32" s="640"/>
      <c r="E32" s="3">
        <v>10</v>
      </c>
      <c r="F32" s="734">
        <f t="shared" si="5"/>
        <v>0.05</v>
      </c>
      <c r="G32" s="266">
        <v>1</v>
      </c>
      <c r="H32" s="8"/>
      <c r="I32" s="5"/>
      <c r="J32" s="401">
        <f t="shared" si="0"/>
        <v>0.5</v>
      </c>
      <c r="K32" s="2"/>
      <c r="L32" s="8"/>
      <c r="M32" s="7"/>
      <c r="N32" s="9" t="str">
        <f t="shared" si="1"/>
        <v/>
      </c>
      <c r="O32" s="736" t="s">
        <v>828</v>
      </c>
      <c r="Q32" s="652">
        <f t="shared" si="2"/>
        <v>0.5</v>
      </c>
      <c r="R32" s="652">
        <f t="shared" si="3"/>
        <v>0</v>
      </c>
    </row>
    <row r="33" spans="1:18">
      <c r="A33" s="635" t="s">
        <v>502</v>
      </c>
      <c r="B33" s="636" t="s">
        <v>74</v>
      </c>
      <c r="C33" s="640"/>
      <c r="D33" s="640"/>
      <c r="E33" s="3">
        <v>10</v>
      </c>
      <c r="F33" s="734">
        <f t="shared" si="5"/>
        <v>0.05</v>
      </c>
      <c r="G33" s="266">
        <v>1</v>
      </c>
      <c r="H33" s="8"/>
      <c r="I33" s="5"/>
      <c r="J33" s="401">
        <f t="shared" si="0"/>
        <v>0.5</v>
      </c>
      <c r="K33" s="2"/>
      <c r="L33" s="8"/>
      <c r="M33" s="7"/>
      <c r="N33" s="9" t="str">
        <f t="shared" si="1"/>
        <v/>
      </c>
      <c r="O33" s="736" t="s">
        <v>828</v>
      </c>
      <c r="Q33" s="652">
        <f t="shared" si="2"/>
        <v>0.5</v>
      </c>
      <c r="R33" s="652">
        <f t="shared" si="3"/>
        <v>0</v>
      </c>
    </row>
    <row r="34" spans="1:18">
      <c r="A34" s="635" t="s">
        <v>502</v>
      </c>
      <c r="B34" s="636" t="s">
        <v>247</v>
      </c>
      <c r="C34" s="640"/>
      <c r="D34" s="640"/>
      <c r="E34" s="3">
        <v>10</v>
      </c>
      <c r="F34" s="734">
        <f t="shared" si="5"/>
        <v>0.05</v>
      </c>
      <c r="G34" s="266">
        <v>1</v>
      </c>
      <c r="H34" s="8"/>
      <c r="I34" s="5"/>
      <c r="J34" s="401">
        <f t="shared" si="0"/>
        <v>0.5</v>
      </c>
      <c r="K34" s="2"/>
      <c r="L34" s="8"/>
      <c r="M34" s="7"/>
      <c r="N34" s="9" t="str">
        <f t="shared" si="1"/>
        <v/>
      </c>
      <c r="O34" s="736" t="s">
        <v>828</v>
      </c>
      <c r="Q34" s="652">
        <f t="shared" si="2"/>
        <v>0.5</v>
      </c>
      <c r="R34" s="652">
        <f t="shared" si="3"/>
        <v>0</v>
      </c>
    </row>
    <row r="35" spans="1:18">
      <c r="A35" s="635" t="s">
        <v>502</v>
      </c>
      <c r="B35" s="636" t="s">
        <v>248</v>
      </c>
      <c r="C35" s="640"/>
      <c r="D35" s="640"/>
      <c r="E35" s="3">
        <v>10</v>
      </c>
      <c r="F35" s="734">
        <f t="shared" si="5"/>
        <v>0.05</v>
      </c>
      <c r="G35" s="266">
        <v>1</v>
      </c>
      <c r="H35" s="8"/>
      <c r="I35" s="5"/>
      <c r="J35" s="401">
        <f t="shared" si="0"/>
        <v>0.5</v>
      </c>
      <c r="K35" s="2"/>
      <c r="L35" s="8"/>
      <c r="M35" s="7"/>
      <c r="N35" s="9" t="str">
        <f t="shared" si="1"/>
        <v/>
      </c>
      <c r="O35" s="736" t="s">
        <v>828</v>
      </c>
      <c r="Q35" s="652">
        <f t="shared" si="2"/>
        <v>0.5</v>
      </c>
      <c r="R35" s="652">
        <f t="shared" si="3"/>
        <v>0</v>
      </c>
    </row>
    <row r="36" spans="1:18">
      <c r="A36" s="635" t="s">
        <v>502</v>
      </c>
      <c r="B36" s="636" t="s">
        <v>196</v>
      </c>
      <c r="C36" s="640"/>
      <c r="D36" s="640"/>
      <c r="E36" s="3">
        <v>10</v>
      </c>
      <c r="F36" s="734">
        <f t="shared" si="5"/>
        <v>0.05</v>
      </c>
      <c r="G36" s="266">
        <v>1</v>
      </c>
      <c r="H36" s="8"/>
      <c r="I36" s="5"/>
      <c r="J36" s="401">
        <f t="shared" si="0"/>
        <v>0.5</v>
      </c>
      <c r="K36" s="2"/>
      <c r="L36" s="8"/>
      <c r="M36" s="7"/>
      <c r="N36" s="9" t="str">
        <f t="shared" si="1"/>
        <v/>
      </c>
      <c r="O36" s="736" t="s">
        <v>828</v>
      </c>
      <c r="Q36" s="652">
        <f t="shared" si="2"/>
        <v>0.5</v>
      </c>
      <c r="R36" s="652">
        <f t="shared" si="3"/>
        <v>0</v>
      </c>
    </row>
    <row r="37" spans="1:18">
      <c r="A37" s="635" t="s">
        <v>502</v>
      </c>
      <c r="B37" s="636" t="s">
        <v>197</v>
      </c>
      <c r="C37" s="640"/>
      <c r="D37" s="640"/>
      <c r="E37" s="3">
        <v>10</v>
      </c>
      <c r="F37" s="734">
        <f t="shared" si="5"/>
        <v>0.05</v>
      </c>
      <c r="G37" s="266">
        <v>1</v>
      </c>
      <c r="H37" s="8"/>
      <c r="I37" s="5"/>
      <c r="J37" s="401">
        <f t="shared" si="0"/>
        <v>0.5</v>
      </c>
      <c r="K37" s="2"/>
      <c r="L37" s="8"/>
      <c r="M37" s="7"/>
      <c r="N37" s="9" t="str">
        <f t="shared" si="1"/>
        <v/>
      </c>
      <c r="O37" s="736" t="s">
        <v>828</v>
      </c>
      <c r="Q37" s="652">
        <f t="shared" si="2"/>
        <v>0.5</v>
      </c>
      <c r="R37" s="652">
        <f t="shared" si="3"/>
        <v>0</v>
      </c>
    </row>
    <row r="38" spans="1:18">
      <c r="A38" s="635" t="s">
        <v>502</v>
      </c>
      <c r="B38" s="636" t="s">
        <v>199</v>
      </c>
      <c r="C38" s="640"/>
      <c r="D38" s="640"/>
      <c r="E38" s="3">
        <v>10</v>
      </c>
      <c r="F38" s="734">
        <f t="shared" si="5"/>
        <v>0.05</v>
      </c>
      <c r="G38" s="266">
        <v>1</v>
      </c>
      <c r="H38" s="8"/>
      <c r="I38" s="5"/>
      <c r="J38" s="401">
        <f t="shared" si="0"/>
        <v>0.5</v>
      </c>
      <c r="K38" s="2"/>
      <c r="L38" s="8"/>
      <c r="M38" s="7"/>
      <c r="N38" s="9" t="str">
        <f t="shared" si="1"/>
        <v/>
      </c>
      <c r="O38" s="736" t="s">
        <v>828</v>
      </c>
      <c r="Q38" s="652">
        <f t="shared" si="2"/>
        <v>0.5</v>
      </c>
      <c r="R38" s="652">
        <f t="shared" si="3"/>
        <v>0</v>
      </c>
    </row>
    <row r="39" spans="1:18">
      <c r="A39" s="635" t="s">
        <v>502</v>
      </c>
      <c r="B39" s="636" t="s">
        <v>201</v>
      </c>
      <c r="C39" s="640"/>
      <c r="D39" s="640"/>
      <c r="E39" s="3">
        <v>10</v>
      </c>
      <c r="F39" s="734">
        <f t="shared" si="5"/>
        <v>0.05</v>
      </c>
      <c r="G39" s="266">
        <v>1</v>
      </c>
      <c r="H39" s="8"/>
      <c r="I39" s="5"/>
      <c r="J39" s="401">
        <f t="shared" si="0"/>
        <v>0.5</v>
      </c>
      <c r="K39" s="2"/>
      <c r="L39" s="8"/>
      <c r="M39" s="7"/>
      <c r="N39" s="9" t="str">
        <f t="shared" si="1"/>
        <v/>
      </c>
      <c r="O39" s="736" t="s">
        <v>828</v>
      </c>
      <c r="Q39" s="652">
        <f t="shared" si="2"/>
        <v>0.5</v>
      </c>
      <c r="R39" s="652">
        <f t="shared" si="3"/>
        <v>0</v>
      </c>
    </row>
    <row r="40" spans="1:18">
      <c r="A40" s="635" t="s">
        <v>502</v>
      </c>
      <c r="B40" s="636" t="s">
        <v>202</v>
      </c>
      <c r="C40" s="640"/>
      <c r="D40" s="640"/>
      <c r="E40" s="3">
        <v>10</v>
      </c>
      <c r="F40" s="734">
        <f t="shared" si="5"/>
        <v>0.05</v>
      </c>
      <c r="G40" s="266">
        <v>1</v>
      </c>
      <c r="H40" s="8"/>
      <c r="I40" s="5"/>
      <c r="J40" s="401">
        <f t="shared" si="0"/>
        <v>0.5</v>
      </c>
      <c r="K40" s="2"/>
      <c r="L40" s="8"/>
      <c r="M40" s="7"/>
      <c r="N40" s="9" t="str">
        <f t="shared" si="1"/>
        <v/>
      </c>
      <c r="O40" s="736" t="s">
        <v>828</v>
      </c>
      <c r="Q40" s="652">
        <f t="shared" si="2"/>
        <v>0.5</v>
      </c>
      <c r="R40" s="652">
        <f t="shared" si="3"/>
        <v>0</v>
      </c>
    </row>
    <row r="41" spans="1:18">
      <c r="A41" s="635" t="s">
        <v>502</v>
      </c>
      <c r="B41" s="636" t="s">
        <v>205</v>
      </c>
      <c r="C41" s="640"/>
      <c r="D41" s="640"/>
      <c r="E41" s="3">
        <v>10</v>
      </c>
      <c r="F41" s="734">
        <f t="shared" si="5"/>
        <v>0.05</v>
      </c>
      <c r="G41" s="266">
        <v>1</v>
      </c>
      <c r="H41" s="8"/>
      <c r="I41" s="5"/>
      <c r="J41" s="401">
        <f t="shared" si="0"/>
        <v>0.5</v>
      </c>
      <c r="K41" s="2"/>
      <c r="L41" s="8"/>
      <c r="M41" s="7"/>
      <c r="N41" s="9" t="str">
        <f t="shared" si="1"/>
        <v/>
      </c>
      <c r="O41" s="736" t="s">
        <v>828</v>
      </c>
      <c r="Q41" s="652">
        <f t="shared" si="2"/>
        <v>0.5</v>
      </c>
      <c r="R41" s="652">
        <f t="shared" si="3"/>
        <v>0</v>
      </c>
    </row>
    <row r="42" spans="1:18">
      <c r="A42" s="635" t="s">
        <v>502</v>
      </c>
      <c r="B42" s="636" t="s">
        <v>207</v>
      </c>
      <c r="C42" s="640"/>
      <c r="D42" s="640"/>
      <c r="E42" s="3">
        <v>10</v>
      </c>
      <c r="F42" s="734">
        <f t="shared" si="5"/>
        <v>0.05</v>
      </c>
      <c r="G42" s="266">
        <v>1</v>
      </c>
      <c r="H42" s="8"/>
      <c r="I42" s="5"/>
      <c r="J42" s="401">
        <f t="shared" si="0"/>
        <v>0.5</v>
      </c>
      <c r="K42" s="2"/>
      <c r="L42" s="8"/>
      <c r="M42" s="7"/>
      <c r="N42" s="9" t="str">
        <f t="shared" si="1"/>
        <v/>
      </c>
      <c r="O42" s="736" t="s">
        <v>828</v>
      </c>
      <c r="Q42" s="652">
        <f t="shared" si="2"/>
        <v>0.5</v>
      </c>
      <c r="R42" s="652">
        <f t="shared" si="3"/>
        <v>0</v>
      </c>
    </row>
    <row r="43" spans="1:18">
      <c r="A43" s="635" t="s">
        <v>502</v>
      </c>
      <c r="B43" s="636" t="s">
        <v>209</v>
      </c>
      <c r="C43" s="640"/>
      <c r="D43" s="640"/>
      <c r="E43" s="3">
        <v>10</v>
      </c>
      <c r="F43" s="734">
        <f t="shared" si="5"/>
        <v>0.05</v>
      </c>
      <c r="G43" s="266">
        <v>1</v>
      </c>
      <c r="H43" s="8"/>
      <c r="I43" s="5"/>
      <c r="J43" s="401">
        <f t="shared" si="0"/>
        <v>0.5</v>
      </c>
      <c r="K43" s="2"/>
      <c r="L43" s="8"/>
      <c r="M43" s="7"/>
      <c r="N43" s="9" t="str">
        <f t="shared" si="1"/>
        <v/>
      </c>
      <c r="O43" s="736" t="s">
        <v>828</v>
      </c>
      <c r="Q43" s="652">
        <f t="shared" si="2"/>
        <v>0.5</v>
      </c>
      <c r="R43" s="652">
        <f t="shared" si="3"/>
        <v>0</v>
      </c>
    </row>
    <row r="44" spans="1:18">
      <c r="A44" s="635" t="s">
        <v>505</v>
      </c>
      <c r="B44" s="636" t="s">
        <v>209</v>
      </c>
      <c r="C44" s="640"/>
      <c r="D44" s="640"/>
      <c r="E44" s="3">
        <v>1</v>
      </c>
      <c r="F44" s="734">
        <f>0.5/2</f>
        <v>0.25</v>
      </c>
      <c r="G44" s="266">
        <v>1</v>
      </c>
      <c r="H44" s="8"/>
      <c r="I44" s="5"/>
      <c r="J44" s="401">
        <f t="shared" si="0"/>
        <v>0.25</v>
      </c>
      <c r="K44" s="2"/>
      <c r="L44" s="8"/>
      <c r="M44" s="7"/>
      <c r="N44" s="9" t="str">
        <f t="shared" si="1"/>
        <v/>
      </c>
      <c r="O44" s="736" t="s">
        <v>832</v>
      </c>
      <c r="Q44" s="652">
        <f t="shared" si="2"/>
        <v>0.25</v>
      </c>
      <c r="R44" s="652">
        <f t="shared" si="3"/>
        <v>0</v>
      </c>
    </row>
    <row r="45" spans="1:18">
      <c r="A45" s="635" t="s">
        <v>711</v>
      </c>
      <c r="B45" s="636" t="s">
        <v>211</v>
      </c>
      <c r="C45" s="640"/>
      <c r="D45" s="640"/>
      <c r="E45" s="3">
        <v>10</v>
      </c>
      <c r="F45" s="734">
        <f>0.1/2</f>
        <v>0.05</v>
      </c>
      <c r="G45" s="266">
        <v>1</v>
      </c>
      <c r="H45" s="8"/>
      <c r="I45" s="5"/>
      <c r="J45" s="401">
        <f t="shared" si="0"/>
        <v>0.5</v>
      </c>
      <c r="K45" s="2"/>
      <c r="L45" s="8"/>
      <c r="M45" s="7"/>
      <c r="N45" s="9" t="str">
        <f t="shared" si="1"/>
        <v/>
      </c>
      <c r="O45" s="736" t="s">
        <v>828</v>
      </c>
      <c r="Q45" s="652">
        <f t="shared" si="2"/>
        <v>0.5</v>
      </c>
      <c r="R45" s="652">
        <f t="shared" si="3"/>
        <v>0</v>
      </c>
    </row>
    <row r="46" spans="1:18">
      <c r="A46" s="635"/>
      <c r="B46" s="636"/>
      <c r="C46" s="640"/>
      <c r="D46" s="640"/>
      <c r="E46" s="3"/>
      <c r="F46" s="734"/>
      <c r="G46" s="266"/>
      <c r="H46" s="8"/>
      <c r="I46" s="5"/>
      <c r="J46" s="401">
        <f t="shared" si="0"/>
        <v>0</v>
      </c>
      <c r="K46" s="2"/>
      <c r="L46" s="8"/>
      <c r="M46" s="7"/>
      <c r="N46" s="9" t="str">
        <f t="shared" si="1"/>
        <v/>
      </c>
      <c r="O46" s="736"/>
      <c r="Q46" s="652">
        <f t="shared" si="2"/>
        <v>0</v>
      </c>
      <c r="R46" s="652">
        <f t="shared" si="3"/>
        <v>0</v>
      </c>
    </row>
    <row r="47" spans="1:18">
      <c r="A47" s="635" t="s">
        <v>715</v>
      </c>
      <c r="B47" s="636" t="s">
        <v>217</v>
      </c>
      <c r="C47" s="640" t="s">
        <v>785</v>
      </c>
      <c r="D47" s="640" t="s">
        <v>786</v>
      </c>
      <c r="E47" s="3">
        <v>1</v>
      </c>
      <c r="F47" s="734">
        <f>0.301932367149758/2</f>
        <v>0.15096618357487901</v>
      </c>
      <c r="G47" s="266">
        <v>1</v>
      </c>
      <c r="H47" s="8"/>
      <c r="I47" s="5"/>
      <c r="J47" s="401">
        <f t="shared" si="0"/>
        <v>0.15096618357487901</v>
      </c>
      <c r="K47" s="2"/>
      <c r="L47" s="8"/>
      <c r="M47" s="7"/>
      <c r="N47" s="9" t="str">
        <f t="shared" si="1"/>
        <v/>
      </c>
      <c r="O47" s="736" t="s">
        <v>833</v>
      </c>
      <c r="Q47" s="652">
        <f t="shared" si="2"/>
        <v>0.15096618357487901</v>
      </c>
      <c r="R47" s="652">
        <f t="shared" si="3"/>
        <v>0</v>
      </c>
    </row>
    <row r="48" spans="1:18">
      <c r="A48" s="635" t="s">
        <v>719</v>
      </c>
      <c r="B48" s="636" t="s">
        <v>217</v>
      </c>
      <c r="C48" s="640" t="s">
        <v>785</v>
      </c>
      <c r="D48" s="640" t="s">
        <v>787</v>
      </c>
      <c r="E48" s="3">
        <v>1</v>
      </c>
      <c r="F48" s="734">
        <f>0.605180343742435/2</f>
        <v>0.30259017187121751</v>
      </c>
      <c r="G48" s="266">
        <v>1</v>
      </c>
      <c r="H48" s="8"/>
      <c r="I48" s="5"/>
      <c r="J48" s="401">
        <f t="shared" si="0"/>
        <v>0.30259017187121751</v>
      </c>
      <c r="K48" s="2"/>
      <c r="L48" s="8"/>
      <c r="M48" s="7"/>
      <c r="N48" s="9" t="str">
        <f t="shared" si="1"/>
        <v/>
      </c>
      <c r="O48" s="736" t="s">
        <v>833</v>
      </c>
      <c r="Q48" s="652">
        <f t="shared" si="2"/>
        <v>0.30259017187121751</v>
      </c>
      <c r="R48" s="652">
        <f t="shared" si="3"/>
        <v>0</v>
      </c>
    </row>
    <row r="49" spans="1:18">
      <c r="A49" s="635" t="s">
        <v>722</v>
      </c>
      <c r="B49" s="636" t="s">
        <v>222</v>
      </c>
      <c r="C49" s="640"/>
      <c r="D49" s="640"/>
      <c r="E49" s="3">
        <v>10</v>
      </c>
      <c r="F49" s="734">
        <f>1.4/E49/2</f>
        <v>6.9999999999999993E-2</v>
      </c>
      <c r="G49" s="266">
        <v>1</v>
      </c>
      <c r="H49" s="8"/>
      <c r="I49" s="5"/>
      <c r="J49" s="401">
        <f t="shared" si="0"/>
        <v>0.7</v>
      </c>
      <c r="K49" s="2"/>
      <c r="L49" s="8"/>
      <c r="M49" s="7"/>
      <c r="N49" s="9" t="str">
        <f t="shared" si="1"/>
        <v/>
      </c>
      <c r="O49" s="736" t="s">
        <v>833</v>
      </c>
      <c r="Q49" s="652">
        <f t="shared" si="2"/>
        <v>0.7</v>
      </c>
      <c r="R49" s="652">
        <f t="shared" si="3"/>
        <v>0</v>
      </c>
    </row>
    <row r="50" spans="1:18">
      <c r="A50" s="635" t="s">
        <v>725</v>
      </c>
      <c r="B50" s="636" t="s">
        <v>222</v>
      </c>
      <c r="C50" s="640"/>
      <c r="D50" s="640"/>
      <c r="E50" s="3">
        <v>10</v>
      </c>
      <c r="F50" s="734">
        <f>2/E50/2</f>
        <v>0.1</v>
      </c>
      <c r="G50" s="266">
        <v>1</v>
      </c>
      <c r="H50" s="8"/>
      <c r="I50" s="5"/>
      <c r="J50" s="401">
        <f t="shared" si="0"/>
        <v>1</v>
      </c>
      <c r="K50" s="2"/>
      <c r="L50" s="8"/>
      <c r="M50" s="7"/>
      <c r="N50" s="9" t="str">
        <f t="shared" si="1"/>
        <v/>
      </c>
      <c r="O50" s="736" t="s">
        <v>833</v>
      </c>
      <c r="Q50" s="652">
        <f t="shared" si="2"/>
        <v>1</v>
      </c>
      <c r="R50" s="652">
        <f t="shared" si="3"/>
        <v>0</v>
      </c>
    </row>
    <row r="51" spans="1:18">
      <c r="A51" s="635" t="s">
        <v>725</v>
      </c>
      <c r="B51" s="636" t="s">
        <v>224</v>
      </c>
      <c r="C51" s="640"/>
      <c r="D51" s="640"/>
      <c r="E51" s="3">
        <v>10</v>
      </c>
      <c r="F51" s="734">
        <f>2.2/E51/2</f>
        <v>0.11000000000000001</v>
      </c>
      <c r="G51" s="266">
        <v>1</v>
      </c>
      <c r="H51" s="8"/>
      <c r="I51" s="5"/>
      <c r="J51" s="401">
        <f t="shared" si="0"/>
        <v>1.1000000000000001</v>
      </c>
      <c r="K51" s="2"/>
      <c r="L51" s="8"/>
      <c r="M51" s="7"/>
      <c r="N51" s="9" t="str">
        <f t="shared" si="1"/>
        <v/>
      </c>
      <c r="O51" s="736" t="s">
        <v>833</v>
      </c>
      <c r="Q51" s="652">
        <f t="shared" si="2"/>
        <v>1.1000000000000001</v>
      </c>
      <c r="R51" s="652">
        <f t="shared" si="3"/>
        <v>0</v>
      </c>
    </row>
    <row r="52" spans="1:18">
      <c r="A52" s="635" t="s">
        <v>725</v>
      </c>
      <c r="B52" s="636" t="s">
        <v>226</v>
      </c>
      <c r="C52" s="640"/>
      <c r="D52" s="640"/>
      <c r="E52" s="3">
        <v>10</v>
      </c>
      <c r="F52" s="734">
        <f>2/E52/2</f>
        <v>0.1</v>
      </c>
      <c r="G52" s="266">
        <v>1</v>
      </c>
      <c r="H52" s="8"/>
      <c r="I52" s="5"/>
      <c r="J52" s="401">
        <f t="shared" si="0"/>
        <v>1</v>
      </c>
      <c r="K52" s="2"/>
      <c r="L52" s="8"/>
      <c r="M52" s="7"/>
      <c r="N52" s="9" t="str">
        <f t="shared" si="1"/>
        <v/>
      </c>
      <c r="O52" s="736" t="s">
        <v>833</v>
      </c>
      <c r="Q52" s="652">
        <f t="shared" si="2"/>
        <v>1</v>
      </c>
      <c r="R52" s="652">
        <f t="shared" si="3"/>
        <v>0</v>
      </c>
    </row>
    <row r="53" spans="1:18">
      <c r="A53" s="635" t="s">
        <v>728</v>
      </c>
      <c r="B53" s="636" t="s">
        <v>224</v>
      </c>
      <c r="C53" s="640" t="s">
        <v>785</v>
      </c>
      <c r="D53" s="640" t="s">
        <v>788</v>
      </c>
      <c r="E53" s="3">
        <v>1</v>
      </c>
      <c r="F53" s="734">
        <f>0.303030303030303/2</f>
        <v>0.15151515151515149</v>
      </c>
      <c r="G53" s="266">
        <v>1</v>
      </c>
      <c r="H53" s="8"/>
      <c r="I53" s="5"/>
      <c r="J53" s="401">
        <f t="shared" si="0"/>
        <v>0.15151515151515149</v>
      </c>
      <c r="K53" s="2"/>
      <c r="L53" s="8"/>
      <c r="M53" s="7"/>
      <c r="N53" s="9" t="str">
        <f t="shared" si="1"/>
        <v/>
      </c>
      <c r="O53" s="736" t="s">
        <v>833</v>
      </c>
      <c r="Q53" s="652">
        <f t="shared" si="2"/>
        <v>0.15151515151515149</v>
      </c>
      <c r="R53" s="652">
        <f t="shared" si="3"/>
        <v>0</v>
      </c>
    </row>
    <row r="54" spans="1:18">
      <c r="A54" s="635" t="s">
        <v>728</v>
      </c>
      <c r="B54" s="636" t="s">
        <v>226</v>
      </c>
      <c r="C54" s="640" t="s">
        <v>785</v>
      </c>
      <c r="D54" s="640" t="s">
        <v>788</v>
      </c>
      <c r="E54" s="3">
        <v>1</v>
      </c>
      <c r="F54" s="734">
        <f>0.303030303030303/2</f>
        <v>0.15151515151515149</v>
      </c>
      <c r="G54" s="266">
        <v>1</v>
      </c>
      <c r="H54" s="8"/>
      <c r="I54" s="5"/>
      <c r="J54" s="401">
        <f t="shared" si="0"/>
        <v>0.15151515151515149</v>
      </c>
      <c r="K54" s="2"/>
      <c r="L54" s="8"/>
      <c r="M54" s="7"/>
      <c r="N54" s="9" t="str">
        <f t="shared" si="1"/>
        <v/>
      </c>
      <c r="O54" s="736" t="s">
        <v>833</v>
      </c>
      <c r="Q54" s="652">
        <f t="shared" si="2"/>
        <v>0.15151515151515149</v>
      </c>
      <c r="R54" s="652">
        <f t="shared" si="3"/>
        <v>0</v>
      </c>
    </row>
    <row r="55" spans="1:18">
      <c r="A55" s="635" t="s">
        <v>732</v>
      </c>
      <c r="B55" s="636" t="s">
        <v>226</v>
      </c>
      <c r="C55" s="640"/>
      <c r="D55" s="640"/>
      <c r="E55" s="3">
        <v>1</v>
      </c>
      <c r="F55" s="734">
        <f>0.6/2</f>
        <v>0.3</v>
      </c>
      <c r="G55" s="266">
        <v>1</v>
      </c>
      <c r="H55" s="8"/>
      <c r="I55" s="5"/>
      <c r="J55" s="401">
        <f t="shared" si="0"/>
        <v>0.3</v>
      </c>
      <c r="K55" s="2"/>
      <c r="L55" s="8"/>
      <c r="M55" s="7"/>
      <c r="N55" s="9" t="str">
        <f t="shared" si="1"/>
        <v/>
      </c>
      <c r="O55" s="736" t="s">
        <v>833</v>
      </c>
      <c r="Q55" s="652">
        <f t="shared" si="2"/>
        <v>0.3</v>
      </c>
      <c r="R55" s="652">
        <f t="shared" si="3"/>
        <v>0</v>
      </c>
    </row>
    <row r="56" spans="1:18">
      <c r="A56" s="635" t="s">
        <v>734</v>
      </c>
      <c r="B56" s="636" t="s">
        <v>226</v>
      </c>
      <c r="C56" s="640"/>
      <c r="D56" s="640"/>
      <c r="E56" s="3">
        <v>1</v>
      </c>
      <c r="F56" s="734">
        <f>0.2/2</f>
        <v>0.1</v>
      </c>
      <c r="G56" s="266">
        <v>1</v>
      </c>
      <c r="H56" s="8"/>
      <c r="I56" s="5"/>
      <c r="J56" s="401">
        <f t="shared" si="0"/>
        <v>0.1</v>
      </c>
      <c r="K56" s="2"/>
      <c r="L56" s="8"/>
      <c r="M56" s="7"/>
      <c r="N56" s="9" t="str">
        <f t="shared" si="1"/>
        <v/>
      </c>
      <c r="O56" s="736" t="s">
        <v>833</v>
      </c>
      <c r="Q56" s="652">
        <f t="shared" si="2"/>
        <v>0.1</v>
      </c>
      <c r="R56" s="652">
        <f t="shared" si="3"/>
        <v>0</v>
      </c>
    </row>
    <row r="57" spans="1:18">
      <c r="A57" s="635" t="s">
        <v>736</v>
      </c>
      <c r="B57" s="636" t="s">
        <v>226</v>
      </c>
      <c r="C57" s="640" t="s">
        <v>789</v>
      </c>
      <c r="D57" s="640" t="s">
        <v>790</v>
      </c>
      <c r="E57" s="3">
        <v>1</v>
      </c>
      <c r="F57" s="734">
        <f>(0.4+0.4)/2</f>
        <v>0.4</v>
      </c>
      <c r="G57" s="266">
        <v>1</v>
      </c>
      <c r="H57" s="8"/>
      <c r="I57" s="5"/>
      <c r="J57" s="401">
        <f t="shared" si="0"/>
        <v>0.4</v>
      </c>
      <c r="K57" s="2"/>
      <c r="L57" s="8"/>
      <c r="M57" s="7"/>
      <c r="N57" s="9" t="str">
        <f t="shared" si="1"/>
        <v/>
      </c>
      <c r="O57" s="736" t="s">
        <v>833</v>
      </c>
      <c r="Q57" s="652">
        <f t="shared" si="2"/>
        <v>0.4</v>
      </c>
      <c r="R57" s="652">
        <f t="shared" si="3"/>
        <v>0</v>
      </c>
    </row>
    <row r="58" spans="1:18">
      <c r="A58" s="635" t="s">
        <v>739</v>
      </c>
      <c r="B58" s="636" t="s">
        <v>226</v>
      </c>
      <c r="C58" s="640"/>
      <c r="D58" s="640"/>
      <c r="E58" s="3">
        <v>1</v>
      </c>
      <c r="F58" s="734">
        <f>0.4/2</f>
        <v>0.2</v>
      </c>
      <c r="G58" s="266">
        <v>1</v>
      </c>
      <c r="H58" s="8"/>
      <c r="I58" s="5"/>
      <c r="J58" s="401">
        <f t="shared" si="0"/>
        <v>0.2</v>
      </c>
      <c r="K58" s="2"/>
      <c r="L58" s="8"/>
      <c r="M58" s="7"/>
      <c r="N58" s="9" t="str">
        <f t="shared" si="1"/>
        <v/>
      </c>
      <c r="O58" s="736" t="s">
        <v>833</v>
      </c>
      <c r="Q58" s="652">
        <f t="shared" si="2"/>
        <v>0.2</v>
      </c>
      <c r="R58" s="652">
        <f t="shared" si="3"/>
        <v>0</v>
      </c>
    </row>
    <row r="59" spans="1:18">
      <c r="A59" s="635" t="s">
        <v>743</v>
      </c>
      <c r="B59" s="636" t="s">
        <v>228</v>
      </c>
      <c r="C59" s="640"/>
      <c r="D59" s="640"/>
      <c r="E59" s="3">
        <v>1</v>
      </c>
      <c r="F59" s="734">
        <f>0.2/2</f>
        <v>0.1</v>
      </c>
      <c r="G59" s="266">
        <v>1</v>
      </c>
      <c r="H59" s="8"/>
      <c r="I59" s="5"/>
      <c r="J59" s="401">
        <f t="shared" si="0"/>
        <v>0.1</v>
      </c>
      <c r="K59" s="2"/>
      <c r="L59" s="8"/>
      <c r="M59" s="7"/>
      <c r="N59" s="9" t="str">
        <f t="shared" si="1"/>
        <v/>
      </c>
      <c r="O59" s="736" t="s">
        <v>833</v>
      </c>
      <c r="Q59" s="652">
        <f t="shared" si="2"/>
        <v>0.1</v>
      </c>
      <c r="R59" s="652">
        <f t="shared" si="3"/>
        <v>0</v>
      </c>
    </row>
    <row r="60" spans="1:18">
      <c r="A60" s="635" t="s">
        <v>740</v>
      </c>
      <c r="B60" s="636" t="s">
        <v>226</v>
      </c>
      <c r="C60" s="640" t="s">
        <v>791</v>
      </c>
      <c r="D60" s="640"/>
      <c r="E60" s="3">
        <v>10</v>
      </c>
      <c r="F60" s="734">
        <f t="shared" ref="F60:F71" si="6">0.1/E60/2</f>
        <v>5.0000000000000001E-3</v>
      </c>
      <c r="G60" s="266">
        <v>1</v>
      </c>
      <c r="H60" s="8"/>
      <c r="I60" s="5"/>
      <c r="J60" s="401">
        <f t="shared" si="0"/>
        <v>0.05</v>
      </c>
      <c r="K60" s="2"/>
      <c r="L60" s="8"/>
      <c r="M60" s="7"/>
      <c r="N60" s="9" t="str">
        <f t="shared" si="1"/>
        <v/>
      </c>
      <c r="O60" s="736" t="s">
        <v>833</v>
      </c>
      <c r="Q60" s="652">
        <f t="shared" si="2"/>
        <v>0.05</v>
      </c>
      <c r="R60" s="652">
        <f t="shared" si="3"/>
        <v>0</v>
      </c>
    </row>
    <row r="61" spans="1:18">
      <c r="A61" s="635" t="s">
        <v>740</v>
      </c>
      <c r="B61" s="636" t="s">
        <v>228</v>
      </c>
      <c r="C61" s="640" t="s">
        <v>791</v>
      </c>
      <c r="D61" s="640"/>
      <c r="E61" s="3">
        <v>10</v>
      </c>
      <c r="F61" s="734">
        <f t="shared" si="6"/>
        <v>5.0000000000000001E-3</v>
      </c>
      <c r="G61" s="266">
        <v>1</v>
      </c>
      <c r="H61" s="8"/>
      <c r="I61" s="5"/>
      <c r="J61" s="401">
        <f t="shared" si="0"/>
        <v>0.05</v>
      </c>
      <c r="K61" s="2"/>
      <c r="L61" s="8"/>
      <c r="M61" s="7"/>
      <c r="N61" s="9" t="str">
        <f t="shared" si="1"/>
        <v/>
      </c>
      <c r="O61" s="736" t="s">
        <v>833</v>
      </c>
      <c r="Q61" s="652">
        <f t="shared" si="2"/>
        <v>0.05</v>
      </c>
      <c r="R61" s="652">
        <f t="shared" si="3"/>
        <v>0</v>
      </c>
    </row>
    <row r="62" spans="1:18">
      <c r="A62" s="635" t="s">
        <v>740</v>
      </c>
      <c r="B62" s="636" t="s">
        <v>230</v>
      </c>
      <c r="C62" s="640" t="s">
        <v>791</v>
      </c>
      <c r="D62" s="640"/>
      <c r="E62" s="3">
        <v>10</v>
      </c>
      <c r="F62" s="734">
        <f t="shared" si="6"/>
        <v>5.0000000000000001E-3</v>
      </c>
      <c r="G62" s="266">
        <v>1</v>
      </c>
      <c r="H62" s="8"/>
      <c r="I62" s="5"/>
      <c r="J62" s="401">
        <f t="shared" si="0"/>
        <v>0.05</v>
      </c>
      <c r="K62" s="2"/>
      <c r="L62" s="8"/>
      <c r="M62" s="7"/>
      <c r="N62" s="9" t="str">
        <f t="shared" si="1"/>
        <v/>
      </c>
      <c r="O62" s="736" t="s">
        <v>833</v>
      </c>
      <c r="Q62" s="652">
        <f t="shared" si="2"/>
        <v>0.05</v>
      </c>
      <c r="R62" s="652">
        <f t="shared" si="3"/>
        <v>0</v>
      </c>
    </row>
    <row r="63" spans="1:18">
      <c r="A63" s="635" t="s">
        <v>740</v>
      </c>
      <c r="B63" s="636" t="s">
        <v>231</v>
      </c>
      <c r="C63" s="640" t="s">
        <v>791</v>
      </c>
      <c r="D63" s="640"/>
      <c r="E63" s="3">
        <v>10</v>
      </c>
      <c r="F63" s="734">
        <f t="shared" si="6"/>
        <v>5.0000000000000001E-3</v>
      </c>
      <c r="G63" s="266">
        <v>1</v>
      </c>
      <c r="H63" s="8"/>
      <c r="I63" s="5"/>
      <c r="J63" s="401">
        <f t="shared" si="0"/>
        <v>0.05</v>
      </c>
      <c r="K63" s="2"/>
      <c r="L63" s="8"/>
      <c r="M63" s="7"/>
      <c r="N63" s="9" t="str">
        <f t="shared" si="1"/>
        <v/>
      </c>
      <c r="O63" s="736" t="s">
        <v>833</v>
      </c>
      <c r="Q63" s="652">
        <f t="shared" si="2"/>
        <v>0.05</v>
      </c>
      <c r="R63" s="652">
        <f t="shared" si="3"/>
        <v>0</v>
      </c>
    </row>
    <row r="64" spans="1:18">
      <c r="A64" s="635" t="s">
        <v>740</v>
      </c>
      <c r="B64" s="636" t="s">
        <v>233</v>
      </c>
      <c r="C64" s="640" t="s">
        <v>791</v>
      </c>
      <c r="D64" s="640"/>
      <c r="E64" s="3">
        <v>10</v>
      </c>
      <c r="F64" s="734">
        <f t="shared" si="6"/>
        <v>5.0000000000000001E-3</v>
      </c>
      <c r="G64" s="266">
        <v>1</v>
      </c>
      <c r="H64" s="8"/>
      <c r="I64" s="5"/>
      <c r="J64" s="401">
        <f t="shared" si="0"/>
        <v>0.05</v>
      </c>
      <c r="K64" s="2"/>
      <c r="L64" s="8"/>
      <c r="M64" s="7"/>
      <c r="N64" s="9" t="str">
        <f t="shared" si="1"/>
        <v/>
      </c>
      <c r="O64" s="736" t="s">
        <v>833</v>
      </c>
      <c r="Q64" s="652">
        <f t="shared" si="2"/>
        <v>0.05</v>
      </c>
      <c r="R64" s="652">
        <f t="shared" si="3"/>
        <v>0</v>
      </c>
    </row>
    <row r="65" spans="1:18">
      <c r="A65" s="635" t="s">
        <v>740</v>
      </c>
      <c r="B65" s="636" t="s">
        <v>234</v>
      </c>
      <c r="C65" s="640" t="s">
        <v>791</v>
      </c>
      <c r="D65" s="640"/>
      <c r="E65" s="3">
        <v>10</v>
      </c>
      <c r="F65" s="734">
        <f t="shared" si="6"/>
        <v>5.0000000000000001E-3</v>
      </c>
      <c r="G65" s="266">
        <v>1</v>
      </c>
      <c r="H65" s="8"/>
      <c r="I65" s="5"/>
      <c r="J65" s="401">
        <f t="shared" si="0"/>
        <v>0.05</v>
      </c>
      <c r="K65" s="2"/>
      <c r="L65" s="8"/>
      <c r="M65" s="7"/>
      <c r="N65" s="9" t="str">
        <f t="shared" si="1"/>
        <v/>
      </c>
      <c r="O65" s="736" t="s">
        <v>833</v>
      </c>
      <c r="Q65" s="652">
        <f t="shared" si="2"/>
        <v>0.05</v>
      </c>
      <c r="R65" s="652">
        <f t="shared" si="3"/>
        <v>0</v>
      </c>
    </row>
    <row r="66" spans="1:18">
      <c r="A66" s="635" t="s">
        <v>740</v>
      </c>
      <c r="B66" s="636" t="s">
        <v>68</v>
      </c>
      <c r="C66" s="640" t="s">
        <v>791</v>
      </c>
      <c r="D66" s="640"/>
      <c r="E66" s="3">
        <v>10</v>
      </c>
      <c r="F66" s="734">
        <f t="shared" si="6"/>
        <v>5.0000000000000001E-3</v>
      </c>
      <c r="G66" s="266">
        <v>1</v>
      </c>
      <c r="H66" s="8"/>
      <c r="I66" s="5"/>
      <c r="J66" s="401">
        <f t="shared" si="0"/>
        <v>0.05</v>
      </c>
      <c r="K66" s="2"/>
      <c r="L66" s="8"/>
      <c r="M66" s="7"/>
      <c r="N66" s="9" t="str">
        <f t="shared" si="1"/>
        <v/>
      </c>
      <c r="O66" s="736" t="s">
        <v>833</v>
      </c>
      <c r="Q66" s="652">
        <f t="shared" si="2"/>
        <v>0.05</v>
      </c>
      <c r="R66" s="652">
        <f t="shared" si="3"/>
        <v>0</v>
      </c>
    </row>
    <row r="67" spans="1:18">
      <c r="A67" s="635" t="s">
        <v>740</v>
      </c>
      <c r="B67" s="636" t="s">
        <v>235</v>
      </c>
      <c r="C67" s="640" t="s">
        <v>791</v>
      </c>
      <c r="D67" s="640"/>
      <c r="E67" s="3">
        <v>10</v>
      </c>
      <c r="F67" s="734">
        <f t="shared" si="6"/>
        <v>5.0000000000000001E-3</v>
      </c>
      <c r="G67" s="266">
        <v>1</v>
      </c>
      <c r="H67" s="8"/>
      <c r="I67" s="5"/>
      <c r="J67" s="401">
        <f t="shared" si="0"/>
        <v>0.05</v>
      </c>
      <c r="K67" s="2"/>
      <c r="L67" s="8"/>
      <c r="M67" s="7"/>
      <c r="N67" s="9" t="str">
        <f t="shared" si="1"/>
        <v/>
      </c>
      <c r="O67" s="736" t="s">
        <v>833</v>
      </c>
      <c r="Q67" s="652">
        <f t="shared" si="2"/>
        <v>0.05</v>
      </c>
      <c r="R67" s="652">
        <f t="shared" si="3"/>
        <v>0</v>
      </c>
    </row>
    <row r="68" spans="1:18">
      <c r="A68" s="635" t="s">
        <v>740</v>
      </c>
      <c r="B68" s="636" t="s">
        <v>70</v>
      </c>
      <c r="C68" s="640" t="s">
        <v>791</v>
      </c>
      <c r="D68" s="640"/>
      <c r="E68" s="3">
        <v>10</v>
      </c>
      <c r="F68" s="734">
        <f t="shared" si="6"/>
        <v>5.0000000000000001E-3</v>
      </c>
      <c r="G68" s="266">
        <v>1</v>
      </c>
      <c r="H68" s="8"/>
      <c r="I68" s="5"/>
      <c r="J68" s="401">
        <f t="shared" si="0"/>
        <v>0.05</v>
      </c>
      <c r="K68" s="2"/>
      <c r="L68" s="8"/>
      <c r="M68" s="7"/>
      <c r="N68" s="9" t="str">
        <f t="shared" si="1"/>
        <v/>
      </c>
      <c r="O68" s="736" t="s">
        <v>833</v>
      </c>
      <c r="Q68" s="652">
        <f t="shared" si="2"/>
        <v>0.05</v>
      </c>
      <c r="R68" s="652">
        <f t="shared" si="3"/>
        <v>0</v>
      </c>
    </row>
    <row r="69" spans="1:18">
      <c r="A69" s="635" t="s">
        <v>740</v>
      </c>
      <c r="B69" s="636" t="s">
        <v>238</v>
      </c>
      <c r="C69" s="640" t="s">
        <v>791</v>
      </c>
      <c r="D69" s="640"/>
      <c r="E69" s="3">
        <v>10</v>
      </c>
      <c r="F69" s="734">
        <f t="shared" si="6"/>
        <v>5.0000000000000001E-3</v>
      </c>
      <c r="G69" s="266">
        <v>1</v>
      </c>
      <c r="H69" s="8"/>
      <c r="I69" s="5"/>
      <c r="J69" s="401">
        <f t="shared" si="0"/>
        <v>0.05</v>
      </c>
      <c r="K69" s="2"/>
      <c r="L69" s="8"/>
      <c r="M69" s="7"/>
      <c r="N69" s="9" t="str">
        <f t="shared" si="1"/>
        <v/>
      </c>
      <c r="O69" s="736" t="s">
        <v>833</v>
      </c>
      <c r="Q69" s="652">
        <f t="shared" si="2"/>
        <v>0.05</v>
      </c>
      <c r="R69" s="652">
        <f t="shared" si="3"/>
        <v>0</v>
      </c>
    </row>
    <row r="70" spans="1:18">
      <c r="A70" s="635" t="s">
        <v>740</v>
      </c>
      <c r="B70" s="636" t="s">
        <v>240</v>
      </c>
      <c r="C70" s="640" t="s">
        <v>791</v>
      </c>
      <c r="D70" s="640"/>
      <c r="E70" s="3">
        <v>10</v>
      </c>
      <c r="F70" s="734">
        <f t="shared" si="6"/>
        <v>5.0000000000000001E-3</v>
      </c>
      <c r="G70" s="266">
        <v>1</v>
      </c>
      <c r="H70" s="8"/>
      <c r="I70" s="5"/>
      <c r="J70" s="401">
        <f t="shared" ref="J70:J133" si="7">(+F70*G70+H70*I70)*E70</f>
        <v>0.05</v>
      </c>
      <c r="K70" s="2"/>
      <c r="L70" s="8"/>
      <c r="M70" s="7"/>
      <c r="N70" s="9" t="str">
        <f t="shared" ref="N70:N133" si="8">IF(K70=0,"",L70*M70*E70)</f>
        <v/>
      </c>
      <c r="O70" s="736" t="s">
        <v>833</v>
      </c>
      <c r="Q70" s="652">
        <f t="shared" ref="Q70:Q133" si="9">F70*G70*E70</f>
        <v>0.05</v>
      </c>
      <c r="R70" s="652">
        <f t="shared" ref="R70:R133" si="10">H70*E70*I70</f>
        <v>0</v>
      </c>
    </row>
    <row r="71" spans="1:18">
      <c r="A71" s="635" t="s">
        <v>740</v>
      </c>
      <c r="B71" s="636" t="s">
        <v>73</v>
      </c>
      <c r="C71" s="640" t="s">
        <v>791</v>
      </c>
      <c r="D71" s="640"/>
      <c r="E71" s="3">
        <v>10</v>
      </c>
      <c r="F71" s="734">
        <f t="shared" si="6"/>
        <v>5.0000000000000001E-3</v>
      </c>
      <c r="G71" s="266">
        <v>1</v>
      </c>
      <c r="H71" s="8"/>
      <c r="I71" s="5"/>
      <c r="J71" s="401">
        <f t="shared" si="7"/>
        <v>0.05</v>
      </c>
      <c r="K71" s="2"/>
      <c r="L71" s="8"/>
      <c r="M71" s="7"/>
      <c r="N71" s="9" t="str">
        <f t="shared" si="8"/>
        <v/>
      </c>
      <c r="O71" s="736" t="s">
        <v>833</v>
      </c>
      <c r="Q71" s="652">
        <f t="shared" si="9"/>
        <v>0.05</v>
      </c>
      <c r="R71" s="652">
        <f t="shared" si="10"/>
        <v>0</v>
      </c>
    </row>
    <row r="72" spans="1:18">
      <c r="A72" s="635" t="s">
        <v>747</v>
      </c>
      <c r="B72" s="636" t="s">
        <v>220</v>
      </c>
      <c r="C72" s="640" t="s">
        <v>453</v>
      </c>
      <c r="D72" s="640"/>
      <c r="E72" s="3">
        <v>1</v>
      </c>
      <c r="F72" s="734">
        <f>0.400641025641026/2</f>
        <v>0.200320512820513</v>
      </c>
      <c r="G72" s="266">
        <v>1</v>
      </c>
      <c r="H72" s="8"/>
      <c r="I72" s="5"/>
      <c r="J72" s="401">
        <f t="shared" si="7"/>
        <v>0.200320512820513</v>
      </c>
      <c r="K72" s="2"/>
      <c r="L72" s="8"/>
      <c r="M72" s="7"/>
      <c r="N72" s="9" t="str">
        <f t="shared" si="8"/>
        <v/>
      </c>
      <c r="O72" s="736" t="s">
        <v>833</v>
      </c>
      <c r="Q72" s="652">
        <f t="shared" si="9"/>
        <v>0.200320512820513</v>
      </c>
      <c r="R72" s="652">
        <f t="shared" si="10"/>
        <v>0</v>
      </c>
    </row>
    <row r="73" spans="1:18">
      <c r="A73" s="635" t="s">
        <v>747</v>
      </c>
      <c r="B73" s="636" t="s">
        <v>234</v>
      </c>
      <c r="C73" s="640" t="s">
        <v>453</v>
      </c>
      <c r="D73" s="640"/>
      <c r="E73" s="3">
        <v>1</v>
      </c>
      <c r="F73" s="734">
        <f>0.400641025641026/2</f>
        <v>0.200320512820513</v>
      </c>
      <c r="G73" s="266">
        <v>1</v>
      </c>
      <c r="H73" s="8"/>
      <c r="I73" s="5"/>
      <c r="J73" s="401">
        <f t="shared" si="7"/>
        <v>0.200320512820513</v>
      </c>
      <c r="K73" s="2"/>
      <c r="L73" s="8"/>
      <c r="M73" s="7"/>
      <c r="N73" s="9" t="str">
        <f t="shared" si="8"/>
        <v/>
      </c>
      <c r="O73" s="736" t="s">
        <v>833</v>
      </c>
      <c r="Q73" s="652">
        <f t="shared" si="9"/>
        <v>0.200320512820513</v>
      </c>
      <c r="R73" s="652">
        <f t="shared" si="10"/>
        <v>0</v>
      </c>
    </row>
    <row r="74" spans="1:18">
      <c r="A74" s="635" t="s">
        <v>750</v>
      </c>
      <c r="B74" s="636" t="s">
        <v>231</v>
      </c>
      <c r="C74" s="640" t="s">
        <v>515</v>
      </c>
      <c r="D74" s="640" t="s">
        <v>516</v>
      </c>
      <c r="E74" s="3">
        <v>1</v>
      </c>
      <c r="F74" s="734">
        <f>0.1/2</f>
        <v>0.05</v>
      </c>
      <c r="G74" s="266">
        <v>1</v>
      </c>
      <c r="H74" s="8"/>
      <c r="I74" s="5"/>
      <c r="J74" s="401">
        <f t="shared" si="7"/>
        <v>0.05</v>
      </c>
      <c r="K74" s="2"/>
      <c r="L74" s="8"/>
      <c r="M74" s="7"/>
      <c r="N74" s="9" t="str">
        <f t="shared" si="8"/>
        <v/>
      </c>
      <c r="O74" s="736" t="s">
        <v>833</v>
      </c>
      <c r="Q74" s="652">
        <f t="shared" si="9"/>
        <v>0.05</v>
      </c>
      <c r="R74" s="652">
        <f t="shared" si="10"/>
        <v>0</v>
      </c>
    </row>
    <row r="75" spans="1:18">
      <c r="A75" s="635" t="s">
        <v>754</v>
      </c>
      <c r="B75" s="636" t="s">
        <v>233</v>
      </c>
      <c r="C75" s="640" t="s">
        <v>515</v>
      </c>
      <c r="D75" s="640"/>
      <c r="E75" s="3">
        <v>1</v>
      </c>
      <c r="F75" s="734">
        <f>0.1/2</f>
        <v>0.05</v>
      </c>
      <c r="G75" s="266">
        <v>1</v>
      </c>
      <c r="H75" s="8"/>
      <c r="I75" s="5"/>
      <c r="J75" s="401">
        <f t="shared" si="7"/>
        <v>0.05</v>
      </c>
      <c r="K75" s="2"/>
      <c r="L75" s="8"/>
      <c r="M75" s="7"/>
      <c r="N75" s="9" t="str">
        <f t="shared" si="8"/>
        <v/>
      </c>
      <c r="O75" s="736" t="s">
        <v>833</v>
      </c>
      <c r="Q75" s="652">
        <f t="shared" si="9"/>
        <v>0.05</v>
      </c>
      <c r="R75" s="652">
        <f t="shared" si="10"/>
        <v>0</v>
      </c>
    </row>
    <row r="76" spans="1:18">
      <c r="A76" s="635" t="s">
        <v>754</v>
      </c>
      <c r="B76" s="636" t="s">
        <v>235</v>
      </c>
      <c r="C76" s="640" t="s">
        <v>515</v>
      </c>
      <c r="D76" s="640"/>
      <c r="E76" s="3">
        <v>1</v>
      </c>
      <c r="F76" s="734">
        <f>0.1/2</f>
        <v>0.05</v>
      </c>
      <c r="G76" s="266">
        <v>1</v>
      </c>
      <c r="H76" s="8"/>
      <c r="I76" s="5"/>
      <c r="J76" s="401">
        <f t="shared" si="7"/>
        <v>0.05</v>
      </c>
      <c r="K76" s="2"/>
      <c r="L76" s="8"/>
      <c r="M76" s="7"/>
      <c r="N76" s="9" t="str">
        <f t="shared" si="8"/>
        <v/>
      </c>
      <c r="O76" s="736" t="s">
        <v>833</v>
      </c>
      <c r="Q76" s="652">
        <f t="shared" si="9"/>
        <v>0.05</v>
      </c>
      <c r="R76" s="652">
        <f t="shared" si="10"/>
        <v>0</v>
      </c>
    </row>
    <row r="77" spans="1:18">
      <c r="A77" s="635" t="s">
        <v>754</v>
      </c>
      <c r="B77" s="636" t="s">
        <v>238</v>
      </c>
      <c r="C77" s="640" t="s">
        <v>515</v>
      </c>
      <c r="D77" s="640"/>
      <c r="E77" s="3">
        <v>1</v>
      </c>
      <c r="F77" s="734">
        <f>0.1/2</f>
        <v>0.05</v>
      </c>
      <c r="G77" s="266">
        <v>1</v>
      </c>
      <c r="H77" s="8"/>
      <c r="I77" s="5"/>
      <c r="J77" s="401">
        <f t="shared" si="7"/>
        <v>0.05</v>
      </c>
      <c r="K77" s="2"/>
      <c r="L77" s="8"/>
      <c r="M77" s="7"/>
      <c r="N77" s="9" t="str">
        <f t="shared" si="8"/>
        <v/>
      </c>
      <c r="O77" s="736" t="s">
        <v>833</v>
      </c>
      <c r="Q77" s="652">
        <f t="shared" si="9"/>
        <v>0.05</v>
      </c>
      <c r="R77" s="652">
        <f t="shared" si="10"/>
        <v>0</v>
      </c>
    </row>
    <row r="78" spans="1:18">
      <c r="A78" s="635"/>
      <c r="B78" s="636"/>
      <c r="C78" s="640"/>
      <c r="D78" s="640"/>
      <c r="E78" s="3"/>
      <c r="F78" s="734"/>
      <c r="G78" s="266"/>
      <c r="H78" s="8"/>
      <c r="I78" s="5"/>
      <c r="J78" s="401">
        <f t="shared" si="7"/>
        <v>0</v>
      </c>
      <c r="K78" s="2"/>
      <c r="L78" s="8"/>
      <c r="M78" s="7"/>
      <c r="N78" s="9" t="str">
        <f t="shared" si="8"/>
        <v/>
      </c>
      <c r="O78" s="736"/>
      <c r="Q78" s="652">
        <f t="shared" si="9"/>
        <v>0</v>
      </c>
      <c r="R78" s="652">
        <f t="shared" si="10"/>
        <v>0</v>
      </c>
    </row>
    <row r="79" spans="1:18">
      <c r="A79" s="635"/>
      <c r="B79" s="636"/>
      <c r="C79" s="640"/>
      <c r="D79" s="640"/>
      <c r="E79" s="3"/>
      <c r="F79" s="734"/>
      <c r="G79" s="266"/>
      <c r="H79" s="8"/>
      <c r="I79" s="5"/>
      <c r="J79" s="401">
        <f t="shared" si="7"/>
        <v>0</v>
      </c>
      <c r="K79" s="2"/>
      <c r="L79" s="8"/>
      <c r="M79" s="7"/>
      <c r="N79" s="9" t="str">
        <f t="shared" si="8"/>
        <v/>
      </c>
      <c r="O79" s="736"/>
      <c r="Q79" s="652">
        <f t="shared" si="9"/>
        <v>0</v>
      </c>
      <c r="R79" s="652">
        <f t="shared" si="10"/>
        <v>0</v>
      </c>
    </row>
    <row r="80" spans="1:18">
      <c r="A80" s="635"/>
      <c r="B80" s="636"/>
      <c r="C80" s="640"/>
      <c r="D80" s="640"/>
      <c r="E80" s="3"/>
      <c r="F80" s="734"/>
      <c r="G80" s="266"/>
      <c r="H80" s="8"/>
      <c r="I80" s="5"/>
      <c r="J80" s="401">
        <f t="shared" si="7"/>
        <v>0</v>
      </c>
      <c r="K80" s="2"/>
      <c r="L80" s="8"/>
      <c r="M80" s="7"/>
      <c r="N80" s="9" t="str">
        <f t="shared" si="8"/>
        <v/>
      </c>
      <c r="O80" s="736"/>
      <c r="Q80" s="652">
        <f t="shared" si="9"/>
        <v>0</v>
      </c>
      <c r="R80" s="652">
        <f t="shared" si="10"/>
        <v>0</v>
      </c>
    </row>
    <row r="81" spans="1:18">
      <c r="A81" s="635"/>
      <c r="B81" s="636"/>
      <c r="C81" s="640"/>
      <c r="D81" s="640"/>
      <c r="E81" s="3"/>
      <c r="F81" s="734"/>
      <c r="G81" s="266"/>
      <c r="H81" s="8"/>
      <c r="I81" s="5"/>
      <c r="J81" s="401">
        <f t="shared" si="7"/>
        <v>0</v>
      </c>
      <c r="K81" s="2"/>
      <c r="L81" s="8"/>
      <c r="M81" s="7"/>
      <c r="N81" s="9" t="str">
        <f t="shared" si="8"/>
        <v/>
      </c>
      <c r="O81" s="736"/>
      <c r="Q81" s="652">
        <f t="shared" si="9"/>
        <v>0</v>
      </c>
      <c r="R81" s="652">
        <f t="shared" si="10"/>
        <v>0</v>
      </c>
    </row>
    <row r="82" spans="1:18">
      <c r="A82" s="635"/>
      <c r="B82" s="636"/>
      <c r="C82" s="640"/>
      <c r="D82" s="640"/>
      <c r="E82" s="3"/>
      <c r="F82" s="734"/>
      <c r="G82" s="266"/>
      <c r="H82" s="8"/>
      <c r="I82" s="5"/>
      <c r="J82" s="401">
        <f t="shared" si="7"/>
        <v>0</v>
      </c>
      <c r="K82" s="2"/>
      <c r="L82" s="8"/>
      <c r="M82" s="7"/>
      <c r="N82" s="9" t="str">
        <f t="shared" si="8"/>
        <v/>
      </c>
      <c r="O82" s="736"/>
      <c r="Q82" s="652">
        <f t="shared" si="9"/>
        <v>0</v>
      </c>
      <c r="R82" s="652">
        <f t="shared" si="10"/>
        <v>0</v>
      </c>
    </row>
    <row r="83" spans="1:18">
      <c r="A83" s="635"/>
      <c r="B83" s="636"/>
      <c r="C83" s="640"/>
      <c r="D83" s="640"/>
      <c r="E83" s="3"/>
      <c r="F83" s="734"/>
      <c r="G83" s="266"/>
      <c r="H83" s="8"/>
      <c r="I83" s="5"/>
      <c r="J83" s="401">
        <f t="shared" si="7"/>
        <v>0</v>
      </c>
      <c r="K83" s="2"/>
      <c r="L83" s="8"/>
      <c r="M83" s="7"/>
      <c r="N83" s="9" t="str">
        <f t="shared" si="8"/>
        <v/>
      </c>
      <c r="O83" s="736"/>
      <c r="Q83" s="652">
        <f t="shared" si="9"/>
        <v>0</v>
      </c>
      <c r="R83" s="652">
        <f t="shared" si="10"/>
        <v>0</v>
      </c>
    </row>
    <row r="84" spans="1:18">
      <c r="A84" s="635"/>
      <c r="B84" s="636"/>
      <c r="C84" s="640"/>
      <c r="D84" s="640"/>
      <c r="E84" s="3"/>
      <c r="F84" s="734"/>
      <c r="G84" s="266"/>
      <c r="H84" s="8"/>
      <c r="I84" s="5"/>
      <c r="J84" s="401">
        <f t="shared" si="7"/>
        <v>0</v>
      </c>
      <c r="K84" s="2"/>
      <c r="L84" s="8"/>
      <c r="M84" s="7"/>
      <c r="N84" s="9" t="str">
        <f t="shared" si="8"/>
        <v/>
      </c>
      <c r="O84" s="736"/>
      <c r="Q84" s="652">
        <f t="shared" si="9"/>
        <v>0</v>
      </c>
      <c r="R84" s="652">
        <f t="shared" si="10"/>
        <v>0</v>
      </c>
    </row>
    <row r="85" spans="1:18">
      <c r="A85" s="635"/>
      <c r="B85" s="636"/>
      <c r="C85" s="640"/>
      <c r="D85" s="640"/>
      <c r="E85" s="3"/>
      <c r="F85" s="734"/>
      <c r="G85" s="266"/>
      <c r="H85" s="8"/>
      <c r="I85" s="5"/>
      <c r="J85" s="401">
        <f t="shared" si="7"/>
        <v>0</v>
      </c>
      <c r="K85" s="2"/>
      <c r="L85" s="8"/>
      <c r="M85" s="7"/>
      <c r="N85" s="9" t="str">
        <f t="shared" si="8"/>
        <v/>
      </c>
      <c r="O85" s="736"/>
      <c r="Q85" s="652">
        <f t="shared" si="9"/>
        <v>0</v>
      </c>
      <c r="R85" s="652">
        <f t="shared" si="10"/>
        <v>0</v>
      </c>
    </row>
    <row r="86" spans="1:18">
      <c r="A86" s="635"/>
      <c r="B86" s="636"/>
      <c r="C86" s="640"/>
      <c r="D86" s="640"/>
      <c r="E86" s="3"/>
      <c r="F86" s="734"/>
      <c r="G86" s="266"/>
      <c r="H86" s="8"/>
      <c r="I86" s="5"/>
      <c r="J86" s="401">
        <f t="shared" si="7"/>
        <v>0</v>
      </c>
      <c r="K86" s="2"/>
      <c r="L86" s="8"/>
      <c r="M86" s="7"/>
      <c r="N86" s="9" t="str">
        <f t="shared" si="8"/>
        <v/>
      </c>
      <c r="O86" s="736"/>
      <c r="Q86" s="652">
        <f t="shared" si="9"/>
        <v>0</v>
      </c>
      <c r="R86" s="652">
        <f t="shared" si="10"/>
        <v>0</v>
      </c>
    </row>
    <row r="87" spans="1:18">
      <c r="A87" s="642"/>
      <c r="B87" s="643"/>
      <c r="C87" s="640"/>
      <c r="D87" s="640"/>
      <c r="E87" s="3"/>
      <c r="F87" s="734"/>
      <c r="G87" s="266"/>
      <c r="H87" s="8"/>
      <c r="I87" s="5"/>
      <c r="J87" s="401">
        <f t="shared" si="7"/>
        <v>0</v>
      </c>
      <c r="K87" s="2"/>
      <c r="L87" s="8"/>
      <c r="M87" s="7"/>
      <c r="N87" s="9" t="str">
        <f t="shared" si="8"/>
        <v/>
      </c>
      <c r="O87" s="736"/>
      <c r="Q87" s="652">
        <f t="shared" si="9"/>
        <v>0</v>
      </c>
      <c r="R87" s="652">
        <f t="shared" si="10"/>
        <v>0</v>
      </c>
    </row>
    <row r="88" spans="1:18">
      <c r="A88" s="635"/>
      <c r="B88" s="636"/>
      <c r="C88" s="640"/>
      <c r="D88" s="640"/>
      <c r="E88" s="3"/>
      <c r="F88" s="734"/>
      <c r="G88" s="266"/>
      <c r="H88" s="8"/>
      <c r="I88" s="5"/>
      <c r="J88" s="401">
        <f t="shared" si="7"/>
        <v>0</v>
      </c>
      <c r="K88" s="2"/>
      <c r="L88" s="8"/>
      <c r="M88" s="7"/>
      <c r="N88" s="9" t="str">
        <f t="shared" si="8"/>
        <v/>
      </c>
      <c r="O88" s="736"/>
      <c r="Q88" s="652">
        <f t="shared" si="9"/>
        <v>0</v>
      </c>
      <c r="R88" s="652">
        <f t="shared" si="10"/>
        <v>0</v>
      </c>
    </row>
    <row r="89" spans="1:18">
      <c r="A89" s="635"/>
      <c r="B89" s="636"/>
      <c r="C89" s="640"/>
      <c r="D89" s="640"/>
      <c r="E89" s="3"/>
      <c r="F89" s="734"/>
      <c r="G89" s="266"/>
      <c r="H89" s="8"/>
      <c r="I89" s="5"/>
      <c r="J89" s="401">
        <f t="shared" si="7"/>
        <v>0</v>
      </c>
      <c r="K89" s="2"/>
      <c r="L89" s="8"/>
      <c r="M89" s="7"/>
      <c r="N89" s="9" t="str">
        <f t="shared" si="8"/>
        <v/>
      </c>
      <c r="O89" s="736"/>
      <c r="Q89" s="652">
        <f t="shared" si="9"/>
        <v>0</v>
      </c>
      <c r="R89" s="652">
        <f t="shared" si="10"/>
        <v>0</v>
      </c>
    </row>
    <row r="90" spans="1:18">
      <c r="A90" s="635"/>
      <c r="B90" s="636"/>
      <c r="C90" s="640"/>
      <c r="D90" s="640"/>
      <c r="E90" s="3"/>
      <c r="F90" s="734"/>
      <c r="G90" s="266"/>
      <c r="H90" s="8"/>
      <c r="I90" s="5"/>
      <c r="J90" s="401">
        <f t="shared" si="7"/>
        <v>0</v>
      </c>
      <c r="K90" s="2"/>
      <c r="L90" s="8"/>
      <c r="M90" s="7"/>
      <c r="N90" s="9" t="str">
        <f t="shared" si="8"/>
        <v/>
      </c>
      <c r="O90" s="736"/>
      <c r="Q90" s="652">
        <f t="shared" si="9"/>
        <v>0</v>
      </c>
      <c r="R90" s="652">
        <f t="shared" si="10"/>
        <v>0</v>
      </c>
    </row>
    <row r="91" spans="1:18">
      <c r="A91" s="635"/>
      <c r="B91" s="636"/>
      <c r="C91" s="640"/>
      <c r="D91" s="640"/>
      <c r="E91" s="3"/>
      <c r="F91" s="734"/>
      <c r="G91" s="266"/>
      <c r="H91" s="8"/>
      <c r="I91" s="5"/>
      <c r="J91" s="401">
        <f t="shared" si="7"/>
        <v>0</v>
      </c>
      <c r="K91" s="2"/>
      <c r="L91" s="8"/>
      <c r="M91" s="7"/>
      <c r="N91" s="9" t="str">
        <f t="shared" si="8"/>
        <v/>
      </c>
      <c r="O91" s="736"/>
      <c r="Q91" s="652">
        <f t="shared" si="9"/>
        <v>0</v>
      </c>
      <c r="R91" s="652">
        <f t="shared" si="10"/>
        <v>0</v>
      </c>
    </row>
    <row r="92" spans="1:18">
      <c r="A92" s="635"/>
      <c r="B92" s="636"/>
      <c r="C92" s="640"/>
      <c r="D92" s="640"/>
      <c r="E92" s="3"/>
      <c r="F92" s="734"/>
      <c r="G92" s="266"/>
      <c r="H92" s="8"/>
      <c r="I92" s="5"/>
      <c r="J92" s="401">
        <f t="shared" si="7"/>
        <v>0</v>
      </c>
      <c r="K92" s="2"/>
      <c r="L92" s="8"/>
      <c r="M92" s="7"/>
      <c r="N92" s="9" t="str">
        <f t="shared" si="8"/>
        <v/>
      </c>
      <c r="O92" s="736"/>
      <c r="Q92" s="652">
        <f t="shared" si="9"/>
        <v>0</v>
      </c>
      <c r="R92" s="652">
        <f t="shared" si="10"/>
        <v>0</v>
      </c>
    </row>
    <row r="93" spans="1:18">
      <c r="A93" s="635"/>
      <c r="B93" s="636"/>
      <c r="C93" s="640"/>
      <c r="D93" s="640"/>
      <c r="E93" s="3"/>
      <c r="F93" s="734"/>
      <c r="G93" s="266"/>
      <c r="H93" s="8"/>
      <c r="I93" s="5"/>
      <c r="J93" s="401">
        <f t="shared" si="7"/>
        <v>0</v>
      </c>
      <c r="K93" s="2"/>
      <c r="L93" s="8"/>
      <c r="M93" s="7"/>
      <c r="N93" s="9" t="str">
        <f t="shared" si="8"/>
        <v/>
      </c>
      <c r="O93" s="736"/>
      <c r="Q93" s="652">
        <f t="shared" si="9"/>
        <v>0</v>
      </c>
      <c r="R93" s="652">
        <f t="shared" si="10"/>
        <v>0</v>
      </c>
    </row>
    <row r="94" spans="1:18">
      <c r="A94" s="635"/>
      <c r="B94" s="636"/>
      <c r="C94" s="640"/>
      <c r="D94" s="640"/>
      <c r="E94" s="3"/>
      <c r="F94" s="734"/>
      <c r="G94" s="266"/>
      <c r="H94" s="8"/>
      <c r="I94" s="5"/>
      <c r="J94" s="401">
        <f t="shared" si="7"/>
        <v>0</v>
      </c>
      <c r="K94" s="2"/>
      <c r="L94" s="8"/>
      <c r="M94" s="7"/>
      <c r="N94" s="9" t="str">
        <f t="shared" si="8"/>
        <v/>
      </c>
      <c r="O94" s="736"/>
      <c r="Q94" s="652">
        <f t="shared" si="9"/>
        <v>0</v>
      </c>
      <c r="R94" s="652">
        <f t="shared" si="10"/>
        <v>0</v>
      </c>
    </row>
    <row r="95" spans="1:18">
      <c r="A95" s="635"/>
      <c r="B95" s="636"/>
      <c r="C95" s="640"/>
      <c r="D95" s="640"/>
      <c r="E95" s="3"/>
      <c r="F95" s="734"/>
      <c r="G95" s="266"/>
      <c r="H95" s="8"/>
      <c r="I95" s="5"/>
      <c r="J95" s="401">
        <f t="shared" si="7"/>
        <v>0</v>
      </c>
      <c r="K95" s="2"/>
      <c r="L95" s="8"/>
      <c r="M95" s="7"/>
      <c r="N95" s="9" t="str">
        <f t="shared" si="8"/>
        <v/>
      </c>
      <c r="O95" s="736"/>
      <c r="Q95" s="652">
        <f t="shared" si="9"/>
        <v>0</v>
      </c>
      <c r="R95" s="652">
        <f t="shared" si="10"/>
        <v>0</v>
      </c>
    </row>
    <row r="96" spans="1:18">
      <c r="A96" s="635"/>
      <c r="B96" s="636"/>
      <c r="C96" s="640"/>
      <c r="D96" s="640"/>
      <c r="E96" s="3"/>
      <c r="F96" s="734"/>
      <c r="G96" s="266"/>
      <c r="H96" s="8"/>
      <c r="I96" s="5"/>
      <c r="J96" s="401">
        <f t="shared" si="7"/>
        <v>0</v>
      </c>
      <c r="K96" s="2"/>
      <c r="L96" s="8"/>
      <c r="M96" s="7"/>
      <c r="N96" s="9" t="str">
        <f t="shared" si="8"/>
        <v/>
      </c>
      <c r="O96" s="736"/>
      <c r="Q96" s="652">
        <f t="shared" si="9"/>
        <v>0</v>
      </c>
      <c r="R96" s="652">
        <f t="shared" si="10"/>
        <v>0</v>
      </c>
    </row>
    <row r="97" spans="1:18">
      <c r="A97" s="635"/>
      <c r="B97" s="636"/>
      <c r="C97" s="640"/>
      <c r="D97" s="640"/>
      <c r="E97" s="3"/>
      <c r="F97" s="734"/>
      <c r="G97" s="266"/>
      <c r="H97" s="8"/>
      <c r="I97" s="5"/>
      <c r="J97" s="401">
        <f t="shared" si="7"/>
        <v>0</v>
      </c>
      <c r="K97" s="2"/>
      <c r="L97" s="8"/>
      <c r="M97" s="7"/>
      <c r="N97" s="9" t="str">
        <f t="shared" si="8"/>
        <v/>
      </c>
      <c r="O97" s="736"/>
      <c r="Q97" s="652">
        <f t="shared" si="9"/>
        <v>0</v>
      </c>
      <c r="R97" s="652">
        <f t="shared" si="10"/>
        <v>0</v>
      </c>
    </row>
    <row r="98" spans="1:18">
      <c r="A98" s="635"/>
      <c r="B98" s="636"/>
      <c r="C98" s="640"/>
      <c r="D98" s="640"/>
      <c r="E98" s="3"/>
      <c r="F98" s="734"/>
      <c r="G98" s="266"/>
      <c r="H98" s="8"/>
      <c r="I98" s="5"/>
      <c r="J98" s="401">
        <f t="shared" si="7"/>
        <v>0</v>
      </c>
      <c r="K98" s="2"/>
      <c r="L98" s="8"/>
      <c r="M98" s="7"/>
      <c r="N98" s="9" t="str">
        <f t="shared" si="8"/>
        <v/>
      </c>
      <c r="O98" s="736"/>
      <c r="Q98" s="652">
        <f t="shared" si="9"/>
        <v>0</v>
      </c>
      <c r="R98" s="652">
        <f t="shared" si="10"/>
        <v>0</v>
      </c>
    </row>
    <row r="99" spans="1:18">
      <c r="A99" s="635"/>
      <c r="B99" s="636"/>
      <c r="C99" s="640"/>
      <c r="D99" s="640"/>
      <c r="E99" s="3"/>
      <c r="F99" s="734"/>
      <c r="G99" s="266"/>
      <c r="H99" s="8"/>
      <c r="I99" s="5"/>
      <c r="J99" s="401">
        <f t="shared" si="7"/>
        <v>0</v>
      </c>
      <c r="K99" s="2"/>
      <c r="L99" s="8"/>
      <c r="M99" s="7"/>
      <c r="N99" s="9" t="str">
        <f t="shared" si="8"/>
        <v/>
      </c>
      <c r="O99" s="736"/>
      <c r="Q99" s="652">
        <f t="shared" si="9"/>
        <v>0</v>
      </c>
      <c r="R99" s="652">
        <f t="shared" si="10"/>
        <v>0</v>
      </c>
    </row>
    <row r="100" spans="1:18">
      <c r="A100" s="635"/>
      <c r="B100" s="636"/>
      <c r="C100" s="640"/>
      <c r="D100" s="640"/>
      <c r="E100" s="3"/>
      <c r="F100" s="734"/>
      <c r="G100" s="266"/>
      <c r="H100" s="8"/>
      <c r="I100" s="5"/>
      <c r="J100" s="401">
        <f t="shared" si="7"/>
        <v>0</v>
      </c>
      <c r="K100" s="2"/>
      <c r="L100" s="8"/>
      <c r="M100" s="7"/>
      <c r="N100" s="9" t="str">
        <f t="shared" si="8"/>
        <v/>
      </c>
      <c r="O100" s="736"/>
      <c r="Q100" s="652">
        <f t="shared" si="9"/>
        <v>0</v>
      </c>
      <c r="R100" s="652">
        <f t="shared" si="10"/>
        <v>0</v>
      </c>
    </row>
    <row r="101" spans="1:18">
      <c r="A101" s="635"/>
      <c r="B101" s="636"/>
      <c r="C101" s="640"/>
      <c r="D101" s="640"/>
      <c r="E101" s="3"/>
      <c r="F101" s="734"/>
      <c r="G101" s="266"/>
      <c r="H101" s="8"/>
      <c r="I101" s="5"/>
      <c r="J101" s="401">
        <f t="shared" si="7"/>
        <v>0</v>
      </c>
      <c r="K101" s="2"/>
      <c r="L101" s="8"/>
      <c r="M101" s="7"/>
      <c r="N101" s="9" t="str">
        <f t="shared" si="8"/>
        <v/>
      </c>
      <c r="O101" s="736"/>
      <c r="Q101" s="652">
        <f t="shared" si="9"/>
        <v>0</v>
      </c>
      <c r="R101" s="652">
        <f t="shared" si="10"/>
        <v>0</v>
      </c>
    </row>
    <row r="102" spans="1:18">
      <c r="A102" s="635"/>
      <c r="B102" s="636"/>
      <c r="C102" s="640"/>
      <c r="D102" s="640"/>
      <c r="E102" s="3"/>
      <c r="F102" s="734"/>
      <c r="G102" s="266"/>
      <c r="H102" s="8"/>
      <c r="I102" s="5"/>
      <c r="J102" s="401">
        <f t="shared" si="7"/>
        <v>0</v>
      </c>
      <c r="K102" s="2"/>
      <c r="L102" s="8"/>
      <c r="M102" s="7"/>
      <c r="N102" s="9" t="str">
        <f t="shared" si="8"/>
        <v/>
      </c>
      <c r="O102" s="736"/>
      <c r="Q102" s="652">
        <f t="shared" si="9"/>
        <v>0</v>
      </c>
      <c r="R102" s="652">
        <f t="shared" si="10"/>
        <v>0</v>
      </c>
    </row>
    <row r="103" spans="1:18">
      <c r="A103" s="635"/>
      <c r="B103" s="636"/>
      <c r="C103" s="640"/>
      <c r="D103" s="640"/>
      <c r="E103" s="3"/>
      <c r="F103" s="734"/>
      <c r="G103" s="266"/>
      <c r="H103" s="8"/>
      <c r="I103" s="5"/>
      <c r="J103" s="401">
        <f t="shared" si="7"/>
        <v>0</v>
      </c>
      <c r="K103" s="2"/>
      <c r="L103" s="8"/>
      <c r="M103" s="7"/>
      <c r="N103" s="9" t="str">
        <f t="shared" si="8"/>
        <v/>
      </c>
      <c r="O103" s="736"/>
      <c r="Q103" s="652">
        <f t="shared" si="9"/>
        <v>0</v>
      </c>
      <c r="R103" s="652">
        <f t="shared" si="10"/>
        <v>0</v>
      </c>
    </row>
    <row r="104" spans="1:18">
      <c r="A104" s="635"/>
      <c r="B104" s="636"/>
      <c r="C104" s="640"/>
      <c r="D104" s="640"/>
      <c r="E104" s="3"/>
      <c r="F104" s="734"/>
      <c r="G104" s="266"/>
      <c r="H104" s="8"/>
      <c r="I104" s="5"/>
      <c r="J104" s="401">
        <f t="shared" si="7"/>
        <v>0</v>
      </c>
      <c r="K104" s="2"/>
      <c r="L104" s="8"/>
      <c r="M104" s="7"/>
      <c r="N104" s="9" t="str">
        <f t="shared" si="8"/>
        <v/>
      </c>
      <c r="O104" s="736"/>
      <c r="Q104" s="652">
        <f t="shared" si="9"/>
        <v>0</v>
      </c>
      <c r="R104" s="652">
        <f t="shared" si="10"/>
        <v>0</v>
      </c>
    </row>
    <row r="105" spans="1:18">
      <c r="A105" s="635"/>
      <c r="B105" s="636"/>
      <c r="C105" s="640"/>
      <c r="D105" s="640"/>
      <c r="E105" s="3"/>
      <c r="F105" s="734"/>
      <c r="G105" s="266"/>
      <c r="H105" s="8"/>
      <c r="I105" s="5"/>
      <c r="J105" s="401">
        <f t="shared" si="7"/>
        <v>0</v>
      </c>
      <c r="K105" s="2"/>
      <c r="L105" s="8"/>
      <c r="M105" s="7"/>
      <c r="N105" s="9" t="str">
        <f t="shared" si="8"/>
        <v/>
      </c>
      <c r="O105" s="736"/>
      <c r="Q105" s="652">
        <f t="shared" si="9"/>
        <v>0</v>
      </c>
      <c r="R105" s="652">
        <f t="shared" si="10"/>
        <v>0</v>
      </c>
    </row>
    <row r="106" spans="1:18">
      <c r="A106" s="635"/>
      <c r="B106" s="636"/>
      <c r="C106" s="640"/>
      <c r="D106" s="640"/>
      <c r="E106" s="3"/>
      <c r="F106" s="734"/>
      <c r="G106" s="266"/>
      <c r="H106" s="8"/>
      <c r="I106" s="5"/>
      <c r="J106" s="401">
        <f t="shared" si="7"/>
        <v>0</v>
      </c>
      <c r="K106" s="2"/>
      <c r="L106" s="8"/>
      <c r="M106" s="7"/>
      <c r="N106" s="9" t="str">
        <f t="shared" si="8"/>
        <v/>
      </c>
      <c r="O106" s="736"/>
      <c r="Q106" s="652">
        <f t="shared" si="9"/>
        <v>0</v>
      </c>
      <c r="R106" s="652">
        <f t="shared" si="10"/>
        <v>0</v>
      </c>
    </row>
    <row r="107" spans="1:18">
      <c r="A107" s="635"/>
      <c r="B107" s="636"/>
      <c r="C107" s="640"/>
      <c r="D107" s="640"/>
      <c r="E107" s="3"/>
      <c r="F107" s="734"/>
      <c r="G107" s="266"/>
      <c r="H107" s="8"/>
      <c r="I107" s="5"/>
      <c r="J107" s="401">
        <f t="shared" si="7"/>
        <v>0</v>
      </c>
      <c r="K107" s="2"/>
      <c r="L107" s="8"/>
      <c r="M107" s="7"/>
      <c r="N107" s="9" t="str">
        <f t="shared" si="8"/>
        <v/>
      </c>
      <c r="O107" s="736"/>
      <c r="Q107" s="652">
        <f t="shared" si="9"/>
        <v>0</v>
      </c>
      <c r="R107" s="652">
        <f t="shared" si="10"/>
        <v>0</v>
      </c>
    </row>
    <row r="108" spans="1:18">
      <c r="A108" s="635"/>
      <c r="B108" s="636"/>
      <c r="C108" s="640"/>
      <c r="D108" s="640"/>
      <c r="E108" s="3"/>
      <c r="F108" s="734"/>
      <c r="G108" s="266"/>
      <c r="H108" s="8"/>
      <c r="I108" s="5"/>
      <c r="J108" s="401">
        <f t="shared" si="7"/>
        <v>0</v>
      </c>
      <c r="K108" s="2"/>
      <c r="L108" s="8"/>
      <c r="M108" s="7"/>
      <c r="N108" s="9" t="str">
        <f t="shared" si="8"/>
        <v/>
      </c>
      <c r="O108" s="736"/>
      <c r="Q108" s="652">
        <f t="shared" si="9"/>
        <v>0</v>
      </c>
      <c r="R108" s="652">
        <f t="shared" si="10"/>
        <v>0</v>
      </c>
    </row>
    <row r="109" spans="1:18">
      <c r="A109" s="635"/>
      <c r="B109" s="636"/>
      <c r="C109" s="640"/>
      <c r="D109" s="640"/>
      <c r="E109" s="3"/>
      <c r="F109" s="734"/>
      <c r="G109" s="266"/>
      <c r="H109" s="8"/>
      <c r="I109" s="5"/>
      <c r="J109" s="401">
        <f t="shared" si="7"/>
        <v>0</v>
      </c>
      <c r="K109" s="2"/>
      <c r="L109" s="8"/>
      <c r="M109" s="7"/>
      <c r="N109" s="9" t="str">
        <f t="shared" si="8"/>
        <v/>
      </c>
      <c r="O109" s="736"/>
      <c r="Q109" s="652">
        <f t="shared" si="9"/>
        <v>0</v>
      </c>
      <c r="R109" s="652">
        <f t="shared" si="10"/>
        <v>0</v>
      </c>
    </row>
    <row r="110" spans="1:18">
      <c r="A110" s="635"/>
      <c r="B110" s="636"/>
      <c r="C110" s="640"/>
      <c r="D110" s="640"/>
      <c r="E110" s="3"/>
      <c r="F110" s="734"/>
      <c r="G110" s="266"/>
      <c r="H110" s="8"/>
      <c r="I110" s="5"/>
      <c r="J110" s="401">
        <f t="shared" si="7"/>
        <v>0</v>
      </c>
      <c r="K110" s="2"/>
      <c r="L110" s="8"/>
      <c r="M110" s="7"/>
      <c r="N110" s="9" t="str">
        <f t="shared" si="8"/>
        <v/>
      </c>
      <c r="O110" s="736"/>
      <c r="Q110" s="652">
        <f t="shared" si="9"/>
        <v>0</v>
      </c>
      <c r="R110" s="652">
        <f t="shared" si="10"/>
        <v>0</v>
      </c>
    </row>
    <row r="111" spans="1:18">
      <c r="A111" s="635"/>
      <c r="B111" s="636"/>
      <c r="C111" s="640"/>
      <c r="D111" s="640"/>
      <c r="E111" s="3"/>
      <c r="F111" s="734"/>
      <c r="G111" s="266"/>
      <c r="H111" s="8"/>
      <c r="I111" s="5"/>
      <c r="J111" s="401">
        <f t="shared" si="7"/>
        <v>0</v>
      </c>
      <c r="K111" s="2"/>
      <c r="L111" s="8"/>
      <c r="M111" s="7"/>
      <c r="N111" s="9" t="str">
        <f t="shared" si="8"/>
        <v/>
      </c>
      <c r="O111" s="736"/>
      <c r="Q111" s="652">
        <f t="shared" si="9"/>
        <v>0</v>
      </c>
      <c r="R111" s="652">
        <f t="shared" si="10"/>
        <v>0</v>
      </c>
    </row>
    <row r="112" spans="1:18">
      <c r="A112" s="635"/>
      <c r="B112" s="636"/>
      <c r="C112" s="640"/>
      <c r="D112" s="640"/>
      <c r="E112" s="3"/>
      <c r="F112" s="734"/>
      <c r="G112" s="266"/>
      <c r="H112" s="8"/>
      <c r="I112" s="5"/>
      <c r="J112" s="401">
        <f t="shared" si="7"/>
        <v>0</v>
      </c>
      <c r="K112" s="2"/>
      <c r="L112" s="8"/>
      <c r="M112" s="7"/>
      <c r="N112" s="9" t="str">
        <f t="shared" si="8"/>
        <v/>
      </c>
      <c r="O112" s="736"/>
      <c r="Q112" s="652">
        <f t="shared" si="9"/>
        <v>0</v>
      </c>
      <c r="R112" s="652">
        <f t="shared" si="10"/>
        <v>0</v>
      </c>
    </row>
    <row r="113" spans="1:18">
      <c r="A113" s="635"/>
      <c r="B113" s="636"/>
      <c r="C113" s="640"/>
      <c r="D113" s="640"/>
      <c r="E113" s="3"/>
      <c r="F113" s="734"/>
      <c r="G113" s="266"/>
      <c r="H113" s="8"/>
      <c r="I113" s="5"/>
      <c r="J113" s="401">
        <f t="shared" si="7"/>
        <v>0</v>
      </c>
      <c r="K113" s="2"/>
      <c r="L113" s="8"/>
      <c r="M113" s="7"/>
      <c r="N113" s="9" t="str">
        <f t="shared" si="8"/>
        <v/>
      </c>
      <c r="O113" s="736"/>
      <c r="Q113" s="652">
        <f t="shared" si="9"/>
        <v>0</v>
      </c>
      <c r="R113" s="652">
        <f t="shared" si="10"/>
        <v>0</v>
      </c>
    </row>
    <row r="114" spans="1:18">
      <c r="A114" s="635"/>
      <c r="B114" s="636"/>
      <c r="C114" s="640"/>
      <c r="D114" s="640"/>
      <c r="E114" s="3"/>
      <c r="F114" s="734"/>
      <c r="G114" s="266"/>
      <c r="H114" s="8"/>
      <c r="I114" s="5"/>
      <c r="J114" s="401">
        <f t="shared" si="7"/>
        <v>0</v>
      </c>
      <c r="K114" s="2"/>
      <c r="L114" s="8"/>
      <c r="M114" s="7"/>
      <c r="N114" s="9" t="str">
        <f t="shared" si="8"/>
        <v/>
      </c>
      <c r="O114" s="736"/>
      <c r="Q114" s="652">
        <f t="shared" si="9"/>
        <v>0</v>
      </c>
      <c r="R114" s="652">
        <f t="shared" si="10"/>
        <v>0</v>
      </c>
    </row>
    <row r="115" spans="1:18">
      <c r="A115" s="635"/>
      <c r="B115" s="636"/>
      <c r="C115" s="640"/>
      <c r="D115" s="640"/>
      <c r="E115" s="3"/>
      <c r="F115" s="734"/>
      <c r="G115" s="266"/>
      <c r="H115" s="8"/>
      <c r="I115" s="5"/>
      <c r="J115" s="401">
        <f t="shared" si="7"/>
        <v>0</v>
      </c>
      <c r="K115" s="2"/>
      <c r="L115" s="8"/>
      <c r="M115" s="7"/>
      <c r="N115" s="9" t="str">
        <f t="shared" si="8"/>
        <v/>
      </c>
      <c r="O115" s="736"/>
      <c r="Q115" s="652">
        <f t="shared" si="9"/>
        <v>0</v>
      </c>
      <c r="R115" s="652">
        <f t="shared" si="10"/>
        <v>0</v>
      </c>
    </row>
    <row r="116" spans="1:18">
      <c r="A116" s="635"/>
      <c r="B116" s="636"/>
      <c r="C116" s="640"/>
      <c r="D116" s="640"/>
      <c r="E116" s="3"/>
      <c r="F116" s="734"/>
      <c r="G116" s="266"/>
      <c r="H116" s="8"/>
      <c r="I116" s="5"/>
      <c r="J116" s="401">
        <f t="shared" si="7"/>
        <v>0</v>
      </c>
      <c r="K116" s="2"/>
      <c r="L116" s="8"/>
      <c r="M116" s="7"/>
      <c r="N116" s="9" t="str">
        <f t="shared" si="8"/>
        <v/>
      </c>
      <c r="O116" s="736"/>
      <c r="Q116" s="652">
        <f t="shared" si="9"/>
        <v>0</v>
      </c>
      <c r="R116" s="652">
        <f t="shared" si="10"/>
        <v>0</v>
      </c>
    </row>
    <row r="117" spans="1:18">
      <c r="A117" s="635"/>
      <c r="B117" s="636"/>
      <c r="C117" s="640"/>
      <c r="D117" s="640"/>
      <c r="E117" s="3"/>
      <c r="F117" s="734"/>
      <c r="G117" s="266"/>
      <c r="H117" s="8"/>
      <c r="I117" s="5"/>
      <c r="J117" s="401">
        <f t="shared" si="7"/>
        <v>0</v>
      </c>
      <c r="K117" s="2"/>
      <c r="L117" s="8"/>
      <c r="M117" s="7"/>
      <c r="N117" s="9" t="str">
        <f t="shared" si="8"/>
        <v/>
      </c>
      <c r="O117" s="736"/>
      <c r="Q117" s="652">
        <f t="shared" si="9"/>
        <v>0</v>
      </c>
      <c r="R117" s="652">
        <f t="shared" si="10"/>
        <v>0</v>
      </c>
    </row>
    <row r="118" spans="1:18">
      <c r="A118" s="635"/>
      <c r="B118" s="636"/>
      <c r="C118" s="640"/>
      <c r="D118" s="640"/>
      <c r="E118" s="3"/>
      <c r="F118" s="734"/>
      <c r="G118" s="266"/>
      <c r="H118" s="8"/>
      <c r="I118" s="5"/>
      <c r="J118" s="401">
        <f t="shared" si="7"/>
        <v>0</v>
      </c>
      <c r="K118" s="2"/>
      <c r="L118" s="8"/>
      <c r="M118" s="7"/>
      <c r="N118" s="9" t="str">
        <f t="shared" si="8"/>
        <v/>
      </c>
      <c r="O118" s="736"/>
      <c r="Q118" s="652">
        <f t="shared" si="9"/>
        <v>0</v>
      </c>
      <c r="R118" s="652">
        <f t="shared" si="10"/>
        <v>0</v>
      </c>
    </row>
    <row r="119" spans="1:18">
      <c r="A119" s="635"/>
      <c r="B119" s="636"/>
      <c r="C119" s="640"/>
      <c r="D119" s="640"/>
      <c r="E119" s="3"/>
      <c r="F119" s="734"/>
      <c r="G119" s="266"/>
      <c r="H119" s="8"/>
      <c r="I119" s="5"/>
      <c r="J119" s="401">
        <f t="shared" si="7"/>
        <v>0</v>
      </c>
      <c r="K119" s="2"/>
      <c r="L119" s="8"/>
      <c r="M119" s="7"/>
      <c r="N119" s="9" t="str">
        <f t="shared" si="8"/>
        <v/>
      </c>
      <c r="O119" s="736"/>
      <c r="Q119" s="652">
        <f t="shared" si="9"/>
        <v>0</v>
      </c>
      <c r="R119" s="652">
        <f t="shared" si="10"/>
        <v>0</v>
      </c>
    </row>
    <row r="120" spans="1:18">
      <c r="A120" s="635"/>
      <c r="B120" s="636"/>
      <c r="C120" s="640"/>
      <c r="D120" s="640"/>
      <c r="E120" s="3"/>
      <c r="F120" s="734"/>
      <c r="G120" s="266"/>
      <c r="H120" s="8"/>
      <c r="I120" s="5"/>
      <c r="J120" s="401">
        <f t="shared" si="7"/>
        <v>0</v>
      </c>
      <c r="K120" s="2"/>
      <c r="L120" s="8"/>
      <c r="M120" s="7"/>
      <c r="N120" s="9" t="str">
        <f t="shared" si="8"/>
        <v/>
      </c>
      <c r="O120" s="736"/>
      <c r="Q120" s="652">
        <f t="shared" si="9"/>
        <v>0</v>
      </c>
      <c r="R120" s="652">
        <f t="shared" si="10"/>
        <v>0</v>
      </c>
    </row>
    <row r="121" spans="1:18">
      <c r="A121" s="635"/>
      <c r="B121" s="636"/>
      <c r="C121" s="640"/>
      <c r="D121" s="640"/>
      <c r="E121" s="3"/>
      <c r="F121" s="734"/>
      <c r="G121" s="266"/>
      <c r="H121" s="8"/>
      <c r="I121" s="5"/>
      <c r="J121" s="401">
        <f t="shared" si="7"/>
        <v>0</v>
      </c>
      <c r="K121" s="2"/>
      <c r="L121" s="8"/>
      <c r="M121" s="7"/>
      <c r="N121" s="9" t="str">
        <f t="shared" si="8"/>
        <v/>
      </c>
      <c r="O121" s="736"/>
      <c r="Q121" s="652">
        <f t="shared" si="9"/>
        <v>0</v>
      </c>
      <c r="R121" s="652">
        <f t="shared" si="10"/>
        <v>0</v>
      </c>
    </row>
    <row r="122" spans="1:18">
      <c r="A122" s="635"/>
      <c r="B122" s="636"/>
      <c r="C122" s="640"/>
      <c r="D122" s="640"/>
      <c r="E122" s="3"/>
      <c r="F122" s="734"/>
      <c r="G122" s="266"/>
      <c r="H122" s="8"/>
      <c r="I122" s="5"/>
      <c r="J122" s="401">
        <f t="shared" si="7"/>
        <v>0</v>
      </c>
      <c r="K122" s="2"/>
      <c r="L122" s="8"/>
      <c r="M122" s="7"/>
      <c r="N122" s="9" t="str">
        <f t="shared" si="8"/>
        <v/>
      </c>
      <c r="O122" s="736"/>
      <c r="Q122" s="652">
        <f t="shared" si="9"/>
        <v>0</v>
      </c>
      <c r="R122" s="652">
        <f t="shared" si="10"/>
        <v>0</v>
      </c>
    </row>
    <row r="123" spans="1:18">
      <c r="A123" s="635"/>
      <c r="B123" s="636"/>
      <c r="C123" s="640"/>
      <c r="D123" s="640"/>
      <c r="E123" s="3"/>
      <c r="F123" s="734"/>
      <c r="G123" s="266"/>
      <c r="H123" s="8"/>
      <c r="I123" s="5"/>
      <c r="J123" s="401">
        <f t="shared" si="7"/>
        <v>0</v>
      </c>
      <c r="K123" s="2"/>
      <c r="L123" s="8"/>
      <c r="M123" s="7"/>
      <c r="N123" s="9" t="str">
        <f t="shared" si="8"/>
        <v/>
      </c>
      <c r="O123" s="736"/>
      <c r="Q123" s="652">
        <f t="shared" si="9"/>
        <v>0</v>
      </c>
      <c r="R123" s="652">
        <f t="shared" si="10"/>
        <v>0</v>
      </c>
    </row>
    <row r="124" spans="1:18">
      <c r="A124" s="635"/>
      <c r="B124" s="636"/>
      <c r="C124" s="640"/>
      <c r="D124" s="640"/>
      <c r="E124" s="3"/>
      <c r="F124" s="734"/>
      <c r="G124" s="266"/>
      <c r="H124" s="8"/>
      <c r="I124" s="5"/>
      <c r="J124" s="401">
        <f t="shared" si="7"/>
        <v>0</v>
      </c>
      <c r="K124" s="2"/>
      <c r="L124" s="8"/>
      <c r="M124" s="7"/>
      <c r="N124" s="9" t="str">
        <f t="shared" si="8"/>
        <v/>
      </c>
      <c r="O124" s="736"/>
      <c r="Q124" s="652">
        <f t="shared" si="9"/>
        <v>0</v>
      </c>
      <c r="R124" s="652">
        <f t="shared" si="10"/>
        <v>0</v>
      </c>
    </row>
    <row r="125" spans="1:18">
      <c r="A125" s="635"/>
      <c r="B125" s="636"/>
      <c r="C125" s="640"/>
      <c r="D125" s="640"/>
      <c r="E125" s="3"/>
      <c r="F125" s="734"/>
      <c r="G125" s="266"/>
      <c r="H125" s="8"/>
      <c r="I125" s="5"/>
      <c r="J125" s="401">
        <f t="shared" si="7"/>
        <v>0</v>
      </c>
      <c r="K125" s="2"/>
      <c r="L125" s="8"/>
      <c r="M125" s="7"/>
      <c r="N125" s="9" t="str">
        <f t="shared" si="8"/>
        <v/>
      </c>
      <c r="O125" s="736"/>
      <c r="Q125" s="652">
        <f t="shared" si="9"/>
        <v>0</v>
      </c>
      <c r="R125" s="652">
        <f t="shared" si="10"/>
        <v>0</v>
      </c>
    </row>
    <row r="126" spans="1:18">
      <c r="A126" s="635"/>
      <c r="B126" s="636"/>
      <c r="C126" s="640"/>
      <c r="D126" s="640"/>
      <c r="E126" s="3"/>
      <c r="F126" s="734"/>
      <c r="G126" s="266"/>
      <c r="H126" s="8"/>
      <c r="I126" s="5"/>
      <c r="J126" s="401">
        <f t="shared" si="7"/>
        <v>0</v>
      </c>
      <c r="K126" s="2"/>
      <c r="L126" s="8"/>
      <c r="M126" s="7"/>
      <c r="N126" s="9" t="str">
        <f t="shared" si="8"/>
        <v/>
      </c>
      <c r="O126" s="736"/>
      <c r="Q126" s="652">
        <f t="shared" si="9"/>
        <v>0</v>
      </c>
      <c r="R126" s="652">
        <f t="shared" si="10"/>
        <v>0</v>
      </c>
    </row>
    <row r="127" spans="1:18">
      <c r="A127" s="635"/>
      <c r="B127" s="636"/>
      <c r="C127" s="640"/>
      <c r="D127" s="640"/>
      <c r="E127" s="3"/>
      <c r="F127" s="734"/>
      <c r="G127" s="266"/>
      <c r="H127" s="8"/>
      <c r="I127" s="5"/>
      <c r="J127" s="401">
        <f t="shared" si="7"/>
        <v>0</v>
      </c>
      <c r="K127" s="2"/>
      <c r="L127" s="8"/>
      <c r="M127" s="7"/>
      <c r="N127" s="9" t="str">
        <f t="shared" si="8"/>
        <v/>
      </c>
      <c r="O127" s="736"/>
      <c r="Q127" s="652">
        <f t="shared" si="9"/>
        <v>0</v>
      </c>
      <c r="R127" s="652">
        <f t="shared" si="10"/>
        <v>0</v>
      </c>
    </row>
    <row r="128" spans="1:18">
      <c r="A128" s="635"/>
      <c r="B128" s="636"/>
      <c r="C128" s="640"/>
      <c r="D128" s="640"/>
      <c r="E128" s="3"/>
      <c r="F128" s="734"/>
      <c r="G128" s="266"/>
      <c r="H128" s="8"/>
      <c r="I128" s="5"/>
      <c r="J128" s="401">
        <f t="shared" si="7"/>
        <v>0</v>
      </c>
      <c r="K128" s="2"/>
      <c r="L128" s="8"/>
      <c r="M128" s="7"/>
      <c r="N128" s="9" t="str">
        <f t="shared" si="8"/>
        <v/>
      </c>
      <c r="O128" s="736"/>
      <c r="Q128" s="652">
        <f t="shared" si="9"/>
        <v>0</v>
      </c>
      <c r="R128" s="652">
        <f t="shared" si="10"/>
        <v>0</v>
      </c>
    </row>
    <row r="129" spans="1:18">
      <c r="A129" s="635"/>
      <c r="B129" s="636"/>
      <c r="C129" s="640"/>
      <c r="D129" s="640"/>
      <c r="E129" s="3"/>
      <c r="F129" s="734"/>
      <c r="G129" s="266"/>
      <c r="H129" s="8"/>
      <c r="I129" s="5"/>
      <c r="J129" s="401">
        <f t="shared" si="7"/>
        <v>0</v>
      </c>
      <c r="K129" s="2"/>
      <c r="L129" s="8"/>
      <c r="M129" s="7"/>
      <c r="N129" s="9" t="str">
        <f t="shared" si="8"/>
        <v/>
      </c>
      <c r="O129" s="736"/>
      <c r="Q129" s="652">
        <f t="shared" si="9"/>
        <v>0</v>
      </c>
      <c r="R129" s="652">
        <f t="shared" si="10"/>
        <v>0</v>
      </c>
    </row>
    <row r="130" spans="1:18">
      <c r="A130" s="635"/>
      <c r="B130" s="636"/>
      <c r="C130" s="640"/>
      <c r="D130" s="640"/>
      <c r="E130" s="3"/>
      <c r="F130" s="734"/>
      <c r="G130" s="266"/>
      <c r="H130" s="8"/>
      <c r="I130" s="5"/>
      <c r="J130" s="401">
        <f t="shared" si="7"/>
        <v>0</v>
      </c>
      <c r="K130" s="2"/>
      <c r="L130" s="8"/>
      <c r="M130" s="7"/>
      <c r="N130" s="9" t="str">
        <f t="shared" si="8"/>
        <v/>
      </c>
      <c r="O130" s="736"/>
      <c r="Q130" s="652">
        <f t="shared" si="9"/>
        <v>0</v>
      </c>
      <c r="R130" s="652">
        <f t="shared" si="10"/>
        <v>0</v>
      </c>
    </row>
    <row r="131" spans="1:18">
      <c r="A131" s="635"/>
      <c r="B131" s="636"/>
      <c r="C131" s="640"/>
      <c r="D131" s="640"/>
      <c r="E131" s="3"/>
      <c r="F131" s="734"/>
      <c r="G131" s="266"/>
      <c r="H131" s="8"/>
      <c r="I131" s="5"/>
      <c r="J131" s="401">
        <f t="shared" si="7"/>
        <v>0</v>
      </c>
      <c r="K131" s="2"/>
      <c r="L131" s="8"/>
      <c r="M131" s="7"/>
      <c r="N131" s="9" t="str">
        <f t="shared" si="8"/>
        <v/>
      </c>
      <c r="O131" s="736"/>
      <c r="Q131" s="652">
        <f t="shared" si="9"/>
        <v>0</v>
      </c>
      <c r="R131" s="652">
        <f t="shared" si="10"/>
        <v>0</v>
      </c>
    </row>
    <row r="132" spans="1:18">
      <c r="A132" s="635"/>
      <c r="B132" s="636"/>
      <c r="C132" s="640"/>
      <c r="D132" s="640"/>
      <c r="E132" s="3"/>
      <c r="F132" s="734"/>
      <c r="G132" s="266"/>
      <c r="H132" s="8"/>
      <c r="I132" s="5"/>
      <c r="J132" s="401">
        <f t="shared" si="7"/>
        <v>0</v>
      </c>
      <c r="K132" s="2"/>
      <c r="L132" s="8"/>
      <c r="M132" s="7"/>
      <c r="N132" s="9" t="str">
        <f t="shared" si="8"/>
        <v/>
      </c>
      <c r="O132" s="736"/>
      <c r="Q132" s="652">
        <f t="shared" si="9"/>
        <v>0</v>
      </c>
      <c r="R132" s="652">
        <f t="shared" si="10"/>
        <v>0</v>
      </c>
    </row>
    <row r="133" spans="1:18">
      <c r="A133" s="635"/>
      <c r="B133" s="636"/>
      <c r="C133" s="640"/>
      <c r="D133" s="640"/>
      <c r="E133" s="3"/>
      <c r="F133" s="734"/>
      <c r="G133" s="266"/>
      <c r="H133" s="8"/>
      <c r="I133" s="5"/>
      <c r="J133" s="401">
        <f t="shared" si="7"/>
        <v>0</v>
      </c>
      <c r="K133" s="2"/>
      <c r="L133" s="8"/>
      <c r="M133" s="7"/>
      <c r="N133" s="9" t="str">
        <f t="shared" si="8"/>
        <v/>
      </c>
      <c r="O133" s="736"/>
      <c r="Q133" s="652">
        <f t="shared" si="9"/>
        <v>0</v>
      </c>
      <c r="R133" s="652">
        <f t="shared" si="10"/>
        <v>0</v>
      </c>
    </row>
    <row r="134" spans="1:18">
      <c r="A134" s="635"/>
      <c r="B134" s="636"/>
      <c r="C134" s="640"/>
      <c r="D134" s="640"/>
      <c r="E134" s="3"/>
      <c r="F134" s="734"/>
      <c r="G134" s="266"/>
      <c r="H134" s="8"/>
      <c r="I134" s="5"/>
      <c r="J134" s="401">
        <f t="shared" ref="J134:J197" si="11">(+F134*G134+H134*I134)*E134</f>
        <v>0</v>
      </c>
      <c r="K134" s="2"/>
      <c r="L134" s="8"/>
      <c r="M134" s="7"/>
      <c r="N134" s="9" t="str">
        <f t="shared" ref="N134:N197" si="12">IF(K134=0,"",L134*M134*E134)</f>
        <v/>
      </c>
      <c r="O134" s="736"/>
      <c r="Q134" s="652">
        <f t="shared" ref="Q134:Q197" si="13">F134*G134*E134</f>
        <v>0</v>
      </c>
      <c r="R134" s="652">
        <f t="shared" ref="R134:R197" si="14">H134*E134*I134</f>
        <v>0</v>
      </c>
    </row>
    <row r="135" spans="1:18">
      <c r="A135" s="635"/>
      <c r="B135" s="636"/>
      <c r="C135" s="640"/>
      <c r="D135" s="640"/>
      <c r="E135" s="3"/>
      <c r="F135" s="734"/>
      <c r="G135" s="266"/>
      <c r="H135" s="8"/>
      <c r="I135" s="5"/>
      <c r="J135" s="401">
        <f t="shared" si="11"/>
        <v>0</v>
      </c>
      <c r="K135" s="2"/>
      <c r="L135" s="8"/>
      <c r="M135" s="7"/>
      <c r="N135" s="9" t="str">
        <f t="shared" si="12"/>
        <v/>
      </c>
      <c r="O135" s="736"/>
      <c r="Q135" s="652">
        <f t="shared" si="13"/>
        <v>0</v>
      </c>
      <c r="R135" s="652">
        <f t="shared" si="14"/>
        <v>0</v>
      </c>
    </row>
    <row r="136" spans="1:18">
      <c r="A136" s="635"/>
      <c r="B136" s="636"/>
      <c r="C136" s="640"/>
      <c r="D136" s="640"/>
      <c r="E136" s="3"/>
      <c r="F136" s="734"/>
      <c r="G136" s="266"/>
      <c r="H136" s="8"/>
      <c r="I136" s="5"/>
      <c r="J136" s="401">
        <f t="shared" si="11"/>
        <v>0</v>
      </c>
      <c r="K136" s="2"/>
      <c r="L136" s="8"/>
      <c r="M136" s="7"/>
      <c r="N136" s="9" t="str">
        <f t="shared" si="12"/>
        <v/>
      </c>
      <c r="O136" s="736"/>
      <c r="Q136" s="652">
        <f t="shared" si="13"/>
        <v>0</v>
      </c>
      <c r="R136" s="652">
        <f t="shared" si="14"/>
        <v>0</v>
      </c>
    </row>
    <row r="137" spans="1:18">
      <c r="A137" s="635"/>
      <c r="B137" s="636"/>
      <c r="C137" s="640"/>
      <c r="D137" s="640"/>
      <c r="E137" s="3"/>
      <c r="F137" s="734"/>
      <c r="G137" s="266"/>
      <c r="H137" s="8"/>
      <c r="I137" s="5"/>
      <c r="J137" s="401">
        <f t="shared" si="11"/>
        <v>0</v>
      </c>
      <c r="K137" s="2"/>
      <c r="L137" s="8"/>
      <c r="M137" s="7"/>
      <c r="N137" s="9" t="str">
        <f t="shared" si="12"/>
        <v/>
      </c>
      <c r="O137" s="736"/>
      <c r="Q137" s="652">
        <f t="shared" si="13"/>
        <v>0</v>
      </c>
      <c r="R137" s="652">
        <f t="shared" si="14"/>
        <v>0</v>
      </c>
    </row>
    <row r="138" spans="1:18">
      <c r="A138" s="635"/>
      <c r="B138" s="636"/>
      <c r="C138" s="640"/>
      <c r="D138" s="640"/>
      <c r="E138" s="3"/>
      <c r="F138" s="266"/>
      <c r="G138" s="266"/>
      <c r="H138" s="8"/>
      <c r="I138" s="5"/>
      <c r="J138" s="401">
        <f t="shared" si="11"/>
        <v>0</v>
      </c>
      <c r="K138" s="2"/>
      <c r="L138" s="8"/>
      <c r="M138" s="7"/>
      <c r="N138" s="9" t="str">
        <f t="shared" si="12"/>
        <v/>
      </c>
      <c r="O138" s="736"/>
      <c r="Q138" s="652">
        <f t="shared" si="13"/>
        <v>0</v>
      </c>
      <c r="R138" s="652">
        <f t="shared" si="14"/>
        <v>0</v>
      </c>
    </row>
    <row r="139" spans="1:18">
      <c r="A139" s="635"/>
      <c r="B139" s="636"/>
      <c r="C139" s="640"/>
      <c r="D139" s="640"/>
      <c r="E139" s="3"/>
      <c r="F139" s="266"/>
      <c r="G139" s="266"/>
      <c r="H139" s="8"/>
      <c r="I139" s="5"/>
      <c r="J139" s="401">
        <f t="shared" si="11"/>
        <v>0</v>
      </c>
      <c r="K139" s="2"/>
      <c r="L139" s="8"/>
      <c r="M139" s="7"/>
      <c r="N139" s="9" t="str">
        <f t="shared" si="12"/>
        <v/>
      </c>
      <c r="O139" s="736"/>
      <c r="Q139" s="652">
        <f t="shared" si="13"/>
        <v>0</v>
      </c>
      <c r="R139" s="652">
        <f t="shared" si="14"/>
        <v>0</v>
      </c>
    </row>
    <row r="140" spans="1:18">
      <c r="A140" s="635"/>
      <c r="B140" s="636"/>
      <c r="C140" s="640"/>
      <c r="D140" s="640"/>
      <c r="E140" s="3"/>
      <c r="F140" s="266"/>
      <c r="G140" s="266"/>
      <c r="H140" s="8"/>
      <c r="I140" s="5"/>
      <c r="J140" s="401">
        <f t="shared" si="11"/>
        <v>0</v>
      </c>
      <c r="K140" s="2"/>
      <c r="L140" s="8"/>
      <c r="M140" s="7"/>
      <c r="N140" s="9" t="str">
        <f t="shared" si="12"/>
        <v/>
      </c>
      <c r="O140" s="736"/>
      <c r="Q140" s="652">
        <f t="shared" si="13"/>
        <v>0</v>
      </c>
      <c r="R140" s="652">
        <f t="shared" si="14"/>
        <v>0</v>
      </c>
    </row>
    <row r="141" spans="1:18">
      <c r="A141" s="635"/>
      <c r="B141" s="636"/>
      <c r="C141" s="640"/>
      <c r="D141" s="640"/>
      <c r="E141" s="3"/>
      <c r="F141" s="266"/>
      <c r="G141" s="266"/>
      <c r="H141" s="8"/>
      <c r="I141" s="5"/>
      <c r="J141" s="401">
        <f t="shared" si="11"/>
        <v>0</v>
      </c>
      <c r="K141" s="2"/>
      <c r="L141" s="8"/>
      <c r="M141" s="7"/>
      <c r="N141" s="9" t="str">
        <f t="shared" si="12"/>
        <v/>
      </c>
      <c r="O141" s="736"/>
      <c r="Q141" s="652">
        <f t="shared" si="13"/>
        <v>0</v>
      </c>
      <c r="R141" s="652">
        <f t="shared" si="14"/>
        <v>0</v>
      </c>
    </row>
    <row r="142" spans="1:18">
      <c r="A142" s="635"/>
      <c r="B142" s="636"/>
      <c r="C142" s="640"/>
      <c r="D142" s="640"/>
      <c r="E142" s="3"/>
      <c r="F142" s="266"/>
      <c r="G142" s="266"/>
      <c r="H142" s="8"/>
      <c r="I142" s="5"/>
      <c r="J142" s="401">
        <f t="shared" si="11"/>
        <v>0</v>
      </c>
      <c r="K142" s="2"/>
      <c r="L142" s="8"/>
      <c r="M142" s="7"/>
      <c r="N142" s="9" t="str">
        <f t="shared" si="12"/>
        <v/>
      </c>
      <c r="O142" s="736"/>
      <c r="Q142" s="652">
        <f t="shared" si="13"/>
        <v>0</v>
      </c>
      <c r="R142" s="652">
        <f t="shared" si="14"/>
        <v>0</v>
      </c>
    </row>
    <row r="143" spans="1:18">
      <c r="A143" s="635"/>
      <c r="B143" s="636"/>
      <c r="C143" s="640"/>
      <c r="D143" s="640"/>
      <c r="E143" s="3"/>
      <c r="F143" s="266"/>
      <c r="G143" s="266"/>
      <c r="H143" s="8"/>
      <c r="I143" s="5"/>
      <c r="J143" s="401">
        <f t="shared" si="11"/>
        <v>0</v>
      </c>
      <c r="K143" s="2"/>
      <c r="L143" s="8"/>
      <c r="M143" s="7"/>
      <c r="N143" s="9" t="str">
        <f t="shared" si="12"/>
        <v/>
      </c>
      <c r="O143" s="736"/>
      <c r="Q143" s="652">
        <f t="shared" si="13"/>
        <v>0</v>
      </c>
      <c r="R143" s="652">
        <f t="shared" si="14"/>
        <v>0</v>
      </c>
    </row>
    <row r="144" spans="1:18">
      <c r="A144" s="635"/>
      <c r="B144" s="636"/>
      <c r="C144" s="640"/>
      <c r="D144" s="640"/>
      <c r="E144" s="3"/>
      <c r="F144" s="266"/>
      <c r="G144" s="266"/>
      <c r="H144" s="8"/>
      <c r="I144" s="5"/>
      <c r="J144" s="401">
        <f t="shared" si="11"/>
        <v>0</v>
      </c>
      <c r="K144" s="2"/>
      <c r="L144" s="8"/>
      <c r="M144" s="7"/>
      <c r="N144" s="9" t="str">
        <f t="shared" si="12"/>
        <v/>
      </c>
      <c r="O144" s="736"/>
      <c r="Q144" s="652">
        <f t="shared" si="13"/>
        <v>0</v>
      </c>
      <c r="R144" s="652">
        <f t="shared" si="14"/>
        <v>0</v>
      </c>
    </row>
    <row r="145" spans="1:18">
      <c r="A145" s="635"/>
      <c r="B145" s="636"/>
      <c r="C145" s="640"/>
      <c r="D145" s="640"/>
      <c r="E145" s="3"/>
      <c r="F145" s="266"/>
      <c r="G145" s="266"/>
      <c r="H145" s="8"/>
      <c r="I145" s="5"/>
      <c r="J145" s="401">
        <f t="shared" si="11"/>
        <v>0</v>
      </c>
      <c r="K145" s="2"/>
      <c r="L145" s="8"/>
      <c r="M145" s="7"/>
      <c r="N145" s="9" t="str">
        <f t="shared" si="12"/>
        <v/>
      </c>
      <c r="O145" s="736"/>
      <c r="Q145" s="652">
        <f t="shared" si="13"/>
        <v>0</v>
      </c>
      <c r="R145" s="652">
        <f t="shared" si="14"/>
        <v>0</v>
      </c>
    </row>
    <row r="146" spans="1:18">
      <c r="A146" s="635"/>
      <c r="B146" s="636"/>
      <c r="C146" s="640"/>
      <c r="D146" s="640"/>
      <c r="E146" s="3"/>
      <c r="F146" s="266"/>
      <c r="G146" s="266"/>
      <c r="H146" s="8"/>
      <c r="I146" s="5"/>
      <c r="J146" s="401">
        <f t="shared" si="11"/>
        <v>0</v>
      </c>
      <c r="K146" s="2"/>
      <c r="L146" s="8"/>
      <c r="M146" s="7"/>
      <c r="N146" s="9" t="str">
        <f t="shared" si="12"/>
        <v/>
      </c>
      <c r="O146" s="736"/>
      <c r="Q146" s="652">
        <f t="shared" si="13"/>
        <v>0</v>
      </c>
      <c r="R146" s="652">
        <f t="shared" si="14"/>
        <v>0</v>
      </c>
    </row>
    <row r="147" spans="1:18">
      <c r="A147" s="635"/>
      <c r="B147" s="636"/>
      <c r="C147" s="640"/>
      <c r="D147" s="640"/>
      <c r="E147" s="3"/>
      <c r="F147" s="266"/>
      <c r="G147" s="266"/>
      <c r="H147" s="8"/>
      <c r="I147" s="5"/>
      <c r="J147" s="401">
        <f t="shared" si="11"/>
        <v>0</v>
      </c>
      <c r="K147" s="2"/>
      <c r="L147" s="8"/>
      <c r="M147" s="7"/>
      <c r="N147" s="9" t="str">
        <f t="shared" si="12"/>
        <v/>
      </c>
      <c r="O147" s="736"/>
      <c r="Q147" s="652">
        <f t="shared" si="13"/>
        <v>0</v>
      </c>
      <c r="R147" s="652">
        <f t="shared" si="14"/>
        <v>0</v>
      </c>
    </row>
    <row r="148" spans="1:18">
      <c r="A148" s="635"/>
      <c r="B148" s="636"/>
      <c r="C148" s="640"/>
      <c r="D148" s="640"/>
      <c r="E148" s="3"/>
      <c r="F148" s="266"/>
      <c r="G148" s="266"/>
      <c r="H148" s="8"/>
      <c r="I148" s="5"/>
      <c r="J148" s="401">
        <f t="shared" si="11"/>
        <v>0</v>
      </c>
      <c r="K148" s="2"/>
      <c r="L148" s="8"/>
      <c r="M148" s="7"/>
      <c r="N148" s="9" t="str">
        <f t="shared" si="12"/>
        <v/>
      </c>
      <c r="O148" s="736"/>
      <c r="Q148" s="652">
        <f t="shared" si="13"/>
        <v>0</v>
      </c>
      <c r="R148" s="652">
        <f t="shared" si="14"/>
        <v>0</v>
      </c>
    </row>
    <row r="149" spans="1:18">
      <c r="A149" s="635"/>
      <c r="B149" s="636"/>
      <c r="C149" s="640"/>
      <c r="D149" s="640"/>
      <c r="E149" s="3"/>
      <c r="F149" s="266"/>
      <c r="G149" s="266"/>
      <c r="H149" s="8"/>
      <c r="I149" s="5"/>
      <c r="J149" s="401">
        <f t="shared" si="11"/>
        <v>0</v>
      </c>
      <c r="K149" s="2"/>
      <c r="L149" s="8"/>
      <c r="M149" s="7"/>
      <c r="N149" s="9" t="str">
        <f t="shared" si="12"/>
        <v/>
      </c>
      <c r="O149" s="736"/>
      <c r="Q149" s="652">
        <f t="shared" si="13"/>
        <v>0</v>
      </c>
      <c r="R149" s="652">
        <f t="shared" si="14"/>
        <v>0</v>
      </c>
    </row>
    <row r="150" spans="1:18">
      <c r="A150" s="635"/>
      <c r="B150" s="636"/>
      <c r="C150" s="640"/>
      <c r="D150" s="640"/>
      <c r="E150" s="3"/>
      <c r="F150" s="266"/>
      <c r="G150" s="266"/>
      <c r="H150" s="8"/>
      <c r="I150" s="5"/>
      <c r="J150" s="401">
        <f t="shared" si="11"/>
        <v>0</v>
      </c>
      <c r="K150" s="2"/>
      <c r="L150" s="8"/>
      <c r="M150" s="7"/>
      <c r="N150" s="9" t="str">
        <f t="shared" si="12"/>
        <v/>
      </c>
      <c r="O150" s="736"/>
      <c r="Q150" s="652">
        <f t="shared" si="13"/>
        <v>0</v>
      </c>
      <c r="R150" s="652">
        <f t="shared" si="14"/>
        <v>0</v>
      </c>
    </row>
    <row r="151" spans="1:18">
      <c r="A151" s="635"/>
      <c r="B151" s="636"/>
      <c r="C151" s="640"/>
      <c r="D151" s="640"/>
      <c r="E151" s="3"/>
      <c r="F151" s="266"/>
      <c r="G151" s="266"/>
      <c r="H151" s="8"/>
      <c r="I151" s="5"/>
      <c r="J151" s="401">
        <f t="shared" si="11"/>
        <v>0</v>
      </c>
      <c r="K151" s="2"/>
      <c r="L151" s="8"/>
      <c r="M151" s="7"/>
      <c r="N151" s="9" t="str">
        <f t="shared" si="12"/>
        <v/>
      </c>
      <c r="O151" s="736"/>
      <c r="Q151" s="652">
        <f t="shared" si="13"/>
        <v>0</v>
      </c>
      <c r="R151" s="652">
        <f t="shared" si="14"/>
        <v>0</v>
      </c>
    </row>
    <row r="152" spans="1:18">
      <c r="A152" s="635"/>
      <c r="B152" s="636"/>
      <c r="C152" s="640"/>
      <c r="D152" s="640"/>
      <c r="E152" s="3"/>
      <c r="F152" s="266"/>
      <c r="G152" s="266"/>
      <c r="H152" s="8"/>
      <c r="I152" s="5"/>
      <c r="J152" s="401">
        <f t="shared" si="11"/>
        <v>0</v>
      </c>
      <c r="K152" s="2"/>
      <c r="L152" s="8"/>
      <c r="M152" s="7"/>
      <c r="N152" s="9" t="str">
        <f t="shared" si="12"/>
        <v/>
      </c>
      <c r="O152" s="736"/>
      <c r="Q152" s="652">
        <f t="shared" si="13"/>
        <v>0</v>
      </c>
      <c r="R152" s="652">
        <f t="shared" si="14"/>
        <v>0</v>
      </c>
    </row>
    <row r="153" spans="1:18">
      <c r="A153" s="635"/>
      <c r="B153" s="636"/>
      <c r="C153" s="640"/>
      <c r="D153" s="640"/>
      <c r="E153" s="3"/>
      <c r="F153" s="266"/>
      <c r="G153" s="266"/>
      <c r="H153" s="8"/>
      <c r="I153" s="5"/>
      <c r="J153" s="401">
        <f t="shared" si="11"/>
        <v>0</v>
      </c>
      <c r="K153" s="2"/>
      <c r="L153" s="8"/>
      <c r="M153" s="7"/>
      <c r="N153" s="9" t="str">
        <f t="shared" si="12"/>
        <v/>
      </c>
      <c r="O153" s="736"/>
      <c r="Q153" s="652">
        <f t="shared" si="13"/>
        <v>0</v>
      </c>
      <c r="R153" s="652">
        <f t="shared" si="14"/>
        <v>0</v>
      </c>
    </row>
    <row r="154" spans="1:18">
      <c r="A154" s="635"/>
      <c r="B154" s="636"/>
      <c r="C154" s="640"/>
      <c r="D154" s="640"/>
      <c r="E154" s="3"/>
      <c r="F154" s="266"/>
      <c r="G154" s="266"/>
      <c r="H154" s="8"/>
      <c r="I154" s="5"/>
      <c r="J154" s="401">
        <f t="shared" si="11"/>
        <v>0</v>
      </c>
      <c r="K154" s="2"/>
      <c r="L154" s="8"/>
      <c r="M154" s="7"/>
      <c r="N154" s="9" t="str">
        <f t="shared" si="12"/>
        <v/>
      </c>
      <c r="O154" s="736"/>
      <c r="Q154" s="652">
        <f t="shared" si="13"/>
        <v>0</v>
      </c>
      <c r="R154" s="652">
        <f t="shared" si="14"/>
        <v>0</v>
      </c>
    </row>
    <row r="155" spans="1:18">
      <c r="A155" s="635"/>
      <c r="B155" s="636"/>
      <c r="C155" s="640"/>
      <c r="D155" s="640"/>
      <c r="E155" s="3"/>
      <c r="F155" s="266"/>
      <c r="G155" s="266"/>
      <c r="H155" s="8"/>
      <c r="I155" s="5"/>
      <c r="J155" s="401">
        <f t="shared" si="11"/>
        <v>0</v>
      </c>
      <c r="K155" s="2"/>
      <c r="L155" s="8"/>
      <c r="M155" s="7"/>
      <c r="N155" s="9" t="str">
        <f t="shared" si="12"/>
        <v/>
      </c>
      <c r="O155" s="736"/>
      <c r="Q155" s="652">
        <f t="shared" si="13"/>
        <v>0</v>
      </c>
      <c r="R155" s="652">
        <f t="shared" si="14"/>
        <v>0</v>
      </c>
    </row>
    <row r="156" spans="1:18">
      <c r="A156" s="635"/>
      <c r="B156" s="636"/>
      <c r="C156" s="640"/>
      <c r="D156" s="640"/>
      <c r="E156" s="3"/>
      <c r="F156" s="266"/>
      <c r="G156" s="266"/>
      <c r="H156" s="8"/>
      <c r="I156" s="5"/>
      <c r="J156" s="401">
        <f t="shared" si="11"/>
        <v>0</v>
      </c>
      <c r="K156" s="2"/>
      <c r="L156" s="8"/>
      <c r="M156" s="7"/>
      <c r="N156" s="9" t="str">
        <f t="shared" si="12"/>
        <v/>
      </c>
      <c r="O156" s="736"/>
      <c r="Q156" s="652">
        <f t="shared" si="13"/>
        <v>0</v>
      </c>
      <c r="R156" s="652">
        <f t="shared" si="14"/>
        <v>0</v>
      </c>
    </row>
    <row r="157" spans="1:18">
      <c r="A157" s="635"/>
      <c r="B157" s="636"/>
      <c r="C157" s="640"/>
      <c r="D157" s="640"/>
      <c r="E157" s="3"/>
      <c r="F157" s="266"/>
      <c r="G157" s="266"/>
      <c r="H157" s="8"/>
      <c r="I157" s="5"/>
      <c r="J157" s="401">
        <f t="shared" si="11"/>
        <v>0</v>
      </c>
      <c r="K157" s="2"/>
      <c r="L157" s="8"/>
      <c r="M157" s="7"/>
      <c r="N157" s="9" t="str">
        <f t="shared" si="12"/>
        <v/>
      </c>
      <c r="O157" s="736"/>
      <c r="Q157" s="652">
        <f t="shared" si="13"/>
        <v>0</v>
      </c>
      <c r="R157" s="652">
        <f t="shared" si="14"/>
        <v>0</v>
      </c>
    </row>
    <row r="158" spans="1:18">
      <c r="A158" s="635"/>
      <c r="B158" s="636"/>
      <c r="C158" s="640"/>
      <c r="D158" s="640"/>
      <c r="E158" s="3"/>
      <c r="F158" s="266"/>
      <c r="G158" s="266"/>
      <c r="H158" s="8"/>
      <c r="I158" s="5"/>
      <c r="J158" s="401">
        <f t="shared" si="11"/>
        <v>0</v>
      </c>
      <c r="K158" s="2"/>
      <c r="L158" s="8"/>
      <c r="M158" s="7"/>
      <c r="N158" s="9" t="str">
        <f t="shared" si="12"/>
        <v/>
      </c>
      <c r="O158" s="736"/>
      <c r="Q158" s="652">
        <f t="shared" si="13"/>
        <v>0</v>
      </c>
      <c r="R158" s="652">
        <f t="shared" si="14"/>
        <v>0</v>
      </c>
    </row>
    <row r="159" spans="1:18">
      <c r="A159" s="635"/>
      <c r="B159" s="636"/>
      <c r="C159" s="640"/>
      <c r="D159" s="640"/>
      <c r="E159" s="3"/>
      <c r="F159" s="266"/>
      <c r="G159" s="266"/>
      <c r="H159" s="8"/>
      <c r="I159" s="5"/>
      <c r="J159" s="401">
        <f t="shared" si="11"/>
        <v>0</v>
      </c>
      <c r="K159" s="2"/>
      <c r="L159" s="8"/>
      <c r="M159" s="7"/>
      <c r="N159" s="9" t="str">
        <f t="shared" si="12"/>
        <v/>
      </c>
      <c r="O159" s="736"/>
      <c r="Q159" s="652">
        <f t="shared" si="13"/>
        <v>0</v>
      </c>
      <c r="R159" s="652">
        <f t="shared" si="14"/>
        <v>0</v>
      </c>
    </row>
    <row r="160" spans="1:18">
      <c r="A160" s="635"/>
      <c r="B160" s="636"/>
      <c r="C160" s="640"/>
      <c r="D160" s="640"/>
      <c r="E160" s="3"/>
      <c r="F160" s="266"/>
      <c r="G160" s="266"/>
      <c r="H160" s="8"/>
      <c r="I160" s="5"/>
      <c r="J160" s="401">
        <f t="shared" si="11"/>
        <v>0</v>
      </c>
      <c r="K160" s="2"/>
      <c r="L160" s="8"/>
      <c r="M160" s="7"/>
      <c r="N160" s="9" t="str">
        <f t="shared" si="12"/>
        <v/>
      </c>
      <c r="O160" s="736"/>
      <c r="Q160" s="652">
        <f t="shared" si="13"/>
        <v>0</v>
      </c>
      <c r="R160" s="652">
        <f t="shared" si="14"/>
        <v>0</v>
      </c>
    </row>
    <row r="161" spans="1:18">
      <c r="A161" s="635"/>
      <c r="B161" s="636"/>
      <c r="C161" s="640"/>
      <c r="D161" s="640"/>
      <c r="E161" s="3"/>
      <c r="F161" s="266"/>
      <c r="G161" s="266"/>
      <c r="H161" s="8"/>
      <c r="I161" s="5"/>
      <c r="J161" s="401">
        <f t="shared" si="11"/>
        <v>0</v>
      </c>
      <c r="K161" s="2"/>
      <c r="L161" s="8"/>
      <c r="M161" s="7"/>
      <c r="N161" s="9" t="str">
        <f t="shared" si="12"/>
        <v/>
      </c>
      <c r="O161" s="736"/>
      <c r="Q161" s="652">
        <f t="shared" si="13"/>
        <v>0</v>
      </c>
      <c r="R161" s="652">
        <f t="shared" si="14"/>
        <v>0</v>
      </c>
    </row>
    <row r="162" spans="1:18">
      <c r="A162" s="635"/>
      <c r="B162" s="636"/>
      <c r="C162" s="640"/>
      <c r="D162" s="640"/>
      <c r="E162" s="3"/>
      <c r="F162" s="266"/>
      <c r="G162" s="266"/>
      <c r="H162" s="8"/>
      <c r="I162" s="5"/>
      <c r="J162" s="401">
        <f t="shared" si="11"/>
        <v>0</v>
      </c>
      <c r="K162" s="2"/>
      <c r="L162" s="8"/>
      <c r="M162" s="7"/>
      <c r="N162" s="9" t="str">
        <f t="shared" si="12"/>
        <v/>
      </c>
      <c r="O162" s="736"/>
      <c r="Q162" s="652">
        <f t="shared" si="13"/>
        <v>0</v>
      </c>
      <c r="R162" s="652">
        <f t="shared" si="14"/>
        <v>0</v>
      </c>
    </row>
    <row r="163" spans="1:18">
      <c r="A163" s="635"/>
      <c r="B163" s="636"/>
      <c r="C163" s="640"/>
      <c r="D163" s="640"/>
      <c r="E163" s="3"/>
      <c r="F163" s="266"/>
      <c r="G163" s="266"/>
      <c r="H163" s="8"/>
      <c r="I163" s="5"/>
      <c r="J163" s="401">
        <f t="shared" si="11"/>
        <v>0</v>
      </c>
      <c r="K163" s="2"/>
      <c r="L163" s="8"/>
      <c r="M163" s="7"/>
      <c r="N163" s="9" t="str">
        <f t="shared" si="12"/>
        <v/>
      </c>
      <c r="O163" s="736"/>
      <c r="Q163" s="652">
        <f t="shared" si="13"/>
        <v>0</v>
      </c>
      <c r="R163" s="652">
        <f t="shared" si="14"/>
        <v>0</v>
      </c>
    </row>
    <row r="164" spans="1:18">
      <c r="A164" s="635"/>
      <c r="B164" s="636"/>
      <c r="C164" s="640"/>
      <c r="D164" s="640"/>
      <c r="E164" s="3"/>
      <c r="F164" s="266"/>
      <c r="G164" s="266"/>
      <c r="H164" s="8"/>
      <c r="I164" s="5"/>
      <c r="J164" s="401">
        <f t="shared" si="11"/>
        <v>0</v>
      </c>
      <c r="K164" s="2"/>
      <c r="L164" s="8"/>
      <c r="M164" s="7"/>
      <c r="N164" s="9" t="str">
        <f t="shared" si="12"/>
        <v/>
      </c>
      <c r="O164" s="736"/>
      <c r="Q164" s="652">
        <f t="shared" si="13"/>
        <v>0</v>
      </c>
      <c r="R164" s="652">
        <f t="shared" si="14"/>
        <v>0</v>
      </c>
    </row>
    <row r="165" spans="1:18">
      <c r="A165" s="635"/>
      <c r="B165" s="636"/>
      <c r="C165" s="640"/>
      <c r="D165" s="640"/>
      <c r="E165" s="3"/>
      <c r="F165" s="266"/>
      <c r="G165" s="266"/>
      <c r="H165" s="8"/>
      <c r="I165" s="5"/>
      <c r="J165" s="401">
        <f t="shared" si="11"/>
        <v>0</v>
      </c>
      <c r="K165" s="2"/>
      <c r="L165" s="8"/>
      <c r="M165" s="7"/>
      <c r="N165" s="9" t="str">
        <f t="shared" si="12"/>
        <v/>
      </c>
      <c r="O165" s="20"/>
      <c r="Q165" s="652">
        <f t="shared" si="13"/>
        <v>0</v>
      </c>
      <c r="R165" s="652">
        <f t="shared" si="14"/>
        <v>0</v>
      </c>
    </row>
    <row r="166" spans="1:18">
      <c r="A166" s="635"/>
      <c r="B166" s="636"/>
      <c r="C166" s="640"/>
      <c r="D166" s="640"/>
      <c r="E166" s="3"/>
      <c r="F166" s="266"/>
      <c r="G166" s="266"/>
      <c r="H166" s="8"/>
      <c r="I166" s="5"/>
      <c r="J166" s="401">
        <f t="shared" si="11"/>
        <v>0</v>
      </c>
      <c r="K166" s="2"/>
      <c r="L166" s="8"/>
      <c r="M166" s="7"/>
      <c r="N166" s="9" t="str">
        <f t="shared" si="12"/>
        <v/>
      </c>
      <c r="O166" s="20"/>
      <c r="Q166" s="652">
        <f t="shared" si="13"/>
        <v>0</v>
      </c>
      <c r="R166" s="652">
        <f t="shared" si="14"/>
        <v>0</v>
      </c>
    </row>
    <row r="167" spans="1:18">
      <c r="A167" s="635"/>
      <c r="B167" s="636"/>
      <c r="C167" s="640"/>
      <c r="D167" s="640"/>
      <c r="E167" s="3"/>
      <c r="F167" s="266"/>
      <c r="G167" s="266"/>
      <c r="H167" s="8"/>
      <c r="I167" s="5"/>
      <c r="J167" s="401">
        <f t="shared" si="11"/>
        <v>0</v>
      </c>
      <c r="K167" s="2"/>
      <c r="L167" s="8"/>
      <c r="M167" s="7"/>
      <c r="N167" s="9" t="str">
        <f t="shared" si="12"/>
        <v/>
      </c>
      <c r="O167" s="20"/>
      <c r="Q167" s="652">
        <f t="shared" si="13"/>
        <v>0</v>
      </c>
      <c r="R167" s="652">
        <f t="shared" si="14"/>
        <v>0</v>
      </c>
    </row>
    <row r="168" spans="1:18">
      <c r="A168" s="635"/>
      <c r="B168" s="636"/>
      <c r="C168" s="640"/>
      <c r="D168" s="640"/>
      <c r="E168" s="3"/>
      <c r="F168" s="266"/>
      <c r="G168" s="266"/>
      <c r="H168" s="8"/>
      <c r="I168" s="5"/>
      <c r="J168" s="401">
        <f t="shared" si="11"/>
        <v>0</v>
      </c>
      <c r="K168" s="2"/>
      <c r="L168" s="8"/>
      <c r="M168" s="7"/>
      <c r="N168" s="9" t="str">
        <f t="shared" si="12"/>
        <v/>
      </c>
      <c r="O168" s="20"/>
      <c r="Q168" s="652">
        <f t="shared" si="13"/>
        <v>0</v>
      </c>
      <c r="R168" s="652">
        <f t="shared" si="14"/>
        <v>0</v>
      </c>
    </row>
    <row r="169" spans="1:18">
      <c r="A169" s="635"/>
      <c r="B169" s="636"/>
      <c r="C169" s="640"/>
      <c r="D169" s="640"/>
      <c r="E169" s="3"/>
      <c r="F169" s="266"/>
      <c r="G169" s="266"/>
      <c r="H169" s="8"/>
      <c r="I169" s="5"/>
      <c r="J169" s="401">
        <f t="shared" si="11"/>
        <v>0</v>
      </c>
      <c r="K169" s="2"/>
      <c r="L169" s="8"/>
      <c r="M169" s="7"/>
      <c r="N169" s="9" t="str">
        <f t="shared" si="12"/>
        <v/>
      </c>
      <c r="O169" s="20"/>
      <c r="Q169" s="652">
        <f t="shared" si="13"/>
        <v>0</v>
      </c>
      <c r="R169" s="652">
        <f t="shared" si="14"/>
        <v>0</v>
      </c>
    </row>
    <row r="170" spans="1:18">
      <c r="A170" s="635"/>
      <c r="B170" s="636"/>
      <c r="C170" s="640"/>
      <c r="D170" s="640"/>
      <c r="E170" s="3"/>
      <c r="F170" s="266"/>
      <c r="G170" s="266"/>
      <c r="H170" s="8"/>
      <c r="I170" s="5"/>
      <c r="J170" s="401">
        <f t="shared" si="11"/>
        <v>0</v>
      </c>
      <c r="K170" s="2"/>
      <c r="L170" s="8"/>
      <c r="M170" s="7"/>
      <c r="N170" s="9" t="str">
        <f t="shared" si="12"/>
        <v/>
      </c>
      <c r="O170" s="20"/>
      <c r="Q170" s="652">
        <f t="shared" si="13"/>
        <v>0</v>
      </c>
      <c r="R170" s="652">
        <f t="shared" si="14"/>
        <v>0</v>
      </c>
    </row>
    <row r="171" spans="1:18">
      <c r="A171" s="635"/>
      <c r="B171" s="636"/>
      <c r="C171" s="640"/>
      <c r="D171" s="640"/>
      <c r="E171" s="3"/>
      <c r="F171" s="266"/>
      <c r="G171" s="266"/>
      <c r="H171" s="8"/>
      <c r="I171" s="5"/>
      <c r="J171" s="401">
        <f t="shared" si="11"/>
        <v>0</v>
      </c>
      <c r="K171" s="2"/>
      <c r="L171" s="8"/>
      <c r="M171" s="7"/>
      <c r="N171" s="9" t="str">
        <f t="shared" si="12"/>
        <v/>
      </c>
      <c r="O171" s="20"/>
      <c r="Q171" s="652">
        <f t="shared" si="13"/>
        <v>0</v>
      </c>
      <c r="R171" s="652">
        <f t="shared" si="14"/>
        <v>0</v>
      </c>
    </row>
    <row r="172" spans="1:18">
      <c r="A172" s="635"/>
      <c r="B172" s="636"/>
      <c r="C172" s="640"/>
      <c r="D172" s="640"/>
      <c r="E172" s="3"/>
      <c r="F172" s="266"/>
      <c r="G172" s="266"/>
      <c r="H172" s="8"/>
      <c r="I172" s="5"/>
      <c r="J172" s="401">
        <f t="shared" si="11"/>
        <v>0</v>
      </c>
      <c r="K172" s="2"/>
      <c r="L172" s="8"/>
      <c r="M172" s="7"/>
      <c r="N172" s="9" t="str">
        <f t="shared" si="12"/>
        <v/>
      </c>
      <c r="O172" s="20"/>
      <c r="Q172" s="652">
        <f t="shared" si="13"/>
        <v>0</v>
      </c>
      <c r="R172" s="652">
        <f t="shared" si="14"/>
        <v>0</v>
      </c>
    </row>
    <row r="173" spans="1:18">
      <c r="A173" s="635"/>
      <c r="B173" s="636"/>
      <c r="C173" s="640"/>
      <c r="D173" s="640"/>
      <c r="E173" s="3"/>
      <c r="F173" s="266"/>
      <c r="G173" s="266"/>
      <c r="H173" s="8"/>
      <c r="I173" s="5"/>
      <c r="J173" s="401">
        <f t="shared" si="11"/>
        <v>0</v>
      </c>
      <c r="K173" s="2"/>
      <c r="L173" s="8"/>
      <c r="M173" s="7"/>
      <c r="N173" s="9" t="str">
        <f t="shared" si="12"/>
        <v/>
      </c>
      <c r="O173" s="20"/>
      <c r="Q173" s="652">
        <f t="shared" si="13"/>
        <v>0</v>
      </c>
      <c r="R173" s="652">
        <f t="shared" si="14"/>
        <v>0</v>
      </c>
    </row>
    <row r="174" spans="1:18">
      <c r="A174" s="635"/>
      <c r="B174" s="636"/>
      <c r="C174" s="640"/>
      <c r="D174" s="640"/>
      <c r="E174" s="3"/>
      <c r="F174" s="266"/>
      <c r="G174" s="266"/>
      <c r="H174" s="8"/>
      <c r="I174" s="5"/>
      <c r="J174" s="401">
        <f t="shared" si="11"/>
        <v>0</v>
      </c>
      <c r="K174" s="2"/>
      <c r="L174" s="8"/>
      <c r="M174" s="7"/>
      <c r="N174" s="9" t="str">
        <f t="shared" si="12"/>
        <v/>
      </c>
      <c r="O174" s="20"/>
      <c r="Q174" s="652">
        <f t="shared" si="13"/>
        <v>0</v>
      </c>
      <c r="R174" s="652">
        <f t="shared" si="14"/>
        <v>0</v>
      </c>
    </row>
    <row r="175" spans="1:18">
      <c r="A175" s="635"/>
      <c r="B175" s="636"/>
      <c r="C175" s="640"/>
      <c r="D175" s="640"/>
      <c r="E175" s="3"/>
      <c r="F175" s="266"/>
      <c r="G175" s="266"/>
      <c r="H175" s="8"/>
      <c r="I175" s="5"/>
      <c r="J175" s="401">
        <f t="shared" si="11"/>
        <v>0</v>
      </c>
      <c r="K175" s="2"/>
      <c r="L175" s="8"/>
      <c r="M175" s="7"/>
      <c r="N175" s="9" t="str">
        <f t="shared" si="12"/>
        <v/>
      </c>
      <c r="O175" s="20"/>
      <c r="Q175" s="652">
        <f t="shared" si="13"/>
        <v>0</v>
      </c>
      <c r="R175" s="652">
        <f t="shared" si="14"/>
        <v>0</v>
      </c>
    </row>
    <row r="176" spans="1:18">
      <c r="A176" s="635"/>
      <c r="B176" s="636"/>
      <c r="C176" s="640"/>
      <c r="D176" s="640"/>
      <c r="E176" s="3"/>
      <c r="F176" s="266"/>
      <c r="G176" s="266"/>
      <c r="H176" s="8"/>
      <c r="I176" s="5"/>
      <c r="J176" s="401">
        <f t="shared" si="11"/>
        <v>0</v>
      </c>
      <c r="K176" s="2"/>
      <c r="L176" s="8"/>
      <c r="M176" s="7"/>
      <c r="N176" s="9" t="str">
        <f t="shared" si="12"/>
        <v/>
      </c>
      <c r="O176" s="20"/>
      <c r="Q176" s="652">
        <f t="shared" si="13"/>
        <v>0</v>
      </c>
      <c r="R176" s="652">
        <f t="shared" si="14"/>
        <v>0</v>
      </c>
    </row>
    <row r="177" spans="1:18">
      <c r="A177" s="635"/>
      <c r="B177" s="636"/>
      <c r="C177" s="640"/>
      <c r="D177" s="640"/>
      <c r="E177" s="3"/>
      <c r="F177" s="266"/>
      <c r="G177" s="266"/>
      <c r="H177" s="8"/>
      <c r="I177" s="5"/>
      <c r="J177" s="401">
        <f t="shared" si="11"/>
        <v>0</v>
      </c>
      <c r="K177" s="2"/>
      <c r="L177" s="8"/>
      <c r="M177" s="7"/>
      <c r="N177" s="9" t="str">
        <f t="shared" si="12"/>
        <v/>
      </c>
      <c r="O177" s="20"/>
      <c r="Q177" s="652">
        <f t="shared" si="13"/>
        <v>0</v>
      </c>
      <c r="R177" s="652">
        <f t="shared" si="14"/>
        <v>0</v>
      </c>
    </row>
    <row r="178" spans="1:18">
      <c r="A178" s="635"/>
      <c r="B178" s="636"/>
      <c r="C178" s="640"/>
      <c r="D178" s="640"/>
      <c r="E178" s="3"/>
      <c r="F178" s="266"/>
      <c r="G178" s="266"/>
      <c r="H178" s="8"/>
      <c r="I178" s="5"/>
      <c r="J178" s="401">
        <f t="shared" si="11"/>
        <v>0</v>
      </c>
      <c r="K178" s="2"/>
      <c r="L178" s="8"/>
      <c r="M178" s="7"/>
      <c r="N178" s="9" t="str">
        <f t="shared" si="12"/>
        <v/>
      </c>
      <c r="O178" s="20"/>
      <c r="Q178" s="652">
        <f t="shared" si="13"/>
        <v>0</v>
      </c>
      <c r="R178" s="652">
        <f t="shared" si="14"/>
        <v>0</v>
      </c>
    </row>
    <row r="179" spans="1:18">
      <c r="A179" s="635"/>
      <c r="B179" s="636"/>
      <c r="C179" s="640"/>
      <c r="D179" s="640"/>
      <c r="E179" s="3"/>
      <c r="F179" s="266"/>
      <c r="G179" s="266"/>
      <c r="H179" s="8"/>
      <c r="I179" s="5"/>
      <c r="J179" s="401">
        <f t="shared" si="11"/>
        <v>0</v>
      </c>
      <c r="K179" s="2"/>
      <c r="L179" s="8"/>
      <c r="M179" s="7"/>
      <c r="N179" s="9" t="str">
        <f t="shared" si="12"/>
        <v/>
      </c>
      <c r="O179" s="20"/>
      <c r="Q179" s="652">
        <f t="shared" si="13"/>
        <v>0</v>
      </c>
      <c r="R179" s="652">
        <f t="shared" si="14"/>
        <v>0</v>
      </c>
    </row>
    <row r="180" spans="1:18">
      <c r="A180" s="635"/>
      <c r="B180" s="636"/>
      <c r="C180" s="640"/>
      <c r="D180" s="640"/>
      <c r="E180" s="3"/>
      <c r="F180" s="266"/>
      <c r="G180" s="266"/>
      <c r="H180" s="8"/>
      <c r="I180" s="5"/>
      <c r="J180" s="401">
        <f t="shared" si="11"/>
        <v>0</v>
      </c>
      <c r="K180" s="2"/>
      <c r="L180" s="8"/>
      <c r="M180" s="7"/>
      <c r="N180" s="9" t="str">
        <f t="shared" si="12"/>
        <v/>
      </c>
      <c r="O180" s="20"/>
      <c r="Q180" s="652">
        <f t="shared" si="13"/>
        <v>0</v>
      </c>
      <c r="R180" s="652">
        <f t="shared" si="14"/>
        <v>0</v>
      </c>
    </row>
    <row r="181" spans="1:18">
      <c r="A181" s="635"/>
      <c r="B181" s="636"/>
      <c r="C181" s="640"/>
      <c r="D181" s="640"/>
      <c r="E181" s="3"/>
      <c r="F181" s="266"/>
      <c r="G181" s="266"/>
      <c r="H181" s="8"/>
      <c r="I181" s="5"/>
      <c r="J181" s="401">
        <f t="shared" si="11"/>
        <v>0</v>
      </c>
      <c r="K181" s="2"/>
      <c r="L181" s="8"/>
      <c r="M181" s="7"/>
      <c r="N181" s="9" t="str">
        <f t="shared" si="12"/>
        <v/>
      </c>
      <c r="O181" s="20"/>
      <c r="Q181" s="652">
        <f t="shared" si="13"/>
        <v>0</v>
      </c>
      <c r="R181" s="652">
        <f t="shared" si="14"/>
        <v>0</v>
      </c>
    </row>
    <row r="182" spans="1:18">
      <c r="A182" s="635"/>
      <c r="B182" s="636"/>
      <c r="C182" s="640"/>
      <c r="D182" s="640"/>
      <c r="E182" s="3"/>
      <c r="F182" s="266"/>
      <c r="G182" s="266"/>
      <c r="H182" s="8"/>
      <c r="I182" s="5"/>
      <c r="J182" s="401">
        <f t="shared" si="11"/>
        <v>0</v>
      </c>
      <c r="K182" s="2"/>
      <c r="L182" s="8"/>
      <c r="M182" s="7"/>
      <c r="N182" s="9" t="str">
        <f t="shared" si="12"/>
        <v/>
      </c>
      <c r="O182" s="20"/>
      <c r="Q182" s="652">
        <f t="shared" si="13"/>
        <v>0</v>
      </c>
      <c r="R182" s="652">
        <f t="shared" si="14"/>
        <v>0</v>
      </c>
    </row>
    <row r="183" spans="1:18">
      <c r="A183" s="635"/>
      <c r="B183" s="636"/>
      <c r="C183" s="640"/>
      <c r="D183" s="640"/>
      <c r="E183" s="3"/>
      <c r="F183" s="266"/>
      <c r="G183" s="266"/>
      <c r="H183" s="8"/>
      <c r="I183" s="5"/>
      <c r="J183" s="401">
        <f t="shared" si="11"/>
        <v>0</v>
      </c>
      <c r="K183" s="2"/>
      <c r="L183" s="8"/>
      <c r="M183" s="7"/>
      <c r="N183" s="9" t="str">
        <f t="shared" si="12"/>
        <v/>
      </c>
      <c r="O183" s="20"/>
      <c r="Q183" s="652">
        <f t="shared" si="13"/>
        <v>0</v>
      </c>
      <c r="R183" s="652">
        <f t="shared" si="14"/>
        <v>0</v>
      </c>
    </row>
    <row r="184" spans="1:18">
      <c r="A184" s="635"/>
      <c r="B184" s="636"/>
      <c r="C184" s="640"/>
      <c r="D184" s="640"/>
      <c r="E184" s="3"/>
      <c r="F184" s="266"/>
      <c r="G184" s="266"/>
      <c r="H184" s="8"/>
      <c r="I184" s="5"/>
      <c r="J184" s="401">
        <f t="shared" si="11"/>
        <v>0</v>
      </c>
      <c r="K184" s="2"/>
      <c r="L184" s="8"/>
      <c r="M184" s="7"/>
      <c r="N184" s="9" t="str">
        <f t="shared" si="12"/>
        <v/>
      </c>
      <c r="O184" s="20"/>
      <c r="Q184" s="652">
        <f t="shared" si="13"/>
        <v>0</v>
      </c>
      <c r="R184" s="652">
        <f t="shared" si="14"/>
        <v>0</v>
      </c>
    </row>
    <row r="185" spans="1:18">
      <c r="A185" s="635"/>
      <c r="B185" s="636"/>
      <c r="C185" s="639"/>
      <c r="D185" s="640"/>
      <c r="E185" s="3"/>
      <c r="F185" s="266"/>
      <c r="G185" s="266"/>
      <c r="H185" s="8"/>
      <c r="I185" s="5"/>
      <c r="J185" s="401">
        <f t="shared" si="11"/>
        <v>0</v>
      </c>
      <c r="K185" s="2"/>
      <c r="L185" s="8"/>
      <c r="M185" s="7"/>
      <c r="N185" s="9" t="str">
        <f t="shared" si="12"/>
        <v/>
      </c>
      <c r="O185" s="20"/>
      <c r="Q185" s="652">
        <f t="shared" si="13"/>
        <v>0</v>
      </c>
      <c r="R185" s="652">
        <f t="shared" si="14"/>
        <v>0</v>
      </c>
    </row>
    <row r="186" spans="1:18">
      <c r="A186" s="635"/>
      <c r="B186" s="636"/>
      <c r="C186" s="640"/>
      <c r="D186" s="640"/>
      <c r="E186" s="3"/>
      <c r="F186" s="266"/>
      <c r="G186" s="266"/>
      <c r="H186" s="8"/>
      <c r="I186" s="5"/>
      <c r="J186" s="401">
        <f t="shared" si="11"/>
        <v>0</v>
      </c>
      <c r="K186" s="2"/>
      <c r="L186" s="8"/>
      <c r="M186" s="7"/>
      <c r="N186" s="9" t="str">
        <f t="shared" si="12"/>
        <v/>
      </c>
      <c r="O186" s="20"/>
      <c r="Q186" s="652">
        <f t="shared" si="13"/>
        <v>0</v>
      </c>
      <c r="R186" s="652">
        <f t="shared" si="14"/>
        <v>0</v>
      </c>
    </row>
    <row r="187" spans="1:18">
      <c r="A187" s="635"/>
      <c r="B187" s="636"/>
      <c r="C187" s="640"/>
      <c r="D187" s="640"/>
      <c r="E187" s="3"/>
      <c r="F187" s="266"/>
      <c r="G187" s="266"/>
      <c r="H187" s="8"/>
      <c r="I187" s="5"/>
      <c r="J187" s="401">
        <f t="shared" si="11"/>
        <v>0</v>
      </c>
      <c r="K187" s="2"/>
      <c r="L187" s="8"/>
      <c r="M187" s="7"/>
      <c r="N187" s="9" t="str">
        <f t="shared" si="12"/>
        <v/>
      </c>
      <c r="O187" s="20"/>
      <c r="Q187" s="652">
        <f t="shared" si="13"/>
        <v>0</v>
      </c>
      <c r="R187" s="652">
        <f t="shared" si="14"/>
        <v>0</v>
      </c>
    </row>
    <row r="188" spans="1:18">
      <c r="A188" s="635"/>
      <c r="B188" s="636"/>
      <c r="C188" s="640"/>
      <c r="D188" s="640"/>
      <c r="E188" s="3"/>
      <c r="F188" s="266"/>
      <c r="G188" s="266"/>
      <c r="H188" s="8"/>
      <c r="I188" s="5"/>
      <c r="J188" s="401">
        <f t="shared" si="11"/>
        <v>0</v>
      </c>
      <c r="K188" s="2"/>
      <c r="L188" s="8"/>
      <c r="M188" s="7"/>
      <c r="N188" s="9" t="str">
        <f t="shared" si="12"/>
        <v/>
      </c>
      <c r="O188" s="20"/>
      <c r="Q188" s="652">
        <f t="shared" si="13"/>
        <v>0</v>
      </c>
      <c r="R188" s="652">
        <f t="shared" si="14"/>
        <v>0</v>
      </c>
    </row>
    <row r="189" spans="1:18">
      <c r="A189" s="635"/>
      <c r="B189" s="636"/>
      <c r="C189" s="640"/>
      <c r="D189" s="640"/>
      <c r="E189" s="3"/>
      <c r="F189" s="266"/>
      <c r="G189" s="266"/>
      <c r="H189" s="8"/>
      <c r="I189" s="5"/>
      <c r="J189" s="401">
        <f t="shared" si="11"/>
        <v>0</v>
      </c>
      <c r="K189" s="2"/>
      <c r="L189" s="8"/>
      <c r="M189" s="7"/>
      <c r="N189" s="9" t="str">
        <f t="shared" si="12"/>
        <v/>
      </c>
      <c r="O189" s="20"/>
      <c r="Q189" s="652">
        <f t="shared" si="13"/>
        <v>0</v>
      </c>
      <c r="R189" s="652">
        <f t="shared" si="14"/>
        <v>0</v>
      </c>
    </row>
    <row r="190" spans="1:18">
      <c r="A190" s="635"/>
      <c r="B190" s="636"/>
      <c r="C190" s="640"/>
      <c r="D190" s="640"/>
      <c r="E190" s="3"/>
      <c r="F190" s="266"/>
      <c r="G190" s="266"/>
      <c r="H190" s="8"/>
      <c r="I190" s="5"/>
      <c r="J190" s="401">
        <f t="shared" si="11"/>
        <v>0</v>
      </c>
      <c r="K190" s="2"/>
      <c r="L190" s="8"/>
      <c r="M190" s="7"/>
      <c r="N190" s="9" t="str">
        <f t="shared" si="12"/>
        <v/>
      </c>
      <c r="O190" s="20"/>
      <c r="Q190" s="652">
        <f t="shared" si="13"/>
        <v>0</v>
      </c>
      <c r="R190" s="652">
        <f t="shared" si="14"/>
        <v>0</v>
      </c>
    </row>
    <row r="191" spans="1:18">
      <c r="A191" s="635"/>
      <c r="B191" s="636"/>
      <c r="C191" s="640"/>
      <c r="D191" s="640"/>
      <c r="E191" s="3"/>
      <c r="F191" s="266"/>
      <c r="G191" s="266"/>
      <c r="H191" s="8"/>
      <c r="I191" s="5"/>
      <c r="J191" s="401">
        <f t="shared" si="11"/>
        <v>0</v>
      </c>
      <c r="K191" s="2"/>
      <c r="L191" s="8"/>
      <c r="M191" s="7"/>
      <c r="N191" s="9" t="str">
        <f t="shared" si="12"/>
        <v/>
      </c>
      <c r="O191" s="20"/>
      <c r="Q191" s="652">
        <f t="shared" si="13"/>
        <v>0</v>
      </c>
      <c r="R191" s="652">
        <f t="shared" si="14"/>
        <v>0</v>
      </c>
    </row>
    <row r="192" spans="1:18">
      <c r="A192" s="635"/>
      <c r="B192" s="636"/>
      <c r="C192" s="640"/>
      <c r="D192" s="640"/>
      <c r="E192" s="3"/>
      <c r="F192" s="266"/>
      <c r="G192" s="266"/>
      <c r="H192" s="8"/>
      <c r="I192" s="5"/>
      <c r="J192" s="401">
        <f t="shared" si="11"/>
        <v>0</v>
      </c>
      <c r="K192" s="2"/>
      <c r="L192" s="8"/>
      <c r="M192" s="7"/>
      <c r="N192" s="9" t="str">
        <f t="shared" si="12"/>
        <v/>
      </c>
      <c r="O192" s="20"/>
      <c r="Q192" s="652">
        <f t="shared" si="13"/>
        <v>0</v>
      </c>
      <c r="R192" s="652">
        <f t="shared" si="14"/>
        <v>0</v>
      </c>
    </row>
    <row r="193" spans="1:18">
      <c r="A193" s="635"/>
      <c r="B193" s="636"/>
      <c r="C193" s="640"/>
      <c r="D193" s="640"/>
      <c r="E193" s="3"/>
      <c r="F193" s="266"/>
      <c r="G193" s="266"/>
      <c r="H193" s="8"/>
      <c r="I193" s="5"/>
      <c r="J193" s="401">
        <f t="shared" si="11"/>
        <v>0</v>
      </c>
      <c r="K193" s="2"/>
      <c r="L193" s="8"/>
      <c r="M193" s="7"/>
      <c r="N193" s="9" t="str">
        <f t="shared" si="12"/>
        <v/>
      </c>
      <c r="O193" s="20"/>
      <c r="Q193" s="652">
        <f t="shared" si="13"/>
        <v>0</v>
      </c>
      <c r="R193" s="652">
        <f t="shared" si="14"/>
        <v>0</v>
      </c>
    </row>
    <row r="194" spans="1:18">
      <c r="A194" s="635"/>
      <c r="B194" s="636"/>
      <c r="C194" s="640"/>
      <c r="D194" s="640"/>
      <c r="E194" s="3"/>
      <c r="F194" s="266"/>
      <c r="G194" s="266"/>
      <c r="H194" s="8"/>
      <c r="I194" s="5"/>
      <c r="J194" s="401">
        <f t="shared" si="11"/>
        <v>0</v>
      </c>
      <c r="K194" s="2"/>
      <c r="L194" s="8"/>
      <c r="M194" s="7"/>
      <c r="N194" s="9" t="str">
        <f t="shared" si="12"/>
        <v/>
      </c>
      <c r="O194" s="20"/>
      <c r="Q194" s="652">
        <f t="shared" si="13"/>
        <v>0</v>
      </c>
      <c r="R194" s="652">
        <f t="shared" si="14"/>
        <v>0</v>
      </c>
    </row>
    <row r="195" spans="1:18">
      <c r="A195" s="635"/>
      <c r="B195" s="636"/>
      <c r="C195" s="640"/>
      <c r="D195" s="640"/>
      <c r="E195" s="3"/>
      <c r="F195" s="266"/>
      <c r="G195" s="266"/>
      <c r="H195" s="8"/>
      <c r="I195" s="5"/>
      <c r="J195" s="401">
        <f t="shared" si="11"/>
        <v>0</v>
      </c>
      <c r="K195" s="2"/>
      <c r="L195" s="8"/>
      <c r="M195" s="7"/>
      <c r="N195" s="9" t="str">
        <f t="shared" si="12"/>
        <v/>
      </c>
      <c r="O195" s="20"/>
      <c r="Q195" s="652">
        <f t="shared" si="13"/>
        <v>0</v>
      </c>
      <c r="R195" s="652">
        <f t="shared" si="14"/>
        <v>0</v>
      </c>
    </row>
    <row r="196" spans="1:18">
      <c r="A196" s="635"/>
      <c r="B196" s="636"/>
      <c r="C196" s="640"/>
      <c r="D196" s="640"/>
      <c r="E196" s="3"/>
      <c r="F196" s="266"/>
      <c r="G196" s="266"/>
      <c r="H196" s="8"/>
      <c r="I196" s="5"/>
      <c r="J196" s="401">
        <f t="shared" si="11"/>
        <v>0</v>
      </c>
      <c r="K196" s="2"/>
      <c r="L196" s="8"/>
      <c r="M196" s="7"/>
      <c r="N196" s="9" t="str">
        <f t="shared" si="12"/>
        <v/>
      </c>
      <c r="O196" s="20"/>
      <c r="Q196" s="652">
        <f t="shared" si="13"/>
        <v>0</v>
      </c>
      <c r="R196" s="652">
        <f t="shared" si="14"/>
        <v>0</v>
      </c>
    </row>
    <row r="197" spans="1:18">
      <c r="A197" s="635"/>
      <c r="B197" s="636"/>
      <c r="C197" s="640"/>
      <c r="D197" s="640"/>
      <c r="E197" s="3"/>
      <c r="F197" s="266"/>
      <c r="G197" s="266"/>
      <c r="H197" s="8"/>
      <c r="I197" s="5"/>
      <c r="J197" s="401">
        <f t="shared" si="11"/>
        <v>0</v>
      </c>
      <c r="K197" s="2"/>
      <c r="L197" s="8"/>
      <c r="M197" s="7"/>
      <c r="N197" s="9" t="str">
        <f t="shared" si="12"/>
        <v/>
      </c>
      <c r="O197" s="20"/>
      <c r="Q197" s="652">
        <f t="shared" si="13"/>
        <v>0</v>
      </c>
      <c r="R197" s="652">
        <f t="shared" si="14"/>
        <v>0</v>
      </c>
    </row>
    <row r="198" spans="1:18">
      <c r="A198" s="635"/>
      <c r="B198" s="636"/>
      <c r="C198" s="640"/>
      <c r="D198" s="640"/>
      <c r="E198" s="3"/>
      <c r="F198" s="266"/>
      <c r="G198" s="266"/>
      <c r="H198" s="8"/>
      <c r="I198" s="5"/>
      <c r="J198" s="401">
        <f t="shared" ref="J198:J261" si="15">(+F198*G198+H198*I198)*E198</f>
        <v>0</v>
      </c>
      <c r="K198" s="2"/>
      <c r="L198" s="8"/>
      <c r="M198" s="7"/>
      <c r="N198" s="9" t="str">
        <f t="shared" ref="N198:N261" si="16">IF(K198=0,"",L198*M198*E198)</f>
        <v/>
      </c>
      <c r="O198" s="20"/>
      <c r="Q198" s="652">
        <f t="shared" ref="Q198:Q261" si="17">F198*G198*E198</f>
        <v>0</v>
      </c>
      <c r="R198" s="652">
        <f t="shared" ref="R198:R261" si="18">H198*E198*I198</f>
        <v>0</v>
      </c>
    </row>
    <row r="199" spans="1:18">
      <c r="A199" s="635"/>
      <c r="B199" s="636"/>
      <c r="C199" s="640"/>
      <c r="D199" s="640"/>
      <c r="E199" s="3"/>
      <c r="F199" s="266"/>
      <c r="G199" s="266"/>
      <c r="H199" s="8"/>
      <c r="I199" s="5"/>
      <c r="J199" s="401">
        <f t="shared" si="15"/>
        <v>0</v>
      </c>
      <c r="K199" s="2"/>
      <c r="L199" s="8"/>
      <c r="M199" s="7"/>
      <c r="N199" s="9" t="str">
        <f t="shared" si="16"/>
        <v/>
      </c>
      <c r="O199" s="20"/>
      <c r="Q199" s="652">
        <f t="shared" si="17"/>
        <v>0</v>
      </c>
      <c r="R199" s="652">
        <f t="shared" si="18"/>
        <v>0</v>
      </c>
    </row>
    <row r="200" spans="1:18">
      <c r="A200" s="635"/>
      <c r="B200" s="636"/>
      <c r="C200" s="640"/>
      <c r="D200" s="640"/>
      <c r="E200" s="3"/>
      <c r="F200" s="266"/>
      <c r="G200" s="266"/>
      <c r="H200" s="8"/>
      <c r="I200" s="5"/>
      <c r="J200" s="401">
        <f t="shared" si="15"/>
        <v>0</v>
      </c>
      <c r="K200" s="2"/>
      <c r="L200" s="8"/>
      <c r="M200" s="7"/>
      <c r="N200" s="9" t="str">
        <f t="shared" si="16"/>
        <v/>
      </c>
      <c r="O200" s="20"/>
      <c r="Q200" s="652">
        <f t="shared" si="17"/>
        <v>0</v>
      </c>
      <c r="R200" s="652">
        <f t="shared" si="18"/>
        <v>0</v>
      </c>
    </row>
    <row r="201" spans="1:18">
      <c r="A201" s="635"/>
      <c r="B201" s="636"/>
      <c r="C201" s="640"/>
      <c r="D201" s="640"/>
      <c r="E201" s="3"/>
      <c r="F201" s="266"/>
      <c r="G201" s="266"/>
      <c r="H201" s="8"/>
      <c r="I201" s="5"/>
      <c r="J201" s="401">
        <f t="shared" si="15"/>
        <v>0</v>
      </c>
      <c r="K201" s="2"/>
      <c r="L201" s="8"/>
      <c r="M201" s="7"/>
      <c r="N201" s="9" t="str">
        <f t="shared" si="16"/>
        <v/>
      </c>
      <c r="O201" s="20"/>
      <c r="Q201" s="652">
        <f t="shared" si="17"/>
        <v>0</v>
      </c>
      <c r="R201" s="652">
        <f t="shared" si="18"/>
        <v>0</v>
      </c>
    </row>
    <row r="202" spans="1:18">
      <c r="A202" s="635"/>
      <c r="B202" s="636"/>
      <c r="C202" s="640"/>
      <c r="D202" s="640"/>
      <c r="E202" s="3"/>
      <c r="F202" s="266"/>
      <c r="G202" s="266"/>
      <c r="H202" s="8"/>
      <c r="I202" s="5"/>
      <c r="J202" s="401">
        <f t="shared" si="15"/>
        <v>0</v>
      </c>
      <c r="K202" s="2"/>
      <c r="L202" s="8"/>
      <c r="M202" s="7"/>
      <c r="N202" s="9" t="str">
        <f t="shared" si="16"/>
        <v/>
      </c>
      <c r="O202" s="20"/>
      <c r="Q202" s="652">
        <f t="shared" si="17"/>
        <v>0</v>
      </c>
      <c r="R202" s="652">
        <f t="shared" si="18"/>
        <v>0</v>
      </c>
    </row>
    <row r="203" spans="1:18">
      <c r="A203" s="635"/>
      <c r="B203" s="636"/>
      <c r="C203" s="640"/>
      <c r="D203" s="640"/>
      <c r="E203" s="3"/>
      <c r="F203" s="266"/>
      <c r="G203" s="266"/>
      <c r="H203" s="8"/>
      <c r="I203" s="5"/>
      <c r="J203" s="401">
        <f t="shared" si="15"/>
        <v>0</v>
      </c>
      <c r="K203" s="2"/>
      <c r="L203" s="8"/>
      <c r="M203" s="7"/>
      <c r="N203" s="9" t="str">
        <f t="shared" si="16"/>
        <v/>
      </c>
      <c r="O203" s="20"/>
      <c r="Q203" s="652">
        <f t="shared" si="17"/>
        <v>0</v>
      </c>
      <c r="R203" s="652">
        <f t="shared" si="18"/>
        <v>0</v>
      </c>
    </row>
    <row r="204" spans="1:18">
      <c r="A204" s="635"/>
      <c r="B204" s="636"/>
      <c r="C204" s="640"/>
      <c r="D204" s="640"/>
      <c r="E204" s="3"/>
      <c r="F204" s="266"/>
      <c r="G204" s="266"/>
      <c r="H204" s="8"/>
      <c r="I204" s="5"/>
      <c r="J204" s="401">
        <f t="shared" si="15"/>
        <v>0</v>
      </c>
      <c r="K204" s="2"/>
      <c r="L204" s="8"/>
      <c r="M204" s="7"/>
      <c r="N204" s="9" t="str">
        <f t="shared" si="16"/>
        <v/>
      </c>
      <c r="O204" s="20"/>
      <c r="Q204" s="652">
        <f t="shared" si="17"/>
        <v>0</v>
      </c>
      <c r="R204" s="652">
        <f t="shared" si="18"/>
        <v>0</v>
      </c>
    </row>
    <row r="205" spans="1:18">
      <c r="A205" s="635"/>
      <c r="B205" s="636"/>
      <c r="C205" s="640"/>
      <c r="D205" s="640"/>
      <c r="E205" s="3"/>
      <c r="F205" s="266"/>
      <c r="G205" s="266"/>
      <c r="H205" s="8"/>
      <c r="I205" s="5"/>
      <c r="J205" s="401">
        <f t="shared" si="15"/>
        <v>0</v>
      </c>
      <c r="K205" s="2"/>
      <c r="L205" s="8"/>
      <c r="M205" s="7"/>
      <c r="N205" s="9" t="str">
        <f t="shared" si="16"/>
        <v/>
      </c>
      <c r="O205" s="20"/>
      <c r="Q205" s="652">
        <f t="shared" si="17"/>
        <v>0</v>
      </c>
      <c r="R205" s="652">
        <f t="shared" si="18"/>
        <v>0</v>
      </c>
    </row>
    <row r="206" spans="1:18">
      <c r="A206" s="635"/>
      <c r="B206" s="636"/>
      <c r="C206" s="640"/>
      <c r="D206" s="640"/>
      <c r="E206" s="3"/>
      <c r="F206" s="266"/>
      <c r="G206" s="266"/>
      <c r="H206" s="8"/>
      <c r="I206" s="5"/>
      <c r="J206" s="401">
        <f t="shared" si="15"/>
        <v>0</v>
      </c>
      <c r="K206" s="2"/>
      <c r="L206" s="8"/>
      <c r="M206" s="7"/>
      <c r="N206" s="9" t="str">
        <f t="shared" si="16"/>
        <v/>
      </c>
      <c r="O206" s="20"/>
      <c r="Q206" s="652">
        <f t="shared" si="17"/>
        <v>0</v>
      </c>
      <c r="R206" s="652">
        <f t="shared" si="18"/>
        <v>0</v>
      </c>
    </row>
    <row r="207" spans="1:18">
      <c r="A207" s="635"/>
      <c r="B207" s="636"/>
      <c r="C207" s="640"/>
      <c r="D207" s="640"/>
      <c r="E207" s="3"/>
      <c r="F207" s="266"/>
      <c r="G207" s="266"/>
      <c r="H207" s="8"/>
      <c r="I207" s="5"/>
      <c r="J207" s="401">
        <f t="shared" si="15"/>
        <v>0</v>
      </c>
      <c r="K207" s="2"/>
      <c r="L207" s="8"/>
      <c r="M207" s="7"/>
      <c r="N207" s="9" t="str">
        <f t="shared" si="16"/>
        <v/>
      </c>
      <c r="O207" s="20"/>
      <c r="Q207" s="652">
        <f t="shared" si="17"/>
        <v>0</v>
      </c>
      <c r="R207" s="652">
        <f t="shared" si="18"/>
        <v>0</v>
      </c>
    </row>
    <row r="208" spans="1:18">
      <c r="A208" s="635"/>
      <c r="B208" s="636"/>
      <c r="C208" s="640"/>
      <c r="D208" s="640"/>
      <c r="E208" s="3"/>
      <c r="F208" s="266"/>
      <c r="G208" s="266"/>
      <c r="H208" s="8"/>
      <c r="I208" s="5"/>
      <c r="J208" s="401">
        <f t="shared" si="15"/>
        <v>0</v>
      </c>
      <c r="K208" s="2"/>
      <c r="L208" s="8"/>
      <c r="M208" s="7"/>
      <c r="N208" s="9" t="str">
        <f t="shared" si="16"/>
        <v/>
      </c>
      <c r="O208" s="20"/>
      <c r="Q208" s="652">
        <f t="shared" si="17"/>
        <v>0</v>
      </c>
      <c r="R208" s="652">
        <f t="shared" si="18"/>
        <v>0</v>
      </c>
    </row>
    <row r="209" spans="1:18">
      <c r="A209" s="635"/>
      <c r="B209" s="636"/>
      <c r="C209" s="640"/>
      <c r="D209" s="640"/>
      <c r="E209" s="3"/>
      <c r="F209" s="266"/>
      <c r="G209" s="266"/>
      <c r="H209" s="8"/>
      <c r="I209" s="5"/>
      <c r="J209" s="401">
        <f t="shared" si="15"/>
        <v>0</v>
      </c>
      <c r="K209" s="2"/>
      <c r="L209" s="8"/>
      <c r="M209" s="7"/>
      <c r="N209" s="9" t="str">
        <f t="shared" si="16"/>
        <v/>
      </c>
      <c r="O209" s="20"/>
      <c r="Q209" s="652">
        <f t="shared" si="17"/>
        <v>0</v>
      </c>
      <c r="R209" s="652">
        <f t="shared" si="18"/>
        <v>0</v>
      </c>
    </row>
    <row r="210" spans="1:18">
      <c r="A210" s="635"/>
      <c r="B210" s="636"/>
      <c r="C210" s="640"/>
      <c r="D210" s="640"/>
      <c r="E210" s="3"/>
      <c r="F210" s="266"/>
      <c r="G210" s="266"/>
      <c r="H210" s="8"/>
      <c r="I210" s="5"/>
      <c r="J210" s="401">
        <f t="shared" si="15"/>
        <v>0</v>
      </c>
      <c r="K210" s="2"/>
      <c r="L210" s="8"/>
      <c r="M210" s="7"/>
      <c r="N210" s="9" t="str">
        <f t="shared" si="16"/>
        <v/>
      </c>
      <c r="O210" s="20"/>
      <c r="Q210" s="652">
        <f t="shared" si="17"/>
        <v>0</v>
      </c>
      <c r="R210" s="652">
        <f t="shared" si="18"/>
        <v>0</v>
      </c>
    </row>
    <row r="211" spans="1:18">
      <c r="A211" s="635"/>
      <c r="B211" s="636"/>
      <c r="C211" s="640"/>
      <c r="D211" s="640"/>
      <c r="E211" s="3"/>
      <c r="F211" s="266"/>
      <c r="G211" s="266"/>
      <c r="H211" s="8"/>
      <c r="I211" s="5"/>
      <c r="J211" s="401">
        <f t="shared" si="15"/>
        <v>0</v>
      </c>
      <c r="K211" s="2"/>
      <c r="L211" s="8"/>
      <c r="M211" s="7"/>
      <c r="N211" s="9" t="str">
        <f t="shared" si="16"/>
        <v/>
      </c>
      <c r="O211" s="20"/>
      <c r="Q211" s="652">
        <f t="shared" si="17"/>
        <v>0</v>
      </c>
      <c r="R211" s="652">
        <f t="shared" si="18"/>
        <v>0</v>
      </c>
    </row>
    <row r="212" spans="1:18">
      <c r="A212" s="635"/>
      <c r="B212" s="636"/>
      <c r="C212" s="640"/>
      <c r="D212" s="640"/>
      <c r="E212" s="3"/>
      <c r="F212" s="266"/>
      <c r="G212" s="266"/>
      <c r="H212" s="8"/>
      <c r="I212" s="5"/>
      <c r="J212" s="401">
        <f t="shared" si="15"/>
        <v>0</v>
      </c>
      <c r="K212" s="2"/>
      <c r="L212" s="8"/>
      <c r="M212" s="7"/>
      <c r="N212" s="9" t="str">
        <f t="shared" si="16"/>
        <v/>
      </c>
      <c r="O212" s="20"/>
      <c r="Q212" s="652">
        <f t="shared" si="17"/>
        <v>0</v>
      </c>
      <c r="R212" s="652">
        <f t="shared" si="18"/>
        <v>0</v>
      </c>
    </row>
    <row r="213" spans="1:18">
      <c r="A213" s="635"/>
      <c r="B213" s="636"/>
      <c r="C213" s="640"/>
      <c r="D213" s="640"/>
      <c r="E213" s="3"/>
      <c r="F213" s="266"/>
      <c r="G213" s="266"/>
      <c r="H213" s="8"/>
      <c r="I213" s="5"/>
      <c r="J213" s="401">
        <f t="shared" si="15"/>
        <v>0</v>
      </c>
      <c r="K213" s="2"/>
      <c r="L213" s="8"/>
      <c r="M213" s="7"/>
      <c r="N213" s="9" t="str">
        <f t="shared" si="16"/>
        <v/>
      </c>
      <c r="O213" s="20"/>
      <c r="Q213" s="652">
        <f t="shared" si="17"/>
        <v>0</v>
      </c>
      <c r="R213" s="652">
        <f t="shared" si="18"/>
        <v>0</v>
      </c>
    </row>
    <row r="214" spans="1:18">
      <c r="A214" s="635"/>
      <c r="B214" s="636"/>
      <c r="C214" s="640"/>
      <c r="D214" s="640"/>
      <c r="E214" s="3"/>
      <c r="F214" s="266"/>
      <c r="G214" s="266"/>
      <c r="H214" s="8"/>
      <c r="I214" s="5"/>
      <c r="J214" s="401">
        <f t="shared" si="15"/>
        <v>0</v>
      </c>
      <c r="K214" s="2"/>
      <c r="L214" s="8"/>
      <c r="M214" s="7"/>
      <c r="N214" s="9" t="str">
        <f t="shared" si="16"/>
        <v/>
      </c>
      <c r="O214" s="20"/>
      <c r="Q214" s="652">
        <f t="shared" si="17"/>
        <v>0</v>
      </c>
      <c r="R214" s="652">
        <f t="shared" si="18"/>
        <v>0</v>
      </c>
    </row>
    <row r="215" spans="1:18">
      <c r="A215" s="635"/>
      <c r="B215" s="636"/>
      <c r="C215" s="640"/>
      <c r="D215" s="640"/>
      <c r="E215" s="3"/>
      <c r="F215" s="266"/>
      <c r="G215" s="266"/>
      <c r="H215" s="8"/>
      <c r="I215" s="5"/>
      <c r="J215" s="401">
        <f t="shared" si="15"/>
        <v>0</v>
      </c>
      <c r="K215" s="2"/>
      <c r="L215" s="8"/>
      <c r="M215" s="7"/>
      <c r="N215" s="9" t="str">
        <f t="shared" si="16"/>
        <v/>
      </c>
      <c r="O215" s="20"/>
      <c r="Q215" s="652">
        <f t="shared" si="17"/>
        <v>0</v>
      </c>
      <c r="R215" s="652">
        <f t="shared" si="18"/>
        <v>0</v>
      </c>
    </row>
    <row r="216" spans="1:18">
      <c r="A216" s="635"/>
      <c r="B216" s="636"/>
      <c r="C216" s="640"/>
      <c r="D216" s="640"/>
      <c r="E216" s="3"/>
      <c r="F216" s="266"/>
      <c r="G216" s="266"/>
      <c r="H216" s="8"/>
      <c r="I216" s="5"/>
      <c r="J216" s="401">
        <f t="shared" si="15"/>
        <v>0</v>
      </c>
      <c r="K216" s="2"/>
      <c r="L216" s="8"/>
      <c r="M216" s="7"/>
      <c r="N216" s="9" t="str">
        <f t="shared" si="16"/>
        <v/>
      </c>
      <c r="O216" s="20"/>
      <c r="Q216" s="652">
        <f t="shared" si="17"/>
        <v>0</v>
      </c>
      <c r="R216" s="652">
        <f t="shared" si="18"/>
        <v>0</v>
      </c>
    </row>
    <row r="217" spans="1:18">
      <c r="A217" s="635"/>
      <c r="B217" s="636"/>
      <c r="C217" s="640"/>
      <c r="D217" s="640"/>
      <c r="E217" s="3"/>
      <c r="F217" s="266"/>
      <c r="G217" s="266"/>
      <c r="H217" s="8"/>
      <c r="I217" s="5"/>
      <c r="J217" s="401">
        <f t="shared" si="15"/>
        <v>0</v>
      </c>
      <c r="K217" s="2"/>
      <c r="L217" s="8"/>
      <c r="M217" s="7"/>
      <c r="N217" s="9" t="str">
        <f t="shared" si="16"/>
        <v/>
      </c>
      <c r="O217" s="20"/>
      <c r="Q217" s="652">
        <f t="shared" si="17"/>
        <v>0</v>
      </c>
      <c r="R217" s="652">
        <f t="shared" si="18"/>
        <v>0</v>
      </c>
    </row>
    <row r="218" spans="1:18">
      <c r="A218" s="635"/>
      <c r="B218" s="636"/>
      <c r="C218" s="640"/>
      <c r="D218" s="640"/>
      <c r="E218" s="3"/>
      <c r="F218" s="266"/>
      <c r="G218" s="266"/>
      <c r="H218" s="8"/>
      <c r="I218" s="5"/>
      <c r="J218" s="401">
        <f t="shared" si="15"/>
        <v>0</v>
      </c>
      <c r="K218" s="2"/>
      <c r="L218" s="8"/>
      <c r="M218" s="7"/>
      <c r="N218" s="9" t="str">
        <f t="shared" si="16"/>
        <v/>
      </c>
      <c r="O218" s="20"/>
      <c r="Q218" s="652">
        <f t="shared" si="17"/>
        <v>0</v>
      </c>
      <c r="R218" s="652">
        <f t="shared" si="18"/>
        <v>0</v>
      </c>
    </row>
    <row r="219" spans="1:18">
      <c r="A219" s="635"/>
      <c r="B219" s="636"/>
      <c r="C219" s="640"/>
      <c r="D219" s="640"/>
      <c r="E219" s="3"/>
      <c r="F219" s="266"/>
      <c r="G219" s="266"/>
      <c r="H219" s="8"/>
      <c r="I219" s="5"/>
      <c r="J219" s="401">
        <f t="shared" si="15"/>
        <v>0</v>
      </c>
      <c r="K219" s="2"/>
      <c r="L219" s="8"/>
      <c r="M219" s="7"/>
      <c r="N219" s="9" t="str">
        <f t="shared" si="16"/>
        <v/>
      </c>
      <c r="O219" s="20"/>
      <c r="Q219" s="652">
        <f t="shared" si="17"/>
        <v>0</v>
      </c>
      <c r="R219" s="652">
        <f t="shared" si="18"/>
        <v>0</v>
      </c>
    </row>
    <row r="220" spans="1:18">
      <c r="A220" s="635"/>
      <c r="B220" s="636"/>
      <c r="C220" s="640"/>
      <c r="D220" s="640"/>
      <c r="E220" s="3"/>
      <c r="F220" s="266"/>
      <c r="G220" s="266"/>
      <c r="H220" s="8"/>
      <c r="I220" s="5"/>
      <c r="J220" s="401">
        <f t="shared" si="15"/>
        <v>0</v>
      </c>
      <c r="K220" s="2"/>
      <c r="L220" s="8"/>
      <c r="M220" s="7"/>
      <c r="N220" s="9" t="str">
        <f t="shared" si="16"/>
        <v/>
      </c>
      <c r="O220" s="20"/>
      <c r="Q220" s="652">
        <f t="shared" si="17"/>
        <v>0</v>
      </c>
      <c r="R220" s="652">
        <f t="shared" si="18"/>
        <v>0</v>
      </c>
    </row>
    <row r="221" spans="1:18">
      <c r="A221" s="635"/>
      <c r="B221" s="636"/>
      <c r="C221" s="640"/>
      <c r="D221" s="640"/>
      <c r="E221" s="3"/>
      <c r="F221" s="266"/>
      <c r="G221" s="266"/>
      <c r="H221" s="8"/>
      <c r="I221" s="5"/>
      <c r="J221" s="401">
        <f t="shared" si="15"/>
        <v>0</v>
      </c>
      <c r="K221" s="2"/>
      <c r="L221" s="8"/>
      <c r="M221" s="7"/>
      <c r="N221" s="9" t="str">
        <f t="shared" si="16"/>
        <v/>
      </c>
      <c r="O221" s="20"/>
      <c r="Q221" s="652">
        <f t="shared" si="17"/>
        <v>0</v>
      </c>
      <c r="R221" s="652">
        <f t="shared" si="18"/>
        <v>0</v>
      </c>
    </row>
    <row r="222" spans="1:18">
      <c r="A222" s="635"/>
      <c r="B222" s="636"/>
      <c r="C222" s="640"/>
      <c r="D222" s="640"/>
      <c r="E222" s="3"/>
      <c r="F222" s="266"/>
      <c r="G222" s="266"/>
      <c r="H222" s="8"/>
      <c r="I222" s="5"/>
      <c r="J222" s="401">
        <f t="shared" si="15"/>
        <v>0</v>
      </c>
      <c r="K222" s="2"/>
      <c r="L222" s="8"/>
      <c r="M222" s="7"/>
      <c r="N222" s="9" t="str">
        <f t="shared" si="16"/>
        <v/>
      </c>
      <c r="O222" s="20"/>
      <c r="Q222" s="652">
        <f t="shared" si="17"/>
        <v>0</v>
      </c>
      <c r="R222" s="652">
        <f t="shared" si="18"/>
        <v>0</v>
      </c>
    </row>
    <row r="223" spans="1:18">
      <c r="A223" s="635"/>
      <c r="B223" s="636"/>
      <c r="C223" s="640"/>
      <c r="D223" s="640"/>
      <c r="E223" s="3"/>
      <c r="F223" s="266"/>
      <c r="G223" s="266"/>
      <c r="H223" s="8"/>
      <c r="I223" s="5"/>
      <c r="J223" s="401">
        <f t="shared" si="15"/>
        <v>0</v>
      </c>
      <c r="K223" s="2"/>
      <c r="L223" s="8"/>
      <c r="M223" s="7"/>
      <c r="N223" s="9" t="str">
        <f t="shared" si="16"/>
        <v/>
      </c>
      <c r="O223" s="20"/>
      <c r="Q223" s="652">
        <f t="shared" si="17"/>
        <v>0</v>
      </c>
      <c r="R223" s="652">
        <f t="shared" si="18"/>
        <v>0</v>
      </c>
    </row>
    <row r="224" spans="1:18">
      <c r="A224" s="635"/>
      <c r="B224" s="636"/>
      <c r="C224" s="640"/>
      <c r="D224" s="640"/>
      <c r="E224" s="3"/>
      <c r="F224" s="266"/>
      <c r="G224" s="266"/>
      <c r="H224" s="8"/>
      <c r="I224" s="5"/>
      <c r="J224" s="401">
        <f t="shared" si="15"/>
        <v>0</v>
      </c>
      <c r="K224" s="2"/>
      <c r="L224" s="8"/>
      <c r="M224" s="7"/>
      <c r="N224" s="9" t="str">
        <f t="shared" si="16"/>
        <v/>
      </c>
      <c r="O224" s="20"/>
      <c r="Q224" s="652">
        <f t="shared" si="17"/>
        <v>0</v>
      </c>
      <c r="R224" s="652">
        <f t="shared" si="18"/>
        <v>0</v>
      </c>
    </row>
    <row r="225" spans="1:18">
      <c r="A225" s="635"/>
      <c r="B225" s="636"/>
      <c r="C225" s="640"/>
      <c r="D225" s="640"/>
      <c r="E225" s="3"/>
      <c r="F225" s="266"/>
      <c r="G225" s="266"/>
      <c r="H225" s="8"/>
      <c r="I225" s="5"/>
      <c r="J225" s="401">
        <f t="shared" si="15"/>
        <v>0</v>
      </c>
      <c r="K225" s="2"/>
      <c r="L225" s="8"/>
      <c r="M225" s="7"/>
      <c r="N225" s="9" t="str">
        <f t="shared" si="16"/>
        <v/>
      </c>
      <c r="O225" s="20"/>
      <c r="Q225" s="652">
        <f t="shared" si="17"/>
        <v>0</v>
      </c>
      <c r="R225" s="652">
        <f t="shared" si="18"/>
        <v>0</v>
      </c>
    </row>
    <row r="226" spans="1:18">
      <c r="A226" s="635"/>
      <c r="B226" s="636"/>
      <c r="C226" s="640"/>
      <c r="D226" s="640"/>
      <c r="E226" s="3"/>
      <c r="F226" s="266"/>
      <c r="G226" s="266"/>
      <c r="H226" s="8"/>
      <c r="I226" s="5"/>
      <c r="J226" s="401">
        <f t="shared" si="15"/>
        <v>0</v>
      </c>
      <c r="K226" s="2"/>
      <c r="L226" s="8"/>
      <c r="M226" s="7"/>
      <c r="N226" s="9" t="str">
        <f t="shared" si="16"/>
        <v/>
      </c>
      <c r="O226" s="20"/>
      <c r="Q226" s="652">
        <f t="shared" si="17"/>
        <v>0</v>
      </c>
      <c r="R226" s="652">
        <f t="shared" si="18"/>
        <v>0</v>
      </c>
    </row>
    <row r="227" spans="1:18">
      <c r="A227" s="635"/>
      <c r="B227" s="636"/>
      <c r="C227" s="640"/>
      <c r="D227" s="640"/>
      <c r="E227" s="3"/>
      <c r="F227" s="266"/>
      <c r="G227" s="266"/>
      <c r="H227" s="8"/>
      <c r="I227" s="5"/>
      <c r="J227" s="401">
        <f t="shared" si="15"/>
        <v>0</v>
      </c>
      <c r="K227" s="2"/>
      <c r="L227" s="8"/>
      <c r="M227" s="7"/>
      <c r="N227" s="9" t="str">
        <f t="shared" si="16"/>
        <v/>
      </c>
      <c r="O227" s="20"/>
      <c r="Q227" s="652">
        <f t="shared" si="17"/>
        <v>0</v>
      </c>
      <c r="R227" s="652">
        <f t="shared" si="18"/>
        <v>0</v>
      </c>
    </row>
    <row r="228" spans="1:18">
      <c r="A228" s="635"/>
      <c r="B228" s="636"/>
      <c r="C228" s="640"/>
      <c r="D228" s="640"/>
      <c r="E228" s="3"/>
      <c r="F228" s="266"/>
      <c r="G228" s="266"/>
      <c r="H228" s="8"/>
      <c r="I228" s="5"/>
      <c r="J228" s="401">
        <f t="shared" si="15"/>
        <v>0</v>
      </c>
      <c r="K228" s="2"/>
      <c r="L228" s="8"/>
      <c r="M228" s="7"/>
      <c r="N228" s="9" t="str">
        <f t="shared" si="16"/>
        <v/>
      </c>
      <c r="O228" s="20"/>
      <c r="Q228" s="652">
        <f t="shared" si="17"/>
        <v>0</v>
      </c>
      <c r="R228" s="652">
        <f t="shared" si="18"/>
        <v>0</v>
      </c>
    </row>
    <row r="229" spans="1:18">
      <c r="A229" s="635"/>
      <c r="B229" s="636"/>
      <c r="C229" s="640"/>
      <c r="D229" s="640"/>
      <c r="E229" s="3"/>
      <c r="F229" s="266"/>
      <c r="G229" s="266"/>
      <c r="H229" s="8"/>
      <c r="I229" s="5"/>
      <c r="J229" s="401">
        <f t="shared" si="15"/>
        <v>0</v>
      </c>
      <c r="K229" s="2"/>
      <c r="L229" s="8"/>
      <c r="M229" s="7"/>
      <c r="N229" s="9" t="str">
        <f t="shared" si="16"/>
        <v/>
      </c>
      <c r="O229" s="20"/>
      <c r="Q229" s="652">
        <f t="shared" si="17"/>
        <v>0</v>
      </c>
      <c r="R229" s="652">
        <f t="shared" si="18"/>
        <v>0</v>
      </c>
    </row>
    <row r="230" spans="1:18">
      <c r="A230" s="635"/>
      <c r="B230" s="636"/>
      <c r="C230" s="640"/>
      <c r="D230" s="640"/>
      <c r="E230" s="3"/>
      <c r="F230" s="266"/>
      <c r="G230" s="266"/>
      <c r="H230" s="8"/>
      <c r="I230" s="5"/>
      <c r="J230" s="401">
        <f t="shared" si="15"/>
        <v>0</v>
      </c>
      <c r="K230" s="2"/>
      <c r="L230" s="8"/>
      <c r="M230" s="7"/>
      <c r="N230" s="9" t="str">
        <f t="shared" si="16"/>
        <v/>
      </c>
      <c r="O230" s="20"/>
      <c r="Q230" s="652">
        <f t="shared" si="17"/>
        <v>0</v>
      </c>
      <c r="R230" s="652">
        <f t="shared" si="18"/>
        <v>0</v>
      </c>
    </row>
    <row r="231" spans="1:18">
      <c r="A231" s="635"/>
      <c r="B231" s="636"/>
      <c r="C231" s="640"/>
      <c r="D231" s="640"/>
      <c r="E231" s="3"/>
      <c r="F231" s="266"/>
      <c r="G231" s="266"/>
      <c r="H231" s="8"/>
      <c r="I231" s="5"/>
      <c r="J231" s="401">
        <f t="shared" si="15"/>
        <v>0</v>
      </c>
      <c r="K231" s="2"/>
      <c r="L231" s="8"/>
      <c r="M231" s="7"/>
      <c r="N231" s="9" t="str">
        <f t="shared" si="16"/>
        <v/>
      </c>
      <c r="O231" s="20"/>
      <c r="Q231" s="652">
        <f t="shared" si="17"/>
        <v>0</v>
      </c>
      <c r="R231" s="652">
        <f t="shared" si="18"/>
        <v>0</v>
      </c>
    </row>
    <row r="232" spans="1:18">
      <c r="A232" s="635"/>
      <c r="B232" s="636"/>
      <c r="C232" s="640"/>
      <c r="D232" s="640"/>
      <c r="E232" s="3"/>
      <c r="F232" s="266"/>
      <c r="G232" s="266"/>
      <c r="H232" s="8"/>
      <c r="I232" s="5"/>
      <c r="J232" s="401">
        <f t="shared" si="15"/>
        <v>0</v>
      </c>
      <c r="K232" s="2"/>
      <c r="L232" s="8"/>
      <c r="M232" s="7"/>
      <c r="N232" s="9" t="str">
        <f t="shared" si="16"/>
        <v/>
      </c>
      <c r="O232" s="20"/>
      <c r="Q232" s="652">
        <f t="shared" si="17"/>
        <v>0</v>
      </c>
      <c r="R232" s="652">
        <f t="shared" si="18"/>
        <v>0</v>
      </c>
    </row>
    <row r="233" spans="1:18">
      <c r="A233" s="635"/>
      <c r="B233" s="636"/>
      <c r="C233" s="640"/>
      <c r="D233" s="640"/>
      <c r="E233" s="3"/>
      <c r="F233" s="266"/>
      <c r="G233" s="266"/>
      <c r="H233" s="8"/>
      <c r="I233" s="5"/>
      <c r="J233" s="401">
        <f t="shared" si="15"/>
        <v>0</v>
      </c>
      <c r="K233" s="2"/>
      <c r="L233" s="8"/>
      <c r="M233" s="7"/>
      <c r="N233" s="9" t="str">
        <f t="shared" si="16"/>
        <v/>
      </c>
      <c r="O233" s="20"/>
      <c r="Q233" s="652">
        <f t="shared" si="17"/>
        <v>0</v>
      </c>
      <c r="R233" s="652">
        <f t="shared" si="18"/>
        <v>0</v>
      </c>
    </row>
    <row r="234" spans="1:18">
      <c r="A234" s="635"/>
      <c r="B234" s="636"/>
      <c r="C234" s="640"/>
      <c r="D234" s="640"/>
      <c r="E234" s="3"/>
      <c r="F234" s="266"/>
      <c r="G234" s="266"/>
      <c r="H234" s="8"/>
      <c r="I234" s="5"/>
      <c r="J234" s="401">
        <f t="shared" si="15"/>
        <v>0</v>
      </c>
      <c r="K234" s="2"/>
      <c r="L234" s="8"/>
      <c r="M234" s="7"/>
      <c r="N234" s="9" t="str">
        <f t="shared" si="16"/>
        <v/>
      </c>
      <c r="O234" s="20"/>
      <c r="Q234" s="652">
        <f t="shared" si="17"/>
        <v>0</v>
      </c>
      <c r="R234" s="652">
        <f t="shared" si="18"/>
        <v>0</v>
      </c>
    </row>
    <row r="235" spans="1:18">
      <c r="A235" s="635"/>
      <c r="B235" s="636"/>
      <c r="C235" s="640"/>
      <c r="D235" s="640"/>
      <c r="E235" s="3"/>
      <c r="F235" s="266"/>
      <c r="G235" s="266"/>
      <c r="H235" s="8"/>
      <c r="I235" s="5"/>
      <c r="J235" s="401">
        <f t="shared" si="15"/>
        <v>0</v>
      </c>
      <c r="K235" s="2"/>
      <c r="L235" s="8"/>
      <c r="M235" s="7"/>
      <c r="N235" s="9" t="str">
        <f t="shared" si="16"/>
        <v/>
      </c>
      <c r="O235" s="20"/>
      <c r="Q235" s="652">
        <f t="shared" si="17"/>
        <v>0</v>
      </c>
      <c r="R235" s="652">
        <f t="shared" si="18"/>
        <v>0</v>
      </c>
    </row>
    <row r="236" spans="1:18">
      <c r="A236" s="635"/>
      <c r="B236" s="636"/>
      <c r="C236" s="640"/>
      <c r="D236" s="640"/>
      <c r="E236" s="3"/>
      <c r="F236" s="266"/>
      <c r="G236" s="266"/>
      <c r="H236" s="8"/>
      <c r="I236" s="5"/>
      <c r="J236" s="401">
        <f t="shared" si="15"/>
        <v>0</v>
      </c>
      <c r="K236" s="2"/>
      <c r="L236" s="8"/>
      <c r="M236" s="7"/>
      <c r="N236" s="9" t="str">
        <f t="shared" si="16"/>
        <v/>
      </c>
      <c r="O236" s="20"/>
      <c r="Q236" s="652">
        <f t="shared" si="17"/>
        <v>0</v>
      </c>
      <c r="R236" s="652">
        <f t="shared" si="18"/>
        <v>0</v>
      </c>
    </row>
    <row r="237" spans="1:18">
      <c r="A237" s="635"/>
      <c r="B237" s="636"/>
      <c r="C237" s="640"/>
      <c r="D237" s="640"/>
      <c r="E237" s="3"/>
      <c r="F237" s="266"/>
      <c r="G237" s="266"/>
      <c r="H237" s="8"/>
      <c r="I237" s="5"/>
      <c r="J237" s="401">
        <f t="shared" si="15"/>
        <v>0</v>
      </c>
      <c r="K237" s="2"/>
      <c r="L237" s="8"/>
      <c r="M237" s="7"/>
      <c r="N237" s="9" t="str">
        <f t="shared" si="16"/>
        <v/>
      </c>
      <c r="O237" s="20"/>
      <c r="Q237" s="652">
        <f t="shared" si="17"/>
        <v>0</v>
      </c>
      <c r="R237" s="652">
        <f t="shared" si="18"/>
        <v>0</v>
      </c>
    </row>
    <row r="238" spans="1:18">
      <c r="A238" s="635"/>
      <c r="B238" s="636"/>
      <c r="C238" s="640"/>
      <c r="D238" s="640"/>
      <c r="E238" s="3"/>
      <c r="F238" s="266"/>
      <c r="G238" s="266"/>
      <c r="H238" s="8"/>
      <c r="I238" s="5"/>
      <c r="J238" s="401">
        <f t="shared" si="15"/>
        <v>0</v>
      </c>
      <c r="K238" s="2"/>
      <c r="L238" s="8"/>
      <c r="M238" s="7"/>
      <c r="N238" s="9" t="str">
        <f t="shared" si="16"/>
        <v/>
      </c>
      <c r="O238" s="20"/>
      <c r="Q238" s="652">
        <f t="shared" si="17"/>
        <v>0</v>
      </c>
      <c r="R238" s="652">
        <f t="shared" si="18"/>
        <v>0</v>
      </c>
    </row>
    <row r="239" spans="1:18">
      <c r="A239" s="635"/>
      <c r="B239" s="636"/>
      <c r="C239" s="640"/>
      <c r="D239" s="640"/>
      <c r="E239" s="3"/>
      <c r="F239" s="266"/>
      <c r="G239" s="266"/>
      <c r="H239" s="8"/>
      <c r="I239" s="5"/>
      <c r="J239" s="401">
        <f t="shared" si="15"/>
        <v>0</v>
      </c>
      <c r="K239" s="2"/>
      <c r="L239" s="8"/>
      <c r="M239" s="7"/>
      <c r="N239" s="9" t="str">
        <f t="shared" si="16"/>
        <v/>
      </c>
      <c r="O239" s="20"/>
      <c r="Q239" s="652">
        <f t="shared" si="17"/>
        <v>0</v>
      </c>
      <c r="R239" s="652">
        <f t="shared" si="18"/>
        <v>0</v>
      </c>
    </row>
    <row r="240" spans="1:18">
      <c r="A240" s="635"/>
      <c r="B240" s="636"/>
      <c r="C240" s="640"/>
      <c r="D240" s="640"/>
      <c r="E240" s="3"/>
      <c r="F240" s="266"/>
      <c r="G240" s="266"/>
      <c r="H240" s="8"/>
      <c r="I240" s="5"/>
      <c r="J240" s="401">
        <f t="shared" si="15"/>
        <v>0</v>
      </c>
      <c r="K240" s="2"/>
      <c r="L240" s="8"/>
      <c r="M240" s="7"/>
      <c r="N240" s="9" t="str">
        <f t="shared" si="16"/>
        <v/>
      </c>
      <c r="O240" s="20"/>
      <c r="Q240" s="652">
        <f t="shared" si="17"/>
        <v>0</v>
      </c>
      <c r="R240" s="652">
        <f t="shared" si="18"/>
        <v>0</v>
      </c>
    </row>
    <row r="241" spans="1:18">
      <c r="A241" s="635"/>
      <c r="B241" s="636"/>
      <c r="C241" s="640"/>
      <c r="D241" s="640"/>
      <c r="E241" s="3"/>
      <c r="F241" s="266"/>
      <c r="G241" s="266"/>
      <c r="H241" s="8"/>
      <c r="I241" s="5"/>
      <c r="J241" s="401">
        <f t="shared" si="15"/>
        <v>0</v>
      </c>
      <c r="K241" s="2"/>
      <c r="L241" s="8"/>
      <c r="M241" s="7"/>
      <c r="N241" s="9" t="str">
        <f t="shared" si="16"/>
        <v/>
      </c>
      <c r="O241" s="20"/>
      <c r="Q241" s="652">
        <f t="shared" si="17"/>
        <v>0</v>
      </c>
      <c r="R241" s="652">
        <f t="shared" si="18"/>
        <v>0</v>
      </c>
    </row>
    <row r="242" spans="1:18">
      <c r="A242" s="635"/>
      <c r="B242" s="636"/>
      <c r="C242" s="640"/>
      <c r="D242" s="640"/>
      <c r="E242" s="3"/>
      <c r="F242" s="266"/>
      <c r="G242" s="266"/>
      <c r="H242" s="8"/>
      <c r="I242" s="5"/>
      <c r="J242" s="401">
        <f t="shared" si="15"/>
        <v>0</v>
      </c>
      <c r="K242" s="2"/>
      <c r="L242" s="8"/>
      <c r="M242" s="7"/>
      <c r="N242" s="9" t="str">
        <f t="shared" si="16"/>
        <v/>
      </c>
      <c r="O242" s="20"/>
      <c r="Q242" s="652">
        <f t="shared" si="17"/>
        <v>0</v>
      </c>
      <c r="R242" s="652">
        <f t="shared" si="18"/>
        <v>0</v>
      </c>
    </row>
    <row r="243" spans="1:18">
      <c r="A243" s="635"/>
      <c r="B243" s="636"/>
      <c r="C243" s="640"/>
      <c r="D243" s="640"/>
      <c r="E243" s="3"/>
      <c r="F243" s="266"/>
      <c r="G243" s="266"/>
      <c r="H243" s="8"/>
      <c r="I243" s="5"/>
      <c r="J243" s="401">
        <f t="shared" si="15"/>
        <v>0</v>
      </c>
      <c r="K243" s="2"/>
      <c r="L243" s="8"/>
      <c r="M243" s="7"/>
      <c r="N243" s="9" t="str">
        <f t="shared" si="16"/>
        <v/>
      </c>
      <c r="O243" s="20"/>
      <c r="Q243" s="652">
        <f t="shared" si="17"/>
        <v>0</v>
      </c>
      <c r="R243" s="652">
        <f t="shared" si="18"/>
        <v>0</v>
      </c>
    </row>
    <row r="244" spans="1:18">
      <c r="A244" s="635"/>
      <c r="B244" s="636"/>
      <c r="C244" s="640"/>
      <c r="D244" s="640"/>
      <c r="E244" s="3"/>
      <c r="F244" s="266"/>
      <c r="G244" s="266"/>
      <c r="H244" s="8"/>
      <c r="I244" s="5"/>
      <c r="J244" s="401">
        <f t="shared" si="15"/>
        <v>0</v>
      </c>
      <c r="K244" s="2"/>
      <c r="L244" s="8"/>
      <c r="M244" s="7"/>
      <c r="N244" s="9" t="str">
        <f t="shared" si="16"/>
        <v/>
      </c>
      <c r="O244" s="20"/>
      <c r="Q244" s="652">
        <f t="shared" si="17"/>
        <v>0</v>
      </c>
      <c r="R244" s="652">
        <f t="shared" si="18"/>
        <v>0</v>
      </c>
    </row>
    <row r="245" spans="1:18">
      <c r="A245" s="635"/>
      <c r="B245" s="636"/>
      <c r="C245" s="640"/>
      <c r="D245" s="640"/>
      <c r="E245" s="3"/>
      <c r="F245" s="266"/>
      <c r="G245" s="266"/>
      <c r="H245" s="8"/>
      <c r="I245" s="5"/>
      <c r="J245" s="401">
        <f t="shared" si="15"/>
        <v>0</v>
      </c>
      <c r="K245" s="2"/>
      <c r="L245" s="8"/>
      <c r="M245" s="7"/>
      <c r="N245" s="9" t="str">
        <f t="shared" si="16"/>
        <v/>
      </c>
      <c r="O245" s="20"/>
      <c r="Q245" s="652">
        <f t="shared" si="17"/>
        <v>0</v>
      </c>
      <c r="R245" s="652">
        <f t="shared" si="18"/>
        <v>0</v>
      </c>
    </row>
    <row r="246" spans="1:18">
      <c r="A246" s="635"/>
      <c r="B246" s="636"/>
      <c r="C246" s="640"/>
      <c r="D246" s="640"/>
      <c r="E246" s="3"/>
      <c r="F246" s="266"/>
      <c r="G246" s="266"/>
      <c r="H246" s="8"/>
      <c r="I246" s="5"/>
      <c r="J246" s="401">
        <f t="shared" si="15"/>
        <v>0</v>
      </c>
      <c r="K246" s="2"/>
      <c r="L246" s="8"/>
      <c r="M246" s="7"/>
      <c r="N246" s="9" t="str">
        <f t="shared" si="16"/>
        <v/>
      </c>
      <c r="O246" s="20"/>
      <c r="Q246" s="652">
        <f t="shared" si="17"/>
        <v>0</v>
      </c>
      <c r="R246" s="652">
        <f t="shared" si="18"/>
        <v>0</v>
      </c>
    </row>
    <row r="247" spans="1:18">
      <c r="A247" s="635"/>
      <c r="B247" s="636"/>
      <c r="C247" s="640"/>
      <c r="D247" s="640"/>
      <c r="E247" s="3"/>
      <c r="F247" s="266"/>
      <c r="G247" s="266"/>
      <c r="H247" s="8"/>
      <c r="I247" s="5"/>
      <c r="J247" s="401">
        <f t="shared" si="15"/>
        <v>0</v>
      </c>
      <c r="K247" s="2"/>
      <c r="L247" s="8"/>
      <c r="M247" s="7"/>
      <c r="N247" s="9" t="str">
        <f t="shared" si="16"/>
        <v/>
      </c>
      <c r="O247" s="20"/>
      <c r="Q247" s="652">
        <f t="shared" si="17"/>
        <v>0</v>
      </c>
      <c r="R247" s="652">
        <f t="shared" si="18"/>
        <v>0</v>
      </c>
    </row>
    <row r="248" spans="1:18">
      <c r="A248" s="635"/>
      <c r="B248" s="636"/>
      <c r="C248" s="640"/>
      <c r="D248" s="640"/>
      <c r="E248" s="3"/>
      <c r="F248" s="266"/>
      <c r="G248" s="266"/>
      <c r="H248" s="8"/>
      <c r="I248" s="5"/>
      <c r="J248" s="401">
        <f t="shared" si="15"/>
        <v>0</v>
      </c>
      <c r="K248" s="2"/>
      <c r="L248" s="8"/>
      <c r="M248" s="7"/>
      <c r="N248" s="9" t="str">
        <f t="shared" si="16"/>
        <v/>
      </c>
      <c r="O248" s="20"/>
      <c r="Q248" s="652">
        <f t="shared" si="17"/>
        <v>0</v>
      </c>
      <c r="R248" s="652">
        <f t="shared" si="18"/>
        <v>0</v>
      </c>
    </row>
    <row r="249" spans="1:18">
      <c r="A249" s="635"/>
      <c r="B249" s="636"/>
      <c r="C249" s="640"/>
      <c r="D249" s="640"/>
      <c r="E249" s="3"/>
      <c r="F249" s="266"/>
      <c r="G249" s="266"/>
      <c r="H249" s="8"/>
      <c r="I249" s="5"/>
      <c r="J249" s="401">
        <f t="shared" si="15"/>
        <v>0</v>
      </c>
      <c r="K249" s="2"/>
      <c r="L249" s="8"/>
      <c r="M249" s="7"/>
      <c r="N249" s="9" t="str">
        <f t="shared" si="16"/>
        <v/>
      </c>
      <c r="O249" s="20"/>
      <c r="Q249" s="652">
        <f t="shared" si="17"/>
        <v>0</v>
      </c>
      <c r="R249" s="652">
        <f t="shared" si="18"/>
        <v>0</v>
      </c>
    </row>
    <row r="250" spans="1:18">
      <c r="A250" s="635"/>
      <c r="B250" s="636"/>
      <c r="C250" s="640"/>
      <c r="D250" s="640"/>
      <c r="E250" s="3"/>
      <c r="F250" s="266"/>
      <c r="G250" s="266"/>
      <c r="H250" s="8"/>
      <c r="I250" s="5"/>
      <c r="J250" s="401">
        <f t="shared" si="15"/>
        <v>0</v>
      </c>
      <c r="K250" s="2"/>
      <c r="L250" s="8"/>
      <c r="M250" s="7"/>
      <c r="N250" s="9" t="str">
        <f t="shared" si="16"/>
        <v/>
      </c>
      <c r="O250" s="20"/>
      <c r="Q250" s="652">
        <f t="shared" si="17"/>
        <v>0</v>
      </c>
      <c r="R250" s="652">
        <f t="shared" si="18"/>
        <v>0</v>
      </c>
    </row>
    <row r="251" spans="1:18">
      <c r="A251" s="635"/>
      <c r="B251" s="636"/>
      <c r="C251" s="640"/>
      <c r="D251" s="640"/>
      <c r="E251" s="3"/>
      <c r="F251" s="266"/>
      <c r="G251" s="266"/>
      <c r="H251" s="8"/>
      <c r="I251" s="5"/>
      <c r="J251" s="401">
        <f t="shared" si="15"/>
        <v>0</v>
      </c>
      <c r="K251" s="2"/>
      <c r="L251" s="8"/>
      <c r="M251" s="7"/>
      <c r="N251" s="9" t="str">
        <f t="shared" si="16"/>
        <v/>
      </c>
      <c r="O251" s="20"/>
      <c r="Q251" s="652">
        <f t="shared" si="17"/>
        <v>0</v>
      </c>
      <c r="R251" s="652">
        <f t="shared" si="18"/>
        <v>0</v>
      </c>
    </row>
    <row r="252" spans="1:18">
      <c r="A252" s="644"/>
      <c r="B252" s="645"/>
      <c r="C252" s="646"/>
      <c r="D252" s="646"/>
      <c r="E252" s="3"/>
      <c r="F252" s="267"/>
      <c r="G252" s="267"/>
      <c r="H252" s="28"/>
      <c r="I252" s="264"/>
      <c r="J252" s="402">
        <f t="shared" si="15"/>
        <v>0</v>
      </c>
      <c r="K252" s="26"/>
      <c r="L252" s="28"/>
      <c r="M252" s="27"/>
      <c r="N252" s="29" t="str">
        <f t="shared" si="16"/>
        <v/>
      </c>
      <c r="O252" s="20"/>
      <c r="Q252" s="652">
        <f t="shared" si="17"/>
        <v>0</v>
      </c>
      <c r="R252" s="652">
        <f t="shared" si="18"/>
        <v>0</v>
      </c>
    </row>
    <row r="253" spans="1:18">
      <c r="A253" s="647"/>
      <c r="B253" s="648"/>
      <c r="C253" s="639"/>
      <c r="D253" s="639"/>
      <c r="E253" s="3"/>
      <c r="F253" s="266"/>
      <c r="G253" s="266"/>
      <c r="H253" s="8"/>
      <c r="I253" s="8"/>
      <c r="J253" s="403">
        <f t="shared" si="15"/>
        <v>0</v>
      </c>
      <c r="K253" s="35"/>
      <c r="L253" s="8"/>
      <c r="M253" s="7"/>
      <c r="N253" s="9" t="str">
        <f t="shared" si="16"/>
        <v/>
      </c>
      <c r="O253" s="20"/>
      <c r="Q253" s="652">
        <f t="shared" si="17"/>
        <v>0</v>
      </c>
      <c r="R253" s="652">
        <f t="shared" si="18"/>
        <v>0</v>
      </c>
    </row>
    <row r="254" spans="1:18">
      <c r="A254" s="647"/>
      <c r="B254" s="648"/>
      <c r="C254" s="639"/>
      <c r="D254" s="639"/>
      <c r="E254" s="3"/>
      <c r="F254" s="266"/>
      <c r="G254" s="266"/>
      <c r="H254" s="8"/>
      <c r="I254" s="8"/>
      <c r="J254" s="403">
        <f t="shared" si="15"/>
        <v>0</v>
      </c>
      <c r="K254" s="35"/>
      <c r="L254" s="8"/>
      <c r="M254" s="7"/>
      <c r="N254" s="9" t="str">
        <f t="shared" si="16"/>
        <v/>
      </c>
      <c r="O254" s="20"/>
      <c r="Q254" s="652">
        <f t="shared" si="17"/>
        <v>0</v>
      </c>
      <c r="R254" s="652">
        <f t="shared" si="18"/>
        <v>0</v>
      </c>
    </row>
    <row r="255" spans="1:18">
      <c r="A255" s="647"/>
      <c r="B255" s="648"/>
      <c r="C255" s="639"/>
      <c r="D255" s="639"/>
      <c r="E255" s="3"/>
      <c r="F255" s="266"/>
      <c r="G255" s="266"/>
      <c r="H255" s="8"/>
      <c r="I255" s="8"/>
      <c r="J255" s="403">
        <f t="shared" si="15"/>
        <v>0</v>
      </c>
      <c r="K255" s="35"/>
      <c r="L255" s="8"/>
      <c r="M255" s="7"/>
      <c r="N255" s="9" t="str">
        <f t="shared" si="16"/>
        <v/>
      </c>
      <c r="O255" s="20"/>
      <c r="Q255" s="652">
        <f t="shared" si="17"/>
        <v>0</v>
      </c>
      <c r="R255" s="652">
        <f t="shared" si="18"/>
        <v>0</v>
      </c>
    </row>
    <row r="256" spans="1:18">
      <c r="A256" s="647"/>
      <c r="B256" s="648"/>
      <c r="C256" s="639"/>
      <c r="D256" s="639"/>
      <c r="E256" s="3"/>
      <c r="F256" s="266"/>
      <c r="G256" s="266"/>
      <c r="H256" s="8"/>
      <c r="I256" s="8"/>
      <c r="J256" s="403">
        <f t="shared" si="15"/>
        <v>0</v>
      </c>
      <c r="K256" s="35"/>
      <c r="L256" s="8"/>
      <c r="M256" s="7"/>
      <c r="N256" s="9" t="str">
        <f t="shared" si="16"/>
        <v/>
      </c>
      <c r="O256" s="20"/>
      <c r="Q256" s="652">
        <f t="shared" si="17"/>
        <v>0</v>
      </c>
      <c r="R256" s="652">
        <f t="shared" si="18"/>
        <v>0</v>
      </c>
    </row>
    <row r="257" spans="1:18">
      <c r="A257" s="647"/>
      <c r="B257" s="648"/>
      <c r="C257" s="639"/>
      <c r="D257" s="639"/>
      <c r="E257" s="3"/>
      <c r="F257" s="266"/>
      <c r="G257" s="266"/>
      <c r="H257" s="8"/>
      <c r="I257" s="8"/>
      <c r="J257" s="403">
        <f t="shared" si="15"/>
        <v>0</v>
      </c>
      <c r="K257" s="35"/>
      <c r="L257" s="8"/>
      <c r="M257" s="7"/>
      <c r="N257" s="9" t="str">
        <f t="shared" si="16"/>
        <v/>
      </c>
      <c r="O257" s="20"/>
      <c r="Q257" s="652">
        <f t="shared" si="17"/>
        <v>0</v>
      </c>
      <c r="R257" s="652">
        <f t="shared" si="18"/>
        <v>0</v>
      </c>
    </row>
    <row r="258" spans="1:18">
      <c r="A258" s="647"/>
      <c r="B258" s="648"/>
      <c r="C258" s="639"/>
      <c r="D258" s="639"/>
      <c r="E258" s="3"/>
      <c r="F258" s="266"/>
      <c r="G258" s="266"/>
      <c r="H258" s="8"/>
      <c r="I258" s="8"/>
      <c r="J258" s="403">
        <f t="shared" si="15"/>
        <v>0</v>
      </c>
      <c r="K258" s="35"/>
      <c r="L258" s="8"/>
      <c r="M258" s="7"/>
      <c r="N258" s="9" t="str">
        <f t="shared" si="16"/>
        <v/>
      </c>
      <c r="O258" s="20"/>
      <c r="Q258" s="652">
        <f t="shared" si="17"/>
        <v>0</v>
      </c>
      <c r="R258" s="652">
        <f t="shared" si="18"/>
        <v>0</v>
      </c>
    </row>
    <row r="259" spans="1:18">
      <c r="A259" s="647"/>
      <c r="B259" s="648"/>
      <c r="C259" s="639"/>
      <c r="D259" s="639"/>
      <c r="E259" s="3"/>
      <c r="F259" s="266"/>
      <c r="G259" s="266"/>
      <c r="H259" s="8"/>
      <c r="I259" s="8"/>
      <c r="J259" s="403">
        <f t="shared" si="15"/>
        <v>0</v>
      </c>
      <c r="K259" s="35"/>
      <c r="L259" s="8"/>
      <c r="M259" s="7"/>
      <c r="N259" s="9" t="str">
        <f t="shared" si="16"/>
        <v/>
      </c>
      <c r="O259" s="20"/>
      <c r="Q259" s="652">
        <f t="shared" si="17"/>
        <v>0</v>
      </c>
      <c r="R259" s="652">
        <f t="shared" si="18"/>
        <v>0</v>
      </c>
    </row>
    <row r="260" spans="1:18">
      <c r="A260" s="647"/>
      <c r="B260" s="648"/>
      <c r="C260" s="639"/>
      <c r="D260" s="639"/>
      <c r="E260" s="3"/>
      <c r="F260" s="266"/>
      <c r="G260" s="266"/>
      <c r="H260" s="8"/>
      <c r="I260" s="8"/>
      <c r="J260" s="403">
        <f t="shared" si="15"/>
        <v>0</v>
      </c>
      <c r="K260" s="35"/>
      <c r="L260" s="8"/>
      <c r="M260" s="7"/>
      <c r="N260" s="9" t="str">
        <f t="shared" si="16"/>
        <v/>
      </c>
      <c r="O260" s="20"/>
      <c r="Q260" s="652">
        <f t="shared" si="17"/>
        <v>0</v>
      </c>
      <c r="R260" s="652">
        <f t="shared" si="18"/>
        <v>0</v>
      </c>
    </row>
    <row r="261" spans="1:18">
      <c r="A261" s="647"/>
      <c r="B261" s="648"/>
      <c r="C261" s="639"/>
      <c r="D261" s="639"/>
      <c r="E261" s="3"/>
      <c r="F261" s="266"/>
      <c r="G261" s="266"/>
      <c r="H261" s="8"/>
      <c r="I261" s="8"/>
      <c r="J261" s="403">
        <f t="shared" si="15"/>
        <v>0</v>
      </c>
      <c r="K261" s="35"/>
      <c r="L261" s="8"/>
      <c r="M261" s="7"/>
      <c r="N261" s="9" t="str">
        <f t="shared" si="16"/>
        <v/>
      </c>
      <c r="O261" s="20"/>
      <c r="Q261" s="652">
        <f t="shared" si="17"/>
        <v>0</v>
      </c>
      <c r="R261" s="652">
        <f t="shared" si="18"/>
        <v>0</v>
      </c>
    </row>
    <row r="262" spans="1:18">
      <c r="A262" s="647"/>
      <c r="B262" s="648"/>
      <c r="C262" s="639"/>
      <c r="D262" s="639"/>
      <c r="E262" s="3"/>
      <c r="F262" s="266"/>
      <c r="G262" s="266"/>
      <c r="H262" s="8"/>
      <c r="I262" s="8"/>
      <c r="J262" s="403">
        <f t="shared" ref="J262:J325" si="19">(+F262*G262+H262*I262)*E262</f>
        <v>0</v>
      </c>
      <c r="K262" s="35"/>
      <c r="L262" s="8"/>
      <c r="M262" s="7"/>
      <c r="N262" s="9" t="str">
        <f t="shared" ref="N262:N325" si="20">IF(K262=0,"",L262*M262*E262)</f>
        <v/>
      </c>
      <c r="O262" s="20"/>
      <c r="Q262" s="652">
        <f t="shared" ref="Q262:Q325" si="21">F262*G262*E262</f>
        <v>0</v>
      </c>
      <c r="R262" s="652">
        <f t="shared" ref="R262:R325" si="22">H262*E262*I262</f>
        <v>0</v>
      </c>
    </row>
    <row r="263" spans="1:18">
      <c r="A263" s="647"/>
      <c r="B263" s="648"/>
      <c r="C263" s="639"/>
      <c r="D263" s="639"/>
      <c r="E263" s="3"/>
      <c r="F263" s="266"/>
      <c r="G263" s="266"/>
      <c r="H263" s="8"/>
      <c r="I263" s="8"/>
      <c r="J263" s="403">
        <f t="shared" si="19"/>
        <v>0</v>
      </c>
      <c r="K263" s="35"/>
      <c r="L263" s="8"/>
      <c r="M263" s="7"/>
      <c r="N263" s="9" t="str">
        <f t="shared" si="20"/>
        <v/>
      </c>
      <c r="O263" s="20"/>
      <c r="Q263" s="652">
        <f t="shared" si="21"/>
        <v>0</v>
      </c>
      <c r="R263" s="652">
        <f t="shared" si="22"/>
        <v>0</v>
      </c>
    </row>
    <row r="264" spans="1:18">
      <c r="A264" s="647"/>
      <c r="B264" s="648"/>
      <c r="C264" s="639"/>
      <c r="D264" s="639"/>
      <c r="E264" s="3"/>
      <c r="F264" s="266"/>
      <c r="G264" s="266"/>
      <c r="H264" s="8"/>
      <c r="I264" s="8"/>
      <c r="J264" s="403">
        <f t="shared" si="19"/>
        <v>0</v>
      </c>
      <c r="K264" s="35"/>
      <c r="L264" s="8"/>
      <c r="M264" s="7"/>
      <c r="N264" s="9" t="str">
        <f t="shared" si="20"/>
        <v/>
      </c>
      <c r="O264" s="20"/>
      <c r="Q264" s="652">
        <f t="shared" si="21"/>
        <v>0</v>
      </c>
      <c r="R264" s="652">
        <f t="shared" si="22"/>
        <v>0</v>
      </c>
    </row>
    <row r="265" spans="1:18">
      <c r="A265" s="647"/>
      <c r="B265" s="648"/>
      <c r="C265" s="639"/>
      <c r="D265" s="639"/>
      <c r="E265" s="3"/>
      <c r="F265" s="266"/>
      <c r="G265" s="266"/>
      <c r="H265" s="8"/>
      <c r="I265" s="8"/>
      <c r="J265" s="403">
        <f t="shared" si="19"/>
        <v>0</v>
      </c>
      <c r="K265" s="35"/>
      <c r="L265" s="8"/>
      <c r="M265" s="7"/>
      <c r="N265" s="9" t="str">
        <f t="shared" si="20"/>
        <v/>
      </c>
      <c r="O265" s="20"/>
      <c r="Q265" s="652">
        <f t="shared" si="21"/>
        <v>0</v>
      </c>
      <c r="R265" s="652">
        <f t="shared" si="22"/>
        <v>0</v>
      </c>
    </row>
    <row r="266" spans="1:18">
      <c r="A266" s="647"/>
      <c r="B266" s="648"/>
      <c r="C266" s="639"/>
      <c r="D266" s="639"/>
      <c r="E266" s="3"/>
      <c r="F266" s="266"/>
      <c r="G266" s="266"/>
      <c r="H266" s="8"/>
      <c r="I266" s="8"/>
      <c r="J266" s="403">
        <f t="shared" si="19"/>
        <v>0</v>
      </c>
      <c r="K266" s="35"/>
      <c r="L266" s="8"/>
      <c r="M266" s="7"/>
      <c r="N266" s="9" t="str">
        <f t="shared" si="20"/>
        <v/>
      </c>
      <c r="O266" s="20"/>
      <c r="Q266" s="652">
        <f t="shared" si="21"/>
        <v>0</v>
      </c>
      <c r="R266" s="652">
        <f t="shared" si="22"/>
        <v>0</v>
      </c>
    </row>
    <row r="267" spans="1:18">
      <c r="A267" s="647"/>
      <c r="B267" s="648"/>
      <c r="C267" s="639"/>
      <c r="D267" s="639"/>
      <c r="E267" s="3"/>
      <c r="F267" s="266"/>
      <c r="G267" s="266"/>
      <c r="H267" s="8"/>
      <c r="I267" s="8"/>
      <c r="J267" s="403">
        <f t="shared" si="19"/>
        <v>0</v>
      </c>
      <c r="K267" s="35"/>
      <c r="L267" s="8"/>
      <c r="M267" s="7"/>
      <c r="N267" s="9" t="str">
        <f t="shared" si="20"/>
        <v/>
      </c>
      <c r="O267" s="20"/>
      <c r="Q267" s="652">
        <f t="shared" si="21"/>
        <v>0</v>
      </c>
      <c r="R267" s="652">
        <f t="shared" si="22"/>
        <v>0</v>
      </c>
    </row>
    <row r="268" spans="1:18">
      <c r="A268" s="647"/>
      <c r="B268" s="648"/>
      <c r="C268" s="639"/>
      <c r="D268" s="639"/>
      <c r="E268" s="3"/>
      <c r="F268" s="266"/>
      <c r="G268" s="266"/>
      <c r="H268" s="8"/>
      <c r="I268" s="8"/>
      <c r="J268" s="403">
        <f t="shared" si="19"/>
        <v>0</v>
      </c>
      <c r="K268" s="35"/>
      <c r="L268" s="8"/>
      <c r="M268" s="7"/>
      <c r="N268" s="9" t="str">
        <f t="shared" si="20"/>
        <v/>
      </c>
      <c r="O268" s="20"/>
      <c r="Q268" s="652">
        <f t="shared" si="21"/>
        <v>0</v>
      </c>
      <c r="R268" s="652">
        <f t="shared" si="22"/>
        <v>0</v>
      </c>
    </row>
    <row r="269" spans="1:18">
      <c r="A269" s="647"/>
      <c r="B269" s="648"/>
      <c r="C269" s="639"/>
      <c r="D269" s="639"/>
      <c r="E269" s="3"/>
      <c r="F269" s="266"/>
      <c r="G269" s="266"/>
      <c r="H269" s="8"/>
      <c r="I269" s="8"/>
      <c r="J269" s="403">
        <f t="shared" si="19"/>
        <v>0</v>
      </c>
      <c r="K269" s="35"/>
      <c r="L269" s="8"/>
      <c r="M269" s="7"/>
      <c r="N269" s="9" t="str">
        <f t="shared" si="20"/>
        <v/>
      </c>
      <c r="O269" s="20"/>
      <c r="Q269" s="652">
        <f t="shared" si="21"/>
        <v>0</v>
      </c>
      <c r="R269" s="652">
        <f t="shared" si="22"/>
        <v>0</v>
      </c>
    </row>
    <row r="270" spans="1:18">
      <c r="A270" s="647"/>
      <c r="B270" s="648"/>
      <c r="C270" s="639"/>
      <c r="D270" s="639"/>
      <c r="E270" s="3"/>
      <c r="F270" s="266"/>
      <c r="G270" s="266"/>
      <c r="H270" s="8"/>
      <c r="I270" s="8"/>
      <c r="J270" s="403">
        <f t="shared" si="19"/>
        <v>0</v>
      </c>
      <c r="K270" s="35"/>
      <c r="L270" s="8"/>
      <c r="M270" s="7"/>
      <c r="N270" s="9" t="str">
        <f t="shared" si="20"/>
        <v/>
      </c>
      <c r="O270" s="20"/>
      <c r="Q270" s="652">
        <f t="shared" si="21"/>
        <v>0</v>
      </c>
      <c r="R270" s="652">
        <f t="shared" si="22"/>
        <v>0</v>
      </c>
    </row>
    <row r="271" spans="1:18">
      <c r="A271" s="647"/>
      <c r="B271" s="648"/>
      <c r="C271" s="639"/>
      <c r="D271" s="639"/>
      <c r="E271" s="3"/>
      <c r="F271" s="266"/>
      <c r="G271" s="266"/>
      <c r="H271" s="8"/>
      <c r="I271" s="8"/>
      <c r="J271" s="403">
        <f t="shared" si="19"/>
        <v>0</v>
      </c>
      <c r="K271" s="35"/>
      <c r="L271" s="8"/>
      <c r="M271" s="7"/>
      <c r="N271" s="9" t="str">
        <f t="shared" si="20"/>
        <v/>
      </c>
      <c r="O271" s="20"/>
      <c r="Q271" s="652">
        <f t="shared" si="21"/>
        <v>0</v>
      </c>
      <c r="R271" s="652">
        <f t="shared" si="22"/>
        <v>0</v>
      </c>
    </row>
    <row r="272" spans="1:18">
      <c r="A272" s="647"/>
      <c r="B272" s="648"/>
      <c r="C272" s="639"/>
      <c r="D272" s="639"/>
      <c r="E272" s="3"/>
      <c r="F272" s="266"/>
      <c r="G272" s="266"/>
      <c r="H272" s="8"/>
      <c r="I272" s="8"/>
      <c r="J272" s="403">
        <f t="shared" si="19"/>
        <v>0</v>
      </c>
      <c r="K272" s="35"/>
      <c r="L272" s="8"/>
      <c r="M272" s="7"/>
      <c r="N272" s="9" t="str">
        <f t="shared" si="20"/>
        <v/>
      </c>
      <c r="O272" s="20"/>
      <c r="Q272" s="652">
        <f t="shared" si="21"/>
        <v>0</v>
      </c>
      <c r="R272" s="652">
        <f t="shared" si="22"/>
        <v>0</v>
      </c>
    </row>
    <row r="273" spans="1:18">
      <c r="A273" s="647"/>
      <c r="B273" s="648"/>
      <c r="C273" s="639"/>
      <c r="D273" s="639"/>
      <c r="E273" s="3"/>
      <c r="F273" s="266"/>
      <c r="G273" s="266"/>
      <c r="H273" s="8"/>
      <c r="I273" s="8"/>
      <c r="J273" s="403">
        <f t="shared" si="19"/>
        <v>0</v>
      </c>
      <c r="K273" s="35"/>
      <c r="L273" s="8"/>
      <c r="M273" s="7"/>
      <c r="N273" s="9" t="str">
        <f t="shared" si="20"/>
        <v/>
      </c>
      <c r="O273" s="20"/>
      <c r="Q273" s="652">
        <f t="shared" si="21"/>
        <v>0</v>
      </c>
      <c r="R273" s="652">
        <f t="shared" si="22"/>
        <v>0</v>
      </c>
    </row>
    <row r="274" spans="1:18">
      <c r="A274" s="647"/>
      <c r="B274" s="648"/>
      <c r="C274" s="639"/>
      <c r="D274" s="639"/>
      <c r="E274" s="3"/>
      <c r="F274" s="266"/>
      <c r="G274" s="266"/>
      <c r="H274" s="8"/>
      <c r="I274" s="8"/>
      <c r="J274" s="403">
        <f t="shared" si="19"/>
        <v>0</v>
      </c>
      <c r="K274" s="35"/>
      <c r="L274" s="8"/>
      <c r="M274" s="7"/>
      <c r="N274" s="9" t="str">
        <f t="shared" si="20"/>
        <v/>
      </c>
      <c r="O274" s="20"/>
      <c r="Q274" s="652">
        <f t="shared" si="21"/>
        <v>0</v>
      </c>
      <c r="R274" s="652">
        <f t="shared" si="22"/>
        <v>0</v>
      </c>
    </row>
    <row r="275" spans="1:18">
      <c r="A275" s="647"/>
      <c r="B275" s="648"/>
      <c r="C275" s="639"/>
      <c r="D275" s="639"/>
      <c r="E275" s="3"/>
      <c r="F275" s="266"/>
      <c r="G275" s="266"/>
      <c r="H275" s="8"/>
      <c r="I275" s="8"/>
      <c r="J275" s="403">
        <f t="shared" si="19"/>
        <v>0</v>
      </c>
      <c r="K275" s="35"/>
      <c r="L275" s="8"/>
      <c r="M275" s="7"/>
      <c r="N275" s="9" t="str">
        <f t="shared" si="20"/>
        <v/>
      </c>
      <c r="O275" s="20"/>
      <c r="Q275" s="652">
        <f t="shared" si="21"/>
        <v>0</v>
      </c>
      <c r="R275" s="652">
        <f t="shared" si="22"/>
        <v>0</v>
      </c>
    </row>
    <row r="276" spans="1:18">
      <c r="A276" s="647"/>
      <c r="B276" s="648"/>
      <c r="C276" s="639"/>
      <c r="D276" s="639"/>
      <c r="E276" s="3"/>
      <c r="F276" s="266"/>
      <c r="G276" s="266"/>
      <c r="H276" s="8"/>
      <c r="I276" s="8"/>
      <c r="J276" s="403">
        <f t="shared" si="19"/>
        <v>0</v>
      </c>
      <c r="K276" s="35"/>
      <c r="L276" s="8"/>
      <c r="M276" s="7"/>
      <c r="N276" s="9" t="str">
        <f t="shared" si="20"/>
        <v/>
      </c>
      <c r="O276" s="20"/>
      <c r="Q276" s="652">
        <f t="shared" si="21"/>
        <v>0</v>
      </c>
      <c r="R276" s="652">
        <f t="shared" si="22"/>
        <v>0</v>
      </c>
    </row>
    <row r="277" spans="1:18">
      <c r="A277" s="647"/>
      <c r="B277" s="648"/>
      <c r="C277" s="639"/>
      <c r="D277" s="639"/>
      <c r="E277" s="3"/>
      <c r="F277" s="266"/>
      <c r="G277" s="266"/>
      <c r="H277" s="8"/>
      <c r="I277" s="8"/>
      <c r="J277" s="403">
        <f t="shared" si="19"/>
        <v>0</v>
      </c>
      <c r="K277" s="35"/>
      <c r="L277" s="8"/>
      <c r="M277" s="7"/>
      <c r="N277" s="9" t="str">
        <f t="shared" si="20"/>
        <v/>
      </c>
      <c r="O277" s="20"/>
      <c r="Q277" s="652">
        <f t="shared" si="21"/>
        <v>0</v>
      </c>
      <c r="R277" s="652">
        <f t="shared" si="22"/>
        <v>0</v>
      </c>
    </row>
    <row r="278" spans="1:18">
      <c r="A278" s="647"/>
      <c r="B278" s="648"/>
      <c r="C278" s="639"/>
      <c r="D278" s="639"/>
      <c r="E278" s="3"/>
      <c r="F278" s="266"/>
      <c r="G278" s="266"/>
      <c r="H278" s="8"/>
      <c r="I278" s="8"/>
      <c r="J278" s="403">
        <f t="shared" si="19"/>
        <v>0</v>
      </c>
      <c r="K278" s="35"/>
      <c r="L278" s="8"/>
      <c r="M278" s="7"/>
      <c r="N278" s="9" t="str">
        <f t="shared" si="20"/>
        <v/>
      </c>
      <c r="O278" s="20"/>
      <c r="Q278" s="652">
        <f t="shared" si="21"/>
        <v>0</v>
      </c>
      <c r="R278" s="652">
        <f t="shared" si="22"/>
        <v>0</v>
      </c>
    </row>
    <row r="279" spans="1:18">
      <c r="A279" s="647"/>
      <c r="B279" s="648"/>
      <c r="C279" s="639"/>
      <c r="D279" s="639"/>
      <c r="E279" s="3"/>
      <c r="F279" s="266"/>
      <c r="G279" s="266"/>
      <c r="H279" s="8"/>
      <c r="I279" s="8"/>
      <c r="J279" s="403">
        <f t="shared" si="19"/>
        <v>0</v>
      </c>
      <c r="K279" s="35"/>
      <c r="L279" s="8"/>
      <c r="M279" s="7"/>
      <c r="N279" s="9" t="str">
        <f t="shared" si="20"/>
        <v/>
      </c>
      <c r="O279" s="20"/>
      <c r="Q279" s="652">
        <f t="shared" si="21"/>
        <v>0</v>
      </c>
      <c r="R279" s="652">
        <f t="shared" si="22"/>
        <v>0</v>
      </c>
    </row>
    <row r="280" spans="1:18">
      <c r="A280" s="647"/>
      <c r="B280" s="648"/>
      <c r="C280" s="639"/>
      <c r="D280" s="639"/>
      <c r="E280" s="3"/>
      <c r="F280" s="266"/>
      <c r="G280" s="266"/>
      <c r="H280" s="8"/>
      <c r="I280" s="8"/>
      <c r="J280" s="403">
        <f t="shared" si="19"/>
        <v>0</v>
      </c>
      <c r="K280" s="35"/>
      <c r="L280" s="8"/>
      <c r="M280" s="7"/>
      <c r="N280" s="9" t="str">
        <f t="shared" si="20"/>
        <v/>
      </c>
      <c r="O280" s="20"/>
      <c r="Q280" s="652">
        <f t="shared" si="21"/>
        <v>0</v>
      </c>
      <c r="R280" s="652">
        <f t="shared" si="22"/>
        <v>0</v>
      </c>
    </row>
    <row r="281" spans="1:18">
      <c r="A281" s="647"/>
      <c r="B281" s="648"/>
      <c r="C281" s="639"/>
      <c r="D281" s="639"/>
      <c r="E281" s="3"/>
      <c r="F281" s="266"/>
      <c r="G281" s="266"/>
      <c r="H281" s="8"/>
      <c r="I281" s="8"/>
      <c r="J281" s="403">
        <f t="shared" si="19"/>
        <v>0</v>
      </c>
      <c r="K281" s="35"/>
      <c r="L281" s="8"/>
      <c r="M281" s="7"/>
      <c r="N281" s="9" t="str">
        <f t="shared" si="20"/>
        <v/>
      </c>
      <c r="O281" s="20"/>
      <c r="Q281" s="652">
        <f t="shared" si="21"/>
        <v>0</v>
      </c>
      <c r="R281" s="652">
        <f t="shared" si="22"/>
        <v>0</v>
      </c>
    </row>
    <row r="282" spans="1:18">
      <c r="A282" s="647"/>
      <c r="B282" s="648"/>
      <c r="C282" s="639"/>
      <c r="D282" s="639"/>
      <c r="E282" s="3"/>
      <c r="F282" s="266"/>
      <c r="G282" s="266"/>
      <c r="H282" s="8"/>
      <c r="I282" s="8"/>
      <c r="J282" s="403">
        <f t="shared" si="19"/>
        <v>0</v>
      </c>
      <c r="K282" s="35"/>
      <c r="L282" s="8"/>
      <c r="M282" s="7"/>
      <c r="N282" s="9" t="str">
        <f t="shared" si="20"/>
        <v/>
      </c>
      <c r="O282" s="20"/>
      <c r="Q282" s="652">
        <f t="shared" si="21"/>
        <v>0</v>
      </c>
      <c r="R282" s="652">
        <f t="shared" si="22"/>
        <v>0</v>
      </c>
    </row>
    <row r="283" spans="1:18">
      <c r="A283" s="647"/>
      <c r="B283" s="648"/>
      <c r="C283" s="639"/>
      <c r="D283" s="639"/>
      <c r="E283" s="3"/>
      <c r="F283" s="266"/>
      <c r="G283" s="266"/>
      <c r="H283" s="8"/>
      <c r="I283" s="8"/>
      <c r="J283" s="403">
        <f t="shared" si="19"/>
        <v>0</v>
      </c>
      <c r="K283" s="35"/>
      <c r="L283" s="8"/>
      <c r="M283" s="7"/>
      <c r="N283" s="9" t="str">
        <f t="shared" si="20"/>
        <v/>
      </c>
      <c r="O283" s="20"/>
      <c r="Q283" s="652">
        <f t="shared" si="21"/>
        <v>0</v>
      </c>
      <c r="R283" s="652">
        <f t="shared" si="22"/>
        <v>0</v>
      </c>
    </row>
    <row r="284" spans="1:18">
      <c r="A284" s="647"/>
      <c r="B284" s="648"/>
      <c r="C284" s="639"/>
      <c r="D284" s="639"/>
      <c r="E284" s="3"/>
      <c r="F284" s="266"/>
      <c r="G284" s="266"/>
      <c r="H284" s="8"/>
      <c r="I284" s="8"/>
      <c r="J284" s="403">
        <f t="shared" si="19"/>
        <v>0</v>
      </c>
      <c r="K284" s="35"/>
      <c r="L284" s="8"/>
      <c r="M284" s="7"/>
      <c r="N284" s="9" t="str">
        <f t="shared" si="20"/>
        <v/>
      </c>
      <c r="O284" s="20"/>
      <c r="Q284" s="652">
        <f t="shared" si="21"/>
        <v>0</v>
      </c>
      <c r="R284" s="652">
        <f t="shared" si="22"/>
        <v>0</v>
      </c>
    </row>
    <row r="285" spans="1:18">
      <c r="A285" s="647"/>
      <c r="B285" s="648"/>
      <c r="C285" s="639"/>
      <c r="D285" s="639"/>
      <c r="E285" s="3"/>
      <c r="F285" s="266"/>
      <c r="G285" s="266"/>
      <c r="H285" s="8"/>
      <c r="I285" s="8"/>
      <c r="J285" s="403">
        <f t="shared" si="19"/>
        <v>0</v>
      </c>
      <c r="K285" s="35"/>
      <c r="L285" s="8"/>
      <c r="M285" s="7"/>
      <c r="N285" s="9" t="str">
        <f t="shared" si="20"/>
        <v/>
      </c>
      <c r="O285" s="20"/>
      <c r="Q285" s="652">
        <f t="shared" si="21"/>
        <v>0</v>
      </c>
      <c r="R285" s="652">
        <f t="shared" si="22"/>
        <v>0</v>
      </c>
    </row>
    <row r="286" spans="1:18">
      <c r="A286" s="647"/>
      <c r="B286" s="648"/>
      <c r="C286" s="639"/>
      <c r="D286" s="639"/>
      <c r="E286" s="3"/>
      <c r="F286" s="266"/>
      <c r="G286" s="266"/>
      <c r="H286" s="8"/>
      <c r="I286" s="8"/>
      <c r="J286" s="403">
        <f t="shared" si="19"/>
        <v>0</v>
      </c>
      <c r="K286" s="35"/>
      <c r="L286" s="8"/>
      <c r="M286" s="7"/>
      <c r="N286" s="9" t="str">
        <f t="shared" si="20"/>
        <v/>
      </c>
      <c r="O286" s="20"/>
      <c r="Q286" s="652">
        <f t="shared" si="21"/>
        <v>0</v>
      </c>
      <c r="R286" s="652">
        <f t="shared" si="22"/>
        <v>0</v>
      </c>
    </row>
    <row r="287" spans="1:18">
      <c r="A287" s="647"/>
      <c r="B287" s="648"/>
      <c r="C287" s="639"/>
      <c r="D287" s="639"/>
      <c r="E287" s="3"/>
      <c r="F287" s="266"/>
      <c r="G287" s="266"/>
      <c r="H287" s="8"/>
      <c r="I287" s="8"/>
      <c r="J287" s="403">
        <f t="shared" si="19"/>
        <v>0</v>
      </c>
      <c r="K287" s="35"/>
      <c r="L287" s="8"/>
      <c r="M287" s="7"/>
      <c r="N287" s="9" t="str">
        <f t="shared" si="20"/>
        <v/>
      </c>
      <c r="O287" s="20"/>
      <c r="Q287" s="652">
        <f t="shared" si="21"/>
        <v>0</v>
      </c>
      <c r="R287" s="652">
        <f t="shared" si="22"/>
        <v>0</v>
      </c>
    </row>
    <row r="288" spans="1:18">
      <c r="A288" s="647"/>
      <c r="B288" s="648"/>
      <c r="C288" s="639"/>
      <c r="D288" s="639"/>
      <c r="E288" s="3"/>
      <c r="F288" s="266"/>
      <c r="G288" s="266"/>
      <c r="H288" s="8"/>
      <c r="I288" s="8"/>
      <c r="J288" s="403">
        <f t="shared" si="19"/>
        <v>0</v>
      </c>
      <c r="K288" s="35"/>
      <c r="L288" s="8"/>
      <c r="M288" s="7"/>
      <c r="N288" s="9" t="str">
        <f t="shared" si="20"/>
        <v/>
      </c>
      <c r="O288" s="20"/>
      <c r="Q288" s="652">
        <f t="shared" si="21"/>
        <v>0</v>
      </c>
      <c r="R288" s="652">
        <f t="shared" si="22"/>
        <v>0</v>
      </c>
    </row>
    <row r="289" spans="1:18">
      <c r="A289" s="647"/>
      <c r="B289" s="648"/>
      <c r="C289" s="639"/>
      <c r="D289" s="639"/>
      <c r="E289" s="3"/>
      <c r="F289" s="266"/>
      <c r="G289" s="266"/>
      <c r="H289" s="8"/>
      <c r="I289" s="8"/>
      <c r="J289" s="403">
        <f t="shared" si="19"/>
        <v>0</v>
      </c>
      <c r="K289" s="35"/>
      <c r="L289" s="8"/>
      <c r="M289" s="7"/>
      <c r="N289" s="9" t="str">
        <f t="shared" si="20"/>
        <v/>
      </c>
      <c r="O289" s="20"/>
      <c r="Q289" s="652">
        <f t="shared" si="21"/>
        <v>0</v>
      </c>
      <c r="R289" s="652">
        <f t="shared" si="22"/>
        <v>0</v>
      </c>
    </row>
    <row r="290" spans="1:18">
      <c r="A290" s="647"/>
      <c r="B290" s="648"/>
      <c r="C290" s="639"/>
      <c r="D290" s="639"/>
      <c r="E290" s="3"/>
      <c r="F290" s="266"/>
      <c r="G290" s="266"/>
      <c r="H290" s="8"/>
      <c r="I290" s="8"/>
      <c r="J290" s="403">
        <f t="shared" si="19"/>
        <v>0</v>
      </c>
      <c r="K290" s="35"/>
      <c r="L290" s="8"/>
      <c r="M290" s="7"/>
      <c r="N290" s="9" t="str">
        <f t="shared" si="20"/>
        <v/>
      </c>
      <c r="O290" s="20"/>
      <c r="Q290" s="652">
        <f t="shared" si="21"/>
        <v>0</v>
      </c>
      <c r="R290" s="652">
        <f t="shared" si="22"/>
        <v>0</v>
      </c>
    </row>
    <row r="291" spans="1:18">
      <c r="A291" s="647"/>
      <c r="B291" s="648"/>
      <c r="C291" s="639"/>
      <c r="D291" s="639"/>
      <c r="E291" s="3"/>
      <c r="F291" s="266"/>
      <c r="G291" s="266"/>
      <c r="H291" s="8"/>
      <c r="I291" s="8"/>
      <c r="J291" s="403">
        <f t="shared" si="19"/>
        <v>0</v>
      </c>
      <c r="K291" s="35"/>
      <c r="L291" s="8"/>
      <c r="M291" s="7"/>
      <c r="N291" s="9" t="str">
        <f t="shared" si="20"/>
        <v/>
      </c>
      <c r="O291" s="20"/>
      <c r="Q291" s="652">
        <f t="shared" si="21"/>
        <v>0</v>
      </c>
      <c r="R291" s="652">
        <f t="shared" si="22"/>
        <v>0</v>
      </c>
    </row>
    <row r="292" spans="1:18">
      <c r="A292" s="647"/>
      <c r="B292" s="648"/>
      <c r="C292" s="639"/>
      <c r="D292" s="639"/>
      <c r="E292" s="3"/>
      <c r="F292" s="266"/>
      <c r="G292" s="266"/>
      <c r="H292" s="8"/>
      <c r="I292" s="8"/>
      <c r="J292" s="403">
        <f t="shared" si="19"/>
        <v>0</v>
      </c>
      <c r="K292" s="35"/>
      <c r="L292" s="8"/>
      <c r="M292" s="7"/>
      <c r="N292" s="9" t="str">
        <f t="shared" si="20"/>
        <v/>
      </c>
      <c r="O292" s="20"/>
      <c r="Q292" s="652">
        <f t="shared" si="21"/>
        <v>0</v>
      </c>
      <c r="R292" s="652">
        <f t="shared" si="22"/>
        <v>0</v>
      </c>
    </row>
    <row r="293" spans="1:18">
      <c r="A293" s="647"/>
      <c r="B293" s="648"/>
      <c r="C293" s="639"/>
      <c r="D293" s="639"/>
      <c r="E293" s="3"/>
      <c r="F293" s="266"/>
      <c r="G293" s="266"/>
      <c r="H293" s="8"/>
      <c r="I293" s="8"/>
      <c r="J293" s="403">
        <f t="shared" si="19"/>
        <v>0</v>
      </c>
      <c r="K293" s="35"/>
      <c r="L293" s="8"/>
      <c r="M293" s="7"/>
      <c r="N293" s="9" t="str">
        <f t="shared" si="20"/>
        <v/>
      </c>
      <c r="O293" s="20"/>
      <c r="Q293" s="652">
        <f t="shared" si="21"/>
        <v>0</v>
      </c>
      <c r="R293" s="652">
        <f t="shared" si="22"/>
        <v>0</v>
      </c>
    </row>
    <row r="294" spans="1:18">
      <c r="A294" s="647"/>
      <c r="B294" s="648"/>
      <c r="C294" s="639"/>
      <c r="D294" s="639"/>
      <c r="E294" s="3"/>
      <c r="F294" s="266"/>
      <c r="G294" s="266"/>
      <c r="H294" s="8"/>
      <c r="I294" s="8"/>
      <c r="J294" s="403">
        <f t="shared" si="19"/>
        <v>0</v>
      </c>
      <c r="K294" s="35"/>
      <c r="L294" s="8"/>
      <c r="M294" s="7"/>
      <c r="N294" s="9" t="str">
        <f t="shared" si="20"/>
        <v/>
      </c>
      <c r="O294" s="20"/>
      <c r="Q294" s="652">
        <f t="shared" si="21"/>
        <v>0</v>
      </c>
      <c r="R294" s="652">
        <f t="shared" si="22"/>
        <v>0</v>
      </c>
    </row>
    <row r="295" spans="1:18">
      <c r="A295" s="647"/>
      <c r="B295" s="648"/>
      <c r="C295" s="639"/>
      <c r="D295" s="639"/>
      <c r="E295" s="3"/>
      <c r="F295" s="266"/>
      <c r="G295" s="266"/>
      <c r="H295" s="8"/>
      <c r="I295" s="8"/>
      <c r="J295" s="403">
        <f t="shared" si="19"/>
        <v>0</v>
      </c>
      <c r="K295" s="35"/>
      <c r="L295" s="8"/>
      <c r="M295" s="7"/>
      <c r="N295" s="9" t="str">
        <f t="shared" si="20"/>
        <v/>
      </c>
      <c r="O295" s="20"/>
      <c r="Q295" s="652">
        <f t="shared" si="21"/>
        <v>0</v>
      </c>
      <c r="R295" s="652">
        <f t="shared" si="22"/>
        <v>0</v>
      </c>
    </row>
    <row r="296" spans="1:18">
      <c r="A296" s="647"/>
      <c r="B296" s="648"/>
      <c r="C296" s="639"/>
      <c r="D296" s="639"/>
      <c r="E296" s="3"/>
      <c r="F296" s="266"/>
      <c r="G296" s="266"/>
      <c r="H296" s="8"/>
      <c r="I296" s="8"/>
      <c r="J296" s="403">
        <f t="shared" si="19"/>
        <v>0</v>
      </c>
      <c r="K296" s="35"/>
      <c r="L296" s="8"/>
      <c r="M296" s="7"/>
      <c r="N296" s="9" t="str">
        <f t="shared" si="20"/>
        <v/>
      </c>
      <c r="O296" s="20"/>
      <c r="Q296" s="652">
        <f t="shared" si="21"/>
        <v>0</v>
      </c>
      <c r="R296" s="652">
        <f t="shared" si="22"/>
        <v>0</v>
      </c>
    </row>
    <row r="297" spans="1:18">
      <c r="A297" s="647"/>
      <c r="B297" s="648"/>
      <c r="C297" s="639"/>
      <c r="D297" s="639"/>
      <c r="E297" s="3"/>
      <c r="F297" s="266"/>
      <c r="G297" s="266"/>
      <c r="H297" s="8"/>
      <c r="I297" s="8"/>
      <c r="J297" s="403">
        <f t="shared" si="19"/>
        <v>0</v>
      </c>
      <c r="K297" s="35"/>
      <c r="L297" s="8"/>
      <c r="M297" s="7"/>
      <c r="N297" s="9" t="str">
        <f t="shared" si="20"/>
        <v/>
      </c>
      <c r="O297" s="20"/>
      <c r="Q297" s="652">
        <f t="shared" si="21"/>
        <v>0</v>
      </c>
      <c r="R297" s="652">
        <f t="shared" si="22"/>
        <v>0</v>
      </c>
    </row>
    <row r="298" spans="1:18">
      <c r="A298" s="647"/>
      <c r="B298" s="648"/>
      <c r="C298" s="639"/>
      <c r="D298" s="639"/>
      <c r="E298" s="3"/>
      <c r="F298" s="266"/>
      <c r="G298" s="266"/>
      <c r="H298" s="8"/>
      <c r="I298" s="8"/>
      <c r="J298" s="403">
        <f t="shared" si="19"/>
        <v>0</v>
      </c>
      <c r="K298" s="35"/>
      <c r="L298" s="8"/>
      <c r="M298" s="7"/>
      <c r="N298" s="9" t="str">
        <f t="shared" si="20"/>
        <v/>
      </c>
      <c r="O298" s="20"/>
      <c r="Q298" s="652">
        <f t="shared" si="21"/>
        <v>0</v>
      </c>
      <c r="R298" s="652">
        <f t="shared" si="22"/>
        <v>0</v>
      </c>
    </row>
    <row r="299" spans="1:18">
      <c r="A299" s="647"/>
      <c r="B299" s="648"/>
      <c r="C299" s="639"/>
      <c r="D299" s="639"/>
      <c r="E299" s="3"/>
      <c r="F299" s="266"/>
      <c r="G299" s="266"/>
      <c r="H299" s="8"/>
      <c r="I299" s="8"/>
      <c r="J299" s="403">
        <f t="shared" si="19"/>
        <v>0</v>
      </c>
      <c r="K299" s="35"/>
      <c r="L299" s="8"/>
      <c r="M299" s="7"/>
      <c r="N299" s="9" t="str">
        <f t="shared" si="20"/>
        <v/>
      </c>
      <c r="O299" s="20"/>
      <c r="Q299" s="652">
        <f t="shared" si="21"/>
        <v>0</v>
      </c>
      <c r="R299" s="652">
        <f t="shared" si="22"/>
        <v>0</v>
      </c>
    </row>
    <row r="300" spans="1:18">
      <c r="A300" s="647"/>
      <c r="B300" s="648"/>
      <c r="C300" s="639"/>
      <c r="D300" s="639"/>
      <c r="E300" s="3"/>
      <c r="F300" s="266"/>
      <c r="G300" s="266"/>
      <c r="H300" s="8"/>
      <c r="I300" s="8"/>
      <c r="J300" s="403">
        <f t="shared" si="19"/>
        <v>0</v>
      </c>
      <c r="K300" s="35"/>
      <c r="L300" s="8"/>
      <c r="M300" s="7"/>
      <c r="N300" s="9" t="str">
        <f t="shared" si="20"/>
        <v/>
      </c>
      <c r="O300" s="20"/>
      <c r="Q300" s="652">
        <f t="shared" si="21"/>
        <v>0</v>
      </c>
      <c r="R300" s="652">
        <f t="shared" si="22"/>
        <v>0</v>
      </c>
    </row>
    <row r="301" spans="1:18">
      <c r="A301" s="647"/>
      <c r="B301" s="648"/>
      <c r="C301" s="639"/>
      <c r="D301" s="639"/>
      <c r="E301" s="3"/>
      <c r="F301" s="266"/>
      <c r="G301" s="266"/>
      <c r="H301" s="8"/>
      <c r="I301" s="8"/>
      <c r="J301" s="403">
        <f t="shared" si="19"/>
        <v>0</v>
      </c>
      <c r="K301" s="35"/>
      <c r="L301" s="8"/>
      <c r="M301" s="7"/>
      <c r="N301" s="9" t="str">
        <f t="shared" si="20"/>
        <v/>
      </c>
      <c r="O301" s="20"/>
      <c r="Q301" s="652">
        <f t="shared" si="21"/>
        <v>0</v>
      </c>
      <c r="R301" s="652">
        <f t="shared" si="22"/>
        <v>0</v>
      </c>
    </row>
    <row r="302" spans="1:18">
      <c r="A302" s="647"/>
      <c r="B302" s="648"/>
      <c r="C302" s="639"/>
      <c r="D302" s="639"/>
      <c r="E302" s="3"/>
      <c r="F302" s="266"/>
      <c r="G302" s="266"/>
      <c r="H302" s="8"/>
      <c r="I302" s="8"/>
      <c r="J302" s="403">
        <f t="shared" si="19"/>
        <v>0</v>
      </c>
      <c r="K302" s="35"/>
      <c r="L302" s="8"/>
      <c r="M302" s="7"/>
      <c r="N302" s="9" t="str">
        <f t="shared" si="20"/>
        <v/>
      </c>
      <c r="O302" s="20"/>
      <c r="Q302" s="652">
        <f t="shared" si="21"/>
        <v>0</v>
      </c>
      <c r="R302" s="652">
        <f t="shared" si="22"/>
        <v>0</v>
      </c>
    </row>
    <row r="303" spans="1:18">
      <c r="A303" s="647"/>
      <c r="B303" s="648"/>
      <c r="C303" s="639"/>
      <c r="D303" s="639"/>
      <c r="E303" s="3"/>
      <c r="F303" s="266"/>
      <c r="G303" s="266"/>
      <c r="H303" s="8"/>
      <c r="I303" s="8"/>
      <c r="J303" s="403">
        <f t="shared" si="19"/>
        <v>0</v>
      </c>
      <c r="K303" s="35"/>
      <c r="L303" s="8"/>
      <c r="M303" s="7"/>
      <c r="N303" s="9" t="str">
        <f t="shared" si="20"/>
        <v/>
      </c>
      <c r="O303" s="20"/>
      <c r="Q303" s="652">
        <f t="shared" si="21"/>
        <v>0</v>
      </c>
      <c r="R303" s="652">
        <f t="shared" si="22"/>
        <v>0</v>
      </c>
    </row>
    <row r="304" spans="1:18">
      <c r="A304" s="647"/>
      <c r="B304" s="648"/>
      <c r="C304" s="639"/>
      <c r="D304" s="639"/>
      <c r="E304" s="3"/>
      <c r="F304" s="266"/>
      <c r="G304" s="266"/>
      <c r="H304" s="8"/>
      <c r="I304" s="8"/>
      <c r="J304" s="403">
        <f t="shared" si="19"/>
        <v>0</v>
      </c>
      <c r="K304" s="35"/>
      <c r="L304" s="8"/>
      <c r="M304" s="7"/>
      <c r="N304" s="9" t="str">
        <f t="shared" si="20"/>
        <v/>
      </c>
      <c r="O304" s="20"/>
      <c r="Q304" s="652">
        <f t="shared" si="21"/>
        <v>0</v>
      </c>
      <c r="R304" s="652">
        <f t="shared" si="22"/>
        <v>0</v>
      </c>
    </row>
    <row r="305" spans="1:18">
      <c r="A305" s="647"/>
      <c r="B305" s="648"/>
      <c r="C305" s="639"/>
      <c r="D305" s="639"/>
      <c r="E305" s="3"/>
      <c r="F305" s="266"/>
      <c r="G305" s="266"/>
      <c r="H305" s="8"/>
      <c r="I305" s="8"/>
      <c r="J305" s="403">
        <f t="shared" si="19"/>
        <v>0</v>
      </c>
      <c r="K305" s="35"/>
      <c r="L305" s="8"/>
      <c r="M305" s="7"/>
      <c r="N305" s="9" t="str">
        <f t="shared" si="20"/>
        <v/>
      </c>
      <c r="O305" s="20"/>
      <c r="Q305" s="652">
        <f t="shared" si="21"/>
        <v>0</v>
      </c>
      <c r="R305" s="652">
        <f t="shared" si="22"/>
        <v>0</v>
      </c>
    </row>
    <row r="306" spans="1:18">
      <c r="A306" s="647"/>
      <c r="B306" s="648"/>
      <c r="C306" s="639"/>
      <c r="D306" s="639"/>
      <c r="E306" s="3"/>
      <c r="F306" s="266"/>
      <c r="G306" s="266"/>
      <c r="H306" s="8"/>
      <c r="I306" s="8"/>
      <c r="J306" s="403">
        <f t="shared" si="19"/>
        <v>0</v>
      </c>
      <c r="K306" s="35"/>
      <c r="L306" s="8"/>
      <c r="M306" s="7"/>
      <c r="N306" s="9" t="str">
        <f t="shared" si="20"/>
        <v/>
      </c>
      <c r="O306" s="20"/>
      <c r="Q306" s="652">
        <f t="shared" si="21"/>
        <v>0</v>
      </c>
      <c r="R306" s="652">
        <f t="shared" si="22"/>
        <v>0</v>
      </c>
    </row>
    <row r="307" spans="1:18">
      <c r="A307" s="647"/>
      <c r="B307" s="648"/>
      <c r="C307" s="639"/>
      <c r="D307" s="639"/>
      <c r="E307" s="3"/>
      <c r="F307" s="266"/>
      <c r="G307" s="266"/>
      <c r="H307" s="8"/>
      <c r="I307" s="8"/>
      <c r="J307" s="403">
        <f t="shared" si="19"/>
        <v>0</v>
      </c>
      <c r="K307" s="35"/>
      <c r="L307" s="8"/>
      <c r="M307" s="7"/>
      <c r="N307" s="9" t="str">
        <f t="shared" si="20"/>
        <v/>
      </c>
      <c r="O307" s="20"/>
      <c r="Q307" s="652">
        <f t="shared" si="21"/>
        <v>0</v>
      </c>
      <c r="R307" s="652">
        <f t="shared" si="22"/>
        <v>0</v>
      </c>
    </row>
    <row r="308" spans="1:18">
      <c r="A308" s="647"/>
      <c r="B308" s="648"/>
      <c r="C308" s="639"/>
      <c r="D308" s="639"/>
      <c r="E308" s="3"/>
      <c r="F308" s="266"/>
      <c r="G308" s="266"/>
      <c r="H308" s="8"/>
      <c r="I308" s="8"/>
      <c r="J308" s="403">
        <f t="shared" si="19"/>
        <v>0</v>
      </c>
      <c r="K308" s="35"/>
      <c r="L308" s="8"/>
      <c r="M308" s="7"/>
      <c r="N308" s="9" t="str">
        <f t="shared" si="20"/>
        <v/>
      </c>
      <c r="O308" s="20"/>
      <c r="Q308" s="652">
        <f t="shared" si="21"/>
        <v>0</v>
      </c>
      <c r="R308" s="652">
        <f t="shared" si="22"/>
        <v>0</v>
      </c>
    </row>
    <row r="309" spans="1:18">
      <c r="A309" s="647"/>
      <c r="B309" s="648"/>
      <c r="C309" s="639"/>
      <c r="D309" s="639"/>
      <c r="E309" s="3"/>
      <c r="F309" s="266"/>
      <c r="G309" s="266"/>
      <c r="H309" s="8"/>
      <c r="I309" s="8"/>
      <c r="J309" s="403">
        <f t="shared" si="19"/>
        <v>0</v>
      </c>
      <c r="K309" s="35"/>
      <c r="L309" s="8"/>
      <c r="M309" s="7"/>
      <c r="N309" s="9" t="str">
        <f t="shared" si="20"/>
        <v/>
      </c>
      <c r="O309" s="20"/>
      <c r="Q309" s="652">
        <f t="shared" si="21"/>
        <v>0</v>
      </c>
      <c r="R309" s="652">
        <f t="shared" si="22"/>
        <v>0</v>
      </c>
    </row>
    <row r="310" spans="1:18">
      <c r="A310" s="647"/>
      <c r="B310" s="648"/>
      <c r="C310" s="639"/>
      <c r="D310" s="639"/>
      <c r="E310" s="3"/>
      <c r="F310" s="266"/>
      <c r="G310" s="266"/>
      <c r="H310" s="8"/>
      <c r="I310" s="8"/>
      <c r="J310" s="403">
        <f t="shared" si="19"/>
        <v>0</v>
      </c>
      <c r="K310" s="35"/>
      <c r="L310" s="8"/>
      <c r="M310" s="7"/>
      <c r="N310" s="9" t="str">
        <f t="shared" si="20"/>
        <v/>
      </c>
      <c r="O310" s="20"/>
      <c r="Q310" s="652">
        <f t="shared" si="21"/>
        <v>0</v>
      </c>
      <c r="R310" s="652">
        <f t="shared" si="22"/>
        <v>0</v>
      </c>
    </row>
    <row r="311" spans="1:18">
      <c r="A311" s="647"/>
      <c r="B311" s="648"/>
      <c r="C311" s="639"/>
      <c r="D311" s="639"/>
      <c r="E311" s="3"/>
      <c r="F311" s="266"/>
      <c r="G311" s="266"/>
      <c r="H311" s="8"/>
      <c r="I311" s="8"/>
      <c r="J311" s="403">
        <f t="shared" si="19"/>
        <v>0</v>
      </c>
      <c r="K311" s="35"/>
      <c r="L311" s="8"/>
      <c r="M311" s="7"/>
      <c r="N311" s="9" t="str">
        <f t="shared" si="20"/>
        <v/>
      </c>
      <c r="O311" s="20"/>
      <c r="Q311" s="652">
        <f t="shared" si="21"/>
        <v>0</v>
      </c>
      <c r="R311" s="652">
        <f t="shared" si="22"/>
        <v>0</v>
      </c>
    </row>
    <row r="312" spans="1:18">
      <c r="A312" s="647"/>
      <c r="B312" s="648"/>
      <c r="C312" s="639"/>
      <c r="D312" s="639"/>
      <c r="E312" s="3"/>
      <c r="F312" s="266"/>
      <c r="G312" s="266"/>
      <c r="H312" s="8"/>
      <c r="I312" s="8"/>
      <c r="J312" s="403">
        <f t="shared" si="19"/>
        <v>0</v>
      </c>
      <c r="K312" s="35"/>
      <c r="L312" s="8"/>
      <c r="M312" s="7"/>
      <c r="N312" s="9" t="str">
        <f t="shared" si="20"/>
        <v/>
      </c>
      <c r="O312" s="20"/>
      <c r="Q312" s="652">
        <f t="shared" si="21"/>
        <v>0</v>
      </c>
      <c r="R312" s="652">
        <f t="shared" si="22"/>
        <v>0</v>
      </c>
    </row>
    <row r="313" spans="1:18">
      <c r="A313" s="647"/>
      <c r="B313" s="648"/>
      <c r="C313" s="639"/>
      <c r="D313" s="639"/>
      <c r="E313" s="3"/>
      <c r="F313" s="266"/>
      <c r="G313" s="266"/>
      <c r="H313" s="8"/>
      <c r="I313" s="8"/>
      <c r="J313" s="403">
        <f t="shared" si="19"/>
        <v>0</v>
      </c>
      <c r="K313" s="35"/>
      <c r="L313" s="8"/>
      <c r="M313" s="7"/>
      <c r="N313" s="9" t="str">
        <f t="shared" si="20"/>
        <v/>
      </c>
      <c r="O313" s="20"/>
      <c r="Q313" s="652">
        <f t="shared" si="21"/>
        <v>0</v>
      </c>
      <c r="R313" s="652">
        <f t="shared" si="22"/>
        <v>0</v>
      </c>
    </row>
    <row r="314" spans="1:18">
      <c r="A314" s="647"/>
      <c r="B314" s="648"/>
      <c r="C314" s="639"/>
      <c r="D314" s="639"/>
      <c r="E314" s="3"/>
      <c r="F314" s="266"/>
      <c r="G314" s="266"/>
      <c r="H314" s="8"/>
      <c r="I314" s="8"/>
      <c r="J314" s="403">
        <f t="shared" si="19"/>
        <v>0</v>
      </c>
      <c r="K314" s="35"/>
      <c r="L314" s="8"/>
      <c r="M314" s="7"/>
      <c r="N314" s="9" t="str">
        <f t="shared" si="20"/>
        <v/>
      </c>
      <c r="O314" s="20"/>
      <c r="Q314" s="652">
        <f t="shared" si="21"/>
        <v>0</v>
      </c>
      <c r="R314" s="652">
        <f t="shared" si="22"/>
        <v>0</v>
      </c>
    </row>
    <row r="315" spans="1:18">
      <c r="A315" s="647"/>
      <c r="B315" s="648"/>
      <c r="C315" s="639"/>
      <c r="D315" s="639"/>
      <c r="E315" s="3"/>
      <c r="F315" s="266"/>
      <c r="G315" s="266"/>
      <c r="H315" s="8"/>
      <c r="I315" s="8"/>
      <c r="J315" s="403">
        <f t="shared" si="19"/>
        <v>0</v>
      </c>
      <c r="K315" s="35"/>
      <c r="L315" s="8"/>
      <c r="M315" s="7"/>
      <c r="N315" s="9" t="str">
        <f t="shared" si="20"/>
        <v/>
      </c>
      <c r="O315" s="20"/>
      <c r="Q315" s="652">
        <f t="shared" si="21"/>
        <v>0</v>
      </c>
      <c r="R315" s="652">
        <f t="shared" si="22"/>
        <v>0</v>
      </c>
    </row>
    <row r="316" spans="1:18">
      <c r="A316" s="647"/>
      <c r="B316" s="648"/>
      <c r="C316" s="639"/>
      <c r="D316" s="639"/>
      <c r="E316" s="3"/>
      <c r="F316" s="266"/>
      <c r="G316" s="266"/>
      <c r="H316" s="8"/>
      <c r="I316" s="8"/>
      <c r="J316" s="403">
        <f t="shared" si="19"/>
        <v>0</v>
      </c>
      <c r="K316" s="35"/>
      <c r="L316" s="8"/>
      <c r="M316" s="7"/>
      <c r="N316" s="9" t="str">
        <f t="shared" si="20"/>
        <v/>
      </c>
      <c r="O316" s="20"/>
      <c r="Q316" s="652">
        <f t="shared" si="21"/>
        <v>0</v>
      </c>
      <c r="R316" s="652">
        <f t="shared" si="22"/>
        <v>0</v>
      </c>
    </row>
    <row r="317" spans="1:18">
      <c r="A317" s="647"/>
      <c r="B317" s="648"/>
      <c r="C317" s="639"/>
      <c r="D317" s="639"/>
      <c r="E317" s="3"/>
      <c r="F317" s="266"/>
      <c r="G317" s="266"/>
      <c r="H317" s="8"/>
      <c r="I317" s="8"/>
      <c r="J317" s="403">
        <f t="shared" si="19"/>
        <v>0</v>
      </c>
      <c r="K317" s="35"/>
      <c r="L317" s="8"/>
      <c r="M317" s="7"/>
      <c r="N317" s="9" t="str">
        <f t="shared" si="20"/>
        <v/>
      </c>
      <c r="O317" s="20"/>
      <c r="Q317" s="652">
        <f t="shared" si="21"/>
        <v>0</v>
      </c>
      <c r="R317" s="652">
        <f t="shared" si="22"/>
        <v>0</v>
      </c>
    </row>
    <row r="318" spans="1:18">
      <c r="A318" s="647"/>
      <c r="B318" s="648"/>
      <c r="C318" s="639"/>
      <c r="D318" s="639"/>
      <c r="E318" s="3"/>
      <c r="F318" s="266"/>
      <c r="G318" s="266"/>
      <c r="H318" s="8"/>
      <c r="I318" s="8"/>
      <c r="J318" s="403">
        <f t="shared" si="19"/>
        <v>0</v>
      </c>
      <c r="K318" s="35"/>
      <c r="L318" s="8"/>
      <c r="M318" s="7"/>
      <c r="N318" s="9" t="str">
        <f t="shared" si="20"/>
        <v/>
      </c>
      <c r="O318" s="20"/>
      <c r="Q318" s="652">
        <f t="shared" si="21"/>
        <v>0</v>
      </c>
      <c r="R318" s="652">
        <f t="shared" si="22"/>
        <v>0</v>
      </c>
    </row>
    <row r="319" spans="1:18">
      <c r="A319" s="647"/>
      <c r="B319" s="648"/>
      <c r="C319" s="639"/>
      <c r="D319" s="639"/>
      <c r="E319" s="3"/>
      <c r="F319" s="266"/>
      <c r="G319" s="266"/>
      <c r="H319" s="8"/>
      <c r="I319" s="8"/>
      <c r="J319" s="403">
        <f t="shared" si="19"/>
        <v>0</v>
      </c>
      <c r="K319" s="35"/>
      <c r="L319" s="8"/>
      <c r="M319" s="7"/>
      <c r="N319" s="9" t="str">
        <f t="shared" si="20"/>
        <v/>
      </c>
      <c r="O319" s="20"/>
      <c r="Q319" s="652">
        <f t="shared" si="21"/>
        <v>0</v>
      </c>
      <c r="R319" s="652">
        <f t="shared" si="22"/>
        <v>0</v>
      </c>
    </row>
    <row r="320" spans="1:18">
      <c r="A320" s="647"/>
      <c r="B320" s="648"/>
      <c r="C320" s="639"/>
      <c r="D320" s="639"/>
      <c r="E320" s="3"/>
      <c r="F320" s="266"/>
      <c r="G320" s="266"/>
      <c r="H320" s="8"/>
      <c r="I320" s="8"/>
      <c r="J320" s="403">
        <f t="shared" si="19"/>
        <v>0</v>
      </c>
      <c r="K320" s="35"/>
      <c r="L320" s="8"/>
      <c r="M320" s="7"/>
      <c r="N320" s="9" t="str">
        <f t="shared" si="20"/>
        <v/>
      </c>
      <c r="O320" s="20"/>
      <c r="Q320" s="652">
        <f t="shared" si="21"/>
        <v>0</v>
      </c>
      <c r="R320" s="652">
        <f t="shared" si="22"/>
        <v>0</v>
      </c>
    </row>
    <row r="321" spans="1:18">
      <c r="A321" s="647"/>
      <c r="B321" s="648"/>
      <c r="C321" s="639"/>
      <c r="D321" s="639"/>
      <c r="E321" s="3"/>
      <c r="F321" s="266"/>
      <c r="G321" s="266"/>
      <c r="H321" s="8"/>
      <c r="I321" s="8"/>
      <c r="J321" s="403">
        <f t="shared" si="19"/>
        <v>0</v>
      </c>
      <c r="K321" s="35"/>
      <c r="L321" s="8"/>
      <c r="M321" s="7"/>
      <c r="N321" s="9" t="str">
        <f t="shared" si="20"/>
        <v/>
      </c>
      <c r="O321" s="20"/>
      <c r="Q321" s="652">
        <f t="shared" si="21"/>
        <v>0</v>
      </c>
      <c r="R321" s="652">
        <f t="shared" si="22"/>
        <v>0</v>
      </c>
    </row>
    <row r="322" spans="1:18">
      <c r="A322" s="647"/>
      <c r="B322" s="648"/>
      <c r="C322" s="639"/>
      <c r="D322" s="639"/>
      <c r="E322" s="3"/>
      <c r="F322" s="266"/>
      <c r="G322" s="266"/>
      <c r="H322" s="8"/>
      <c r="I322" s="8"/>
      <c r="J322" s="403">
        <f t="shared" si="19"/>
        <v>0</v>
      </c>
      <c r="K322" s="35"/>
      <c r="L322" s="8"/>
      <c r="M322" s="7"/>
      <c r="N322" s="9" t="str">
        <f t="shared" si="20"/>
        <v/>
      </c>
      <c r="O322" s="20"/>
      <c r="Q322" s="652">
        <f t="shared" si="21"/>
        <v>0</v>
      </c>
      <c r="R322" s="652">
        <f t="shared" si="22"/>
        <v>0</v>
      </c>
    </row>
    <row r="323" spans="1:18">
      <c r="A323" s="647"/>
      <c r="B323" s="648"/>
      <c r="C323" s="639"/>
      <c r="D323" s="639"/>
      <c r="E323" s="25"/>
      <c r="F323" s="266"/>
      <c r="G323" s="266"/>
      <c r="H323" s="8"/>
      <c r="I323" s="8"/>
      <c r="J323" s="403">
        <f t="shared" si="19"/>
        <v>0</v>
      </c>
      <c r="K323" s="35"/>
      <c r="L323" s="8"/>
      <c r="M323" s="7"/>
      <c r="N323" s="9" t="str">
        <f t="shared" si="20"/>
        <v/>
      </c>
      <c r="O323" s="20"/>
      <c r="Q323" s="652">
        <f t="shared" si="21"/>
        <v>0</v>
      </c>
      <c r="R323" s="652">
        <f t="shared" si="22"/>
        <v>0</v>
      </c>
    </row>
    <row r="324" spans="1:18">
      <c r="A324" s="647"/>
      <c r="B324" s="648"/>
      <c r="C324" s="639"/>
      <c r="D324" s="639"/>
      <c r="E324" s="25"/>
      <c r="F324" s="266"/>
      <c r="G324" s="266"/>
      <c r="H324" s="8"/>
      <c r="I324" s="8"/>
      <c r="J324" s="403">
        <f t="shared" si="19"/>
        <v>0</v>
      </c>
      <c r="K324" s="35"/>
      <c r="L324" s="8"/>
      <c r="M324" s="7"/>
      <c r="N324" s="9" t="str">
        <f t="shared" si="20"/>
        <v/>
      </c>
      <c r="O324" s="20"/>
      <c r="Q324" s="652">
        <f t="shared" si="21"/>
        <v>0</v>
      </c>
      <c r="R324" s="652">
        <f t="shared" si="22"/>
        <v>0</v>
      </c>
    </row>
    <row r="325" spans="1:18">
      <c r="A325" s="647"/>
      <c r="B325" s="648"/>
      <c r="C325" s="639"/>
      <c r="D325" s="639"/>
      <c r="E325" s="25"/>
      <c r="F325" s="266"/>
      <c r="G325" s="266"/>
      <c r="H325" s="8"/>
      <c r="I325" s="8"/>
      <c r="J325" s="403">
        <f t="shared" si="19"/>
        <v>0</v>
      </c>
      <c r="K325" s="35"/>
      <c r="L325" s="8"/>
      <c r="M325" s="7"/>
      <c r="N325" s="9" t="str">
        <f t="shared" si="20"/>
        <v/>
      </c>
      <c r="O325" s="20"/>
      <c r="Q325" s="652">
        <f t="shared" si="21"/>
        <v>0</v>
      </c>
      <c r="R325" s="652">
        <f t="shared" si="22"/>
        <v>0</v>
      </c>
    </row>
    <row r="326" spans="1:18">
      <c r="A326" s="647"/>
      <c r="B326" s="648"/>
      <c r="C326" s="639"/>
      <c r="D326" s="639"/>
      <c r="E326" s="25"/>
      <c r="F326" s="266"/>
      <c r="G326" s="266"/>
      <c r="H326" s="8"/>
      <c r="I326" s="8"/>
      <c r="J326" s="403">
        <f t="shared" ref="J326:J353" si="23">(+F326*G326+H326*I326)*E326</f>
        <v>0</v>
      </c>
      <c r="K326" s="35"/>
      <c r="L326" s="8"/>
      <c r="M326" s="7"/>
      <c r="N326" s="9" t="str">
        <f t="shared" ref="N326:N353" si="24">IF(K326=0,"",L326*M326*E326)</f>
        <v/>
      </c>
      <c r="O326" s="20"/>
      <c r="Q326" s="652">
        <f t="shared" ref="Q326:Q353" si="25">F326*G326*E326</f>
        <v>0</v>
      </c>
      <c r="R326" s="652">
        <f t="shared" ref="R326:R353" si="26">H326*E326*I326</f>
        <v>0</v>
      </c>
    </row>
    <row r="327" spans="1:18">
      <c r="A327" s="647"/>
      <c r="B327" s="648"/>
      <c r="C327" s="639"/>
      <c r="D327" s="639"/>
      <c r="E327" s="25"/>
      <c r="F327" s="266"/>
      <c r="G327" s="266"/>
      <c r="H327" s="8"/>
      <c r="I327" s="8"/>
      <c r="J327" s="403">
        <f t="shared" si="23"/>
        <v>0</v>
      </c>
      <c r="K327" s="35"/>
      <c r="L327" s="8"/>
      <c r="M327" s="7"/>
      <c r="N327" s="9" t="str">
        <f t="shared" si="24"/>
        <v/>
      </c>
      <c r="O327" s="20"/>
      <c r="Q327" s="652">
        <f t="shared" si="25"/>
        <v>0</v>
      </c>
      <c r="R327" s="652">
        <f t="shared" si="26"/>
        <v>0</v>
      </c>
    </row>
    <row r="328" spans="1:18">
      <c r="A328" s="647"/>
      <c r="B328" s="648"/>
      <c r="C328" s="639"/>
      <c r="D328" s="639"/>
      <c r="E328" s="25"/>
      <c r="F328" s="266"/>
      <c r="G328" s="266"/>
      <c r="H328" s="8"/>
      <c r="I328" s="8"/>
      <c r="J328" s="403">
        <f t="shared" si="23"/>
        <v>0</v>
      </c>
      <c r="K328" s="35"/>
      <c r="L328" s="8"/>
      <c r="M328" s="7"/>
      <c r="N328" s="9" t="str">
        <f t="shared" si="24"/>
        <v/>
      </c>
      <c r="O328" s="20"/>
      <c r="Q328" s="652">
        <f t="shared" si="25"/>
        <v>0</v>
      </c>
      <c r="R328" s="652">
        <f t="shared" si="26"/>
        <v>0</v>
      </c>
    </row>
    <row r="329" spans="1:18">
      <c r="A329" s="647"/>
      <c r="B329" s="648"/>
      <c r="C329" s="639"/>
      <c r="D329" s="639"/>
      <c r="E329" s="25"/>
      <c r="F329" s="266"/>
      <c r="G329" s="266"/>
      <c r="H329" s="8"/>
      <c r="I329" s="8"/>
      <c r="J329" s="403">
        <f t="shared" si="23"/>
        <v>0</v>
      </c>
      <c r="K329" s="35"/>
      <c r="L329" s="8"/>
      <c r="M329" s="7"/>
      <c r="N329" s="9" t="str">
        <f t="shared" si="24"/>
        <v/>
      </c>
      <c r="O329" s="20"/>
      <c r="Q329" s="652">
        <f t="shared" si="25"/>
        <v>0</v>
      </c>
      <c r="R329" s="652">
        <f t="shared" si="26"/>
        <v>0</v>
      </c>
    </row>
    <row r="330" spans="1:18">
      <c r="A330" s="647"/>
      <c r="B330" s="648"/>
      <c r="C330" s="639"/>
      <c r="D330" s="639"/>
      <c r="E330" s="25"/>
      <c r="F330" s="266"/>
      <c r="G330" s="266"/>
      <c r="H330" s="8"/>
      <c r="I330" s="8"/>
      <c r="J330" s="403">
        <f t="shared" si="23"/>
        <v>0</v>
      </c>
      <c r="K330" s="35"/>
      <c r="L330" s="8"/>
      <c r="M330" s="7"/>
      <c r="N330" s="9" t="str">
        <f t="shared" si="24"/>
        <v/>
      </c>
      <c r="O330" s="20"/>
      <c r="Q330" s="652">
        <f t="shared" si="25"/>
        <v>0</v>
      </c>
      <c r="R330" s="652">
        <f t="shared" si="26"/>
        <v>0</v>
      </c>
    </row>
    <row r="331" spans="1:18">
      <c r="A331" s="647"/>
      <c r="B331" s="648"/>
      <c r="C331" s="639"/>
      <c r="D331" s="639"/>
      <c r="E331" s="25"/>
      <c r="F331" s="266"/>
      <c r="G331" s="266"/>
      <c r="H331" s="8"/>
      <c r="I331" s="8"/>
      <c r="J331" s="403">
        <f t="shared" si="23"/>
        <v>0</v>
      </c>
      <c r="K331" s="35"/>
      <c r="L331" s="8"/>
      <c r="M331" s="7"/>
      <c r="N331" s="9" t="str">
        <f t="shared" si="24"/>
        <v/>
      </c>
      <c r="O331" s="20"/>
      <c r="Q331" s="652">
        <f t="shared" si="25"/>
        <v>0</v>
      </c>
      <c r="R331" s="652">
        <f t="shared" si="26"/>
        <v>0</v>
      </c>
    </row>
    <row r="332" spans="1:18">
      <c r="A332" s="647"/>
      <c r="B332" s="648"/>
      <c r="C332" s="639"/>
      <c r="D332" s="639"/>
      <c r="E332" s="25"/>
      <c r="F332" s="266"/>
      <c r="G332" s="266"/>
      <c r="H332" s="8"/>
      <c r="I332" s="8"/>
      <c r="J332" s="403">
        <f t="shared" si="23"/>
        <v>0</v>
      </c>
      <c r="K332" s="35"/>
      <c r="L332" s="8"/>
      <c r="M332" s="7"/>
      <c r="N332" s="9" t="str">
        <f t="shared" si="24"/>
        <v/>
      </c>
      <c r="O332" s="20"/>
      <c r="Q332" s="652">
        <f t="shared" si="25"/>
        <v>0</v>
      </c>
      <c r="R332" s="652">
        <f t="shared" si="26"/>
        <v>0</v>
      </c>
    </row>
    <row r="333" spans="1:18">
      <c r="A333" s="647"/>
      <c r="B333" s="648"/>
      <c r="C333" s="639"/>
      <c r="D333" s="639"/>
      <c r="E333" s="25"/>
      <c r="F333" s="266"/>
      <c r="G333" s="266"/>
      <c r="H333" s="8"/>
      <c r="I333" s="8"/>
      <c r="J333" s="403">
        <f t="shared" si="23"/>
        <v>0</v>
      </c>
      <c r="K333" s="35"/>
      <c r="L333" s="8"/>
      <c r="M333" s="7"/>
      <c r="N333" s="9" t="str">
        <f t="shared" si="24"/>
        <v/>
      </c>
      <c r="O333" s="20"/>
      <c r="Q333" s="652">
        <f t="shared" si="25"/>
        <v>0</v>
      </c>
      <c r="R333" s="652">
        <f t="shared" si="26"/>
        <v>0</v>
      </c>
    </row>
    <row r="334" spans="1:18">
      <c r="A334" s="647"/>
      <c r="B334" s="648"/>
      <c r="C334" s="639"/>
      <c r="D334" s="639"/>
      <c r="E334" s="25"/>
      <c r="F334" s="266"/>
      <c r="G334" s="266"/>
      <c r="H334" s="8"/>
      <c r="I334" s="8"/>
      <c r="J334" s="403">
        <f t="shared" si="23"/>
        <v>0</v>
      </c>
      <c r="K334" s="35"/>
      <c r="L334" s="8"/>
      <c r="M334" s="7"/>
      <c r="N334" s="9" t="str">
        <f t="shared" si="24"/>
        <v/>
      </c>
      <c r="O334" s="20"/>
      <c r="Q334" s="652">
        <f t="shared" si="25"/>
        <v>0</v>
      </c>
      <c r="R334" s="652">
        <f t="shared" si="26"/>
        <v>0</v>
      </c>
    </row>
    <row r="335" spans="1:18">
      <c r="A335" s="647"/>
      <c r="B335" s="648"/>
      <c r="C335" s="639"/>
      <c r="D335" s="639"/>
      <c r="E335" s="25"/>
      <c r="F335" s="266"/>
      <c r="G335" s="266"/>
      <c r="H335" s="8"/>
      <c r="I335" s="8"/>
      <c r="J335" s="403">
        <f t="shared" si="23"/>
        <v>0</v>
      </c>
      <c r="K335" s="35"/>
      <c r="L335" s="8"/>
      <c r="M335" s="7"/>
      <c r="N335" s="9" t="str">
        <f t="shared" si="24"/>
        <v/>
      </c>
      <c r="O335" s="20"/>
      <c r="Q335" s="652">
        <f t="shared" si="25"/>
        <v>0</v>
      </c>
      <c r="R335" s="652">
        <f t="shared" si="26"/>
        <v>0</v>
      </c>
    </row>
    <row r="336" spans="1:18">
      <c r="A336" s="647"/>
      <c r="B336" s="648"/>
      <c r="C336" s="639"/>
      <c r="D336" s="639"/>
      <c r="E336" s="25"/>
      <c r="F336" s="266"/>
      <c r="G336" s="266"/>
      <c r="H336" s="8"/>
      <c r="I336" s="8"/>
      <c r="J336" s="403">
        <f t="shared" si="23"/>
        <v>0</v>
      </c>
      <c r="K336" s="35"/>
      <c r="L336" s="8"/>
      <c r="M336" s="7"/>
      <c r="N336" s="9" t="str">
        <f t="shared" si="24"/>
        <v/>
      </c>
      <c r="O336" s="20"/>
      <c r="Q336" s="652">
        <f t="shared" si="25"/>
        <v>0</v>
      </c>
      <c r="R336" s="652">
        <f t="shared" si="26"/>
        <v>0</v>
      </c>
    </row>
    <row r="337" spans="1:18">
      <c r="A337" s="647"/>
      <c r="B337" s="648"/>
      <c r="C337" s="639"/>
      <c r="D337" s="639"/>
      <c r="E337" s="25"/>
      <c r="F337" s="266"/>
      <c r="G337" s="266"/>
      <c r="H337" s="8"/>
      <c r="I337" s="8"/>
      <c r="J337" s="403">
        <f t="shared" si="23"/>
        <v>0</v>
      </c>
      <c r="K337" s="35"/>
      <c r="L337" s="8"/>
      <c r="M337" s="7"/>
      <c r="N337" s="9" t="str">
        <f t="shared" si="24"/>
        <v/>
      </c>
      <c r="O337" s="20"/>
      <c r="Q337" s="652">
        <f t="shared" si="25"/>
        <v>0</v>
      </c>
      <c r="R337" s="652">
        <f t="shared" si="26"/>
        <v>0</v>
      </c>
    </row>
    <row r="338" spans="1:18">
      <c r="A338" s="647"/>
      <c r="B338" s="648"/>
      <c r="C338" s="639"/>
      <c r="D338" s="639"/>
      <c r="E338" s="25"/>
      <c r="F338" s="266"/>
      <c r="G338" s="266"/>
      <c r="H338" s="8"/>
      <c r="I338" s="8"/>
      <c r="J338" s="403">
        <f t="shared" si="23"/>
        <v>0</v>
      </c>
      <c r="K338" s="35"/>
      <c r="L338" s="8"/>
      <c r="M338" s="7"/>
      <c r="N338" s="9" t="str">
        <f t="shared" si="24"/>
        <v/>
      </c>
      <c r="O338" s="20"/>
      <c r="Q338" s="652">
        <f t="shared" si="25"/>
        <v>0</v>
      </c>
      <c r="R338" s="652">
        <f t="shared" si="26"/>
        <v>0</v>
      </c>
    </row>
    <row r="339" spans="1:18">
      <c r="A339" s="647"/>
      <c r="B339" s="648"/>
      <c r="C339" s="639"/>
      <c r="D339" s="639"/>
      <c r="E339" s="25"/>
      <c r="F339" s="266"/>
      <c r="G339" s="266"/>
      <c r="H339" s="8"/>
      <c r="I339" s="8"/>
      <c r="J339" s="403">
        <f t="shared" si="23"/>
        <v>0</v>
      </c>
      <c r="K339" s="35"/>
      <c r="L339" s="8"/>
      <c r="M339" s="7"/>
      <c r="N339" s="9" t="str">
        <f t="shared" si="24"/>
        <v/>
      </c>
      <c r="O339" s="20"/>
      <c r="Q339" s="652">
        <f t="shared" si="25"/>
        <v>0</v>
      </c>
      <c r="R339" s="652">
        <f t="shared" si="26"/>
        <v>0</v>
      </c>
    </row>
    <row r="340" spans="1:18">
      <c r="A340" s="647"/>
      <c r="B340" s="648"/>
      <c r="C340" s="639"/>
      <c r="D340" s="639"/>
      <c r="E340" s="25"/>
      <c r="F340" s="266"/>
      <c r="G340" s="266"/>
      <c r="H340" s="8"/>
      <c r="I340" s="8"/>
      <c r="J340" s="403">
        <f t="shared" si="23"/>
        <v>0</v>
      </c>
      <c r="K340" s="35"/>
      <c r="L340" s="8"/>
      <c r="M340" s="7"/>
      <c r="N340" s="9" t="str">
        <f t="shared" si="24"/>
        <v/>
      </c>
      <c r="O340" s="20"/>
      <c r="Q340" s="652">
        <f t="shared" si="25"/>
        <v>0</v>
      </c>
      <c r="R340" s="652">
        <f t="shared" si="26"/>
        <v>0</v>
      </c>
    </row>
    <row r="341" spans="1:18">
      <c r="A341" s="647"/>
      <c r="B341" s="648"/>
      <c r="C341" s="639"/>
      <c r="D341" s="639"/>
      <c r="E341" s="25"/>
      <c r="F341" s="266"/>
      <c r="G341" s="266"/>
      <c r="H341" s="8"/>
      <c r="I341" s="8"/>
      <c r="J341" s="403">
        <f t="shared" si="23"/>
        <v>0</v>
      </c>
      <c r="K341" s="35"/>
      <c r="L341" s="8"/>
      <c r="M341" s="7"/>
      <c r="N341" s="9" t="str">
        <f t="shared" si="24"/>
        <v/>
      </c>
      <c r="O341" s="20"/>
      <c r="Q341" s="652">
        <f t="shared" si="25"/>
        <v>0</v>
      </c>
      <c r="R341" s="652">
        <f t="shared" si="26"/>
        <v>0</v>
      </c>
    </row>
    <row r="342" spans="1:18">
      <c r="A342" s="647"/>
      <c r="B342" s="648"/>
      <c r="C342" s="639"/>
      <c r="D342" s="639"/>
      <c r="E342" s="25"/>
      <c r="F342" s="266"/>
      <c r="G342" s="266"/>
      <c r="H342" s="8"/>
      <c r="I342" s="8"/>
      <c r="J342" s="403">
        <f t="shared" si="23"/>
        <v>0</v>
      </c>
      <c r="K342" s="35"/>
      <c r="L342" s="8"/>
      <c r="M342" s="7"/>
      <c r="N342" s="9" t="str">
        <f t="shared" si="24"/>
        <v/>
      </c>
      <c r="O342" s="20"/>
      <c r="Q342" s="652">
        <f t="shared" si="25"/>
        <v>0</v>
      </c>
      <c r="R342" s="652">
        <f t="shared" si="26"/>
        <v>0</v>
      </c>
    </row>
    <row r="343" spans="1:18">
      <c r="A343" s="647"/>
      <c r="B343" s="648"/>
      <c r="C343" s="639"/>
      <c r="D343" s="639"/>
      <c r="E343" s="25"/>
      <c r="F343" s="266"/>
      <c r="G343" s="266"/>
      <c r="H343" s="8"/>
      <c r="I343" s="8"/>
      <c r="J343" s="403">
        <f t="shared" si="23"/>
        <v>0</v>
      </c>
      <c r="K343" s="35"/>
      <c r="L343" s="8"/>
      <c r="M343" s="7"/>
      <c r="N343" s="9" t="str">
        <f t="shared" si="24"/>
        <v/>
      </c>
      <c r="O343" s="20"/>
      <c r="Q343" s="652">
        <f t="shared" si="25"/>
        <v>0</v>
      </c>
      <c r="R343" s="652">
        <f t="shared" si="26"/>
        <v>0</v>
      </c>
    </row>
    <row r="344" spans="1:18">
      <c r="A344" s="647"/>
      <c r="B344" s="648"/>
      <c r="C344" s="639"/>
      <c r="D344" s="639"/>
      <c r="E344" s="25"/>
      <c r="F344" s="266"/>
      <c r="G344" s="266"/>
      <c r="H344" s="8"/>
      <c r="I344" s="8"/>
      <c r="J344" s="403">
        <f t="shared" si="23"/>
        <v>0</v>
      </c>
      <c r="K344" s="35"/>
      <c r="L344" s="8"/>
      <c r="M344" s="7"/>
      <c r="N344" s="9" t="str">
        <f t="shared" si="24"/>
        <v/>
      </c>
      <c r="O344" s="20"/>
      <c r="Q344" s="652">
        <f t="shared" si="25"/>
        <v>0</v>
      </c>
      <c r="R344" s="652">
        <f t="shared" si="26"/>
        <v>0</v>
      </c>
    </row>
    <row r="345" spans="1:18">
      <c r="A345" s="647"/>
      <c r="B345" s="648"/>
      <c r="C345" s="639"/>
      <c r="D345" s="639"/>
      <c r="E345" s="25"/>
      <c r="F345" s="266"/>
      <c r="G345" s="266"/>
      <c r="H345" s="8"/>
      <c r="I345" s="8"/>
      <c r="J345" s="403">
        <f t="shared" si="23"/>
        <v>0</v>
      </c>
      <c r="K345" s="35"/>
      <c r="L345" s="8"/>
      <c r="M345" s="7"/>
      <c r="N345" s="9" t="str">
        <f t="shared" si="24"/>
        <v/>
      </c>
      <c r="O345" s="20"/>
      <c r="Q345" s="652">
        <f t="shared" si="25"/>
        <v>0</v>
      </c>
      <c r="R345" s="652">
        <f t="shared" si="26"/>
        <v>0</v>
      </c>
    </row>
    <row r="346" spans="1:18">
      <c r="A346" s="647"/>
      <c r="B346" s="648"/>
      <c r="C346" s="639"/>
      <c r="D346" s="639"/>
      <c r="E346" s="25"/>
      <c r="F346" s="266"/>
      <c r="G346" s="266"/>
      <c r="H346" s="8"/>
      <c r="I346" s="8"/>
      <c r="J346" s="403">
        <f t="shared" si="23"/>
        <v>0</v>
      </c>
      <c r="K346" s="35"/>
      <c r="L346" s="8"/>
      <c r="M346" s="7"/>
      <c r="N346" s="9" t="str">
        <f t="shared" si="24"/>
        <v/>
      </c>
      <c r="O346" s="20"/>
      <c r="Q346" s="652">
        <f t="shared" si="25"/>
        <v>0</v>
      </c>
      <c r="R346" s="652">
        <f t="shared" si="26"/>
        <v>0</v>
      </c>
    </row>
    <row r="347" spans="1:18">
      <c r="A347" s="647"/>
      <c r="B347" s="648"/>
      <c r="C347" s="639"/>
      <c r="D347" s="639"/>
      <c r="E347" s="25"/>
      <c r="F347" s="266"/>
      <c r="G347" s="266"/>
      <c r="H347" s="8"/>
      <c r="I347" s="8"/>
      <c r="J347" s="403">
        <f t="shared" si="23"/>
        <v>0</v>
      </c>
      <c r="K347" s="35"/>
      <c r="L347" s="8"/>
      <c r="M347" s="7"/>
      <c r="N347" s="9" t="str">
        <f t="shared" si="24"/>
        <v/>
      </c>
      <c r="O347" s="20"/>
      <c r="Q347" s="652">
        <f t="shared" si="25"/>
        <v>0</v>
      </c>
      <c r="R347" s="652">
        <f t="shared" si="26"/>
        <v>0</v>
      </c>
    </row>
    <row r="348" spans="1:18">
      <c r="A348" s="647"/>
      <c r="B348" s="648"/>
      <c r="C348" s="639"/>
      <c r="D348" s="639"/>
      <c r="E348" s="25"/>
      <c r="F348" s="266"/>
      <c r="G348" s="266"/>
      <c r="H348" s="8"/>
      <c r="I348" s="8"/>
      <c r="J348" s="403">
        <f t="shared" si="23"/>
        <v>0</v>
      </c>
      <c r="K348" s="35"/>
      <c r="L348" s="8"/>
      <c r="M348" s="7"/>
      <c r="N348" s="9" t="str">
        <f t="shared" si="24"/>
        <v/>
      </c>
      <c r="O348" s="20"/>
      <c r="Q348" s="652">
        <f t="shared" si="25"/>
        <v>0</v>
      </c>
      <c r="R348" s="652">
        <f t="shared" si="26"/>
        <v>0</v>
      </c>
    </row>
    <row r="349" spans="1:18">
      <c r="A349" s="647"/>
      <c r="B349" s="648"/>
      <c r="C349" s="639"/>
      <c r="D349" s="639"/>
      <c r="E349" s="25"/>
      <c r="F349" s="266"/>
      <c r="G349" s="266"/>
      <c r="H349" s="8"/>
      <c r="I349" s="8"/>
      <c r="J349" s="403">
        <f t="shared" si="23"/>
        <v>0</v>
      </c>
      <c r="K349" s="35"/>
      <c r="L349" s="8"/>
      <c r="M349" s="7"/>
      <c r="N349" s="9" t="str">
        <f t="shared" si="24"/>
        <v/>
      </c>
      <c r="O349" s="20"/>
      <c r="Q349" s="652">
        <f t="shared" si="25"/>
        <v>0</v>
      </c>
      <c r="R349" s="652">
        <f t="shared" si="26"/>
        <v>0</v>
      </c>
    </row>
    <row r="350" spans="1:18">
      <c r="A350" s="647"/>
      <c r="B350" s="648"/>
      <c r="C350" s="639"/>
      <c r="D350" s="639"/>
      <c r="E350" s="25"/>
      <c r="F350" s="266"/>
      <c r="G350" s="266"/>
      <c r="H350" s="8"/>
      <c r="I350" s="8"/>
      <c r="J350" s="403">
        <f t="shared" si="23"/>
        <v>0</v>
      </c>
      <c r="K350" s="35"/>
      <c r="L350" s="8"/>
      <c r="M350" s="7"/>
      <c r="N350" s="9" t="str">
        <f t="shared" si="24"/>
        <v/>
      </c>
      <c r="O350" s="20"/>
      <c r="Q350" s="652">
        <f t="shared" si="25"/>
        <v>0</v>
      </c>
      <c r="R350" s="652">
        <f t="shared" si="26"/>
        <v>0</v>
      </c>
    </row>
    <row r="351" spans="1:18">
      <c r="A351" s="647"/>
      <c r="B351" s="648"/>
      <c r="C351" s="639"/>
      <c r="D351" s="639"/>
      <c r="E351" s="25"/>
      <c r="F351" s="266"/>
      <c r="G351" s="266"/>
      <c r="H351" s="8"/>
      <c r="I351" s="8"/>
      <c r="J351" s="403">
        <f t="shared" si="23"/>
        <v>0</v>
      </c>
      <c r="K351" s="35"/>
      <c r="L351" s="8"/>
      <c r="M351" s="7"/>
      <c r="N351" s="9" t="str">
        <f t="shared" si="24"/>
        <v/>
      </c>
      <c r="O351" s="20"/>
      <c r="Q351" s="652">
        <f t="shared" si="25"/>
        <v>0</v>
      </c>
      <c r="R351" s="652">
        <f t="shared" si="26"/>
        <v>0</v>
      </c>
    </row>
    <row r="352" spans="1:18">
      <c r="A352" s="647"/>
      <c r="B352" s="648"/>
      <c r="C352" s="639"/>
      <c r="D352" s="639"/>
      <c r="E352" s="25"/>
      <c r="F352" s="266"/>
      <c r="G352" s="266"/>
      <c r="H352" s="8"/>
      <c r="I352" s="8"/>
      <c r="J352" s="403">
        <f t="shared" si="23"/>
        <v>0</v>
      </c>
      <c r="K352" s="35"/>
      <c r="L352" s="8"/>
      <c r="M352" s="7"/>
      <c r="N352" s="9" t="str">
        <f t="shared" si="24"/>
        <v/>
      </c>
      <c r="O352" s="20"/>
      <c r="Q352" s="652">
        <f t="shared" si="25"/>
        <v>0</v>
      </c>
      <c r="R352" s="652">
        <f t="shared" si="26"/>
        <v>0</v>
      </c>
    </row>
    <row r="353" spans="1:18" ht="14.25" thickBot="1">
      <c r="A353" s="649"/>
      <c r="B353" s="650"/>
      <c r="C353" s="651"/>
      <c r="D353" s="651"/>
      <c r="E353" s="31"/>
      <c r="F353" s="268"/>
      <c r="G353" s="268"/>
      <c r="H353" s="33"/>
      <c r="I353" s="33"/>
      <c r="J353" s="404">
        <f t="shared" si="23"/>
        <v>0</v>
      </c>
      <c r="K353" s="30"/>
      <c r="L353" s="33"/>
      <c r="M353" s="32"/>
      <c r="N353" s="34" t="str">
        <f t="shared" si="24"/>
        <v/>
      </c>
      <c r="O353" s="21"/>
      <c r="Q353" s="652">
        <f t="shared" si="25"/>
        <v>0</v>
      </c>
      <c r="R353" s="652">
        <f t="shared" si="26"/>
        <v>0</v>
      </c>
    </row>
  </sheetData>
  <sheetProtection sheet="1" objects="1" scenarios="1" selectLockedCells="1"/>
  <mergeCells count="15">
    <mergeCell ref="A2:A4"/>
    <mergeCell ref="B2:B4"/>
    <mergeCell ref="C2:C4"/>
    <mergeCell ref="D2:D4"/>
    <mergeCell ref="E2:E4"/>
    <mergeCell ref="O2:O4"/>
    <mergeCell ref="F3:G3"/>
    <mergeCell ref="H3:I3"/>
    <mergeCell ref="J3:J4"/>
    <mergeCell ref="K3:K4"/>
    <mergeCell ref="L3:L4"/>
    <mergeCell ref="M3:M4"/>
    <mergeCell ref="N3:N4"/>
    <mergeCell ref="F2:J2"/>
    <mergeCell ref="K2:N2"/>
  </mergeCells>
  <phoneticPr fontId="14"/>
  <dataValidations count="5">
    <dataValidation type="list" allowBlank="1" showErrorMessage="1" sqref="K5:K353">
      <formula1>燃料種類</formula1>
      <formula2>0</formula2>
    </dataValidation>
    <dataValidation type="list" allowBlank="1" showErrorMessage="1" sqref="B5:B353">
      <formula1>月旬</formula1>
      <formula2>0</formula2>
    </dataValidation>
    <dataValidation type="list" allowBlank="1" showErrorMessage="1" sqref="A5:A353">
      <formula1>作業名</formula1>
      <formula2>0</formula2>
    </dataValidation>
    <dataValidation type="list" allowBlank="1" showInputMessage="1" showErrorMessage="1" sqref="C5:C353">
      <formula1>機械</formula1>
    </dataValidation>
    <dataValidation type="list" allowBlank="1" showInputMessage="1" showErrorMessage="1" sqref="D5:D353">
      <formula1>機械能力</formula1>
    </dataValidation>
  </dataValidations>
  <printOptions horizontalCentered="1"/>
  <pageMargins left="0.23622047244094491" right="0.23622047244094491" top="0.74803149606299213" bottom="0.74803149606299213" header="0.31496062992125984" footer="0.31496062992125984"/>
  <pageSetup paperSize="9" scale="86" firstPageNumber="0" fitToHeight="0" orientation="landscape" cellComments="asDisplayed" verticalDpi="300" r:id="rId1"/>
  <headerFooter alignWithMargins="0">
    <oddHeader>&amp;L&amp;D&amp;F &amp;A</oddHeader>
    <oddFooter>&amp;C&amp;14&amp;P/&amp;N</oddFooter>
  </headerFooter>
  <legacyDrawing r:id="rId2"/>
</worksheet>
</file>

<file path=xl/worksheets/sheet7.xml><?xml version="1.0" encoding="utf-8"?>
<worksheet xmlns="http://schemas.openxmlformats.org/spreadsheetml/2006/main" xmlns:r="http://schemas.openxmlformats.org/officeDocument/2006/relationships">
  <sheetPr>
    <tabColor rgb="FFFFFF00"/>
  </sheetPr>
  <dimension ref="A1:Q23"/>
  <sheetViews>
    <sheetView workbookViewId="0">
      <pane xSplit="1" ySplit="7" topLeftCell="B8" activePane="bottomRight" state="frozen"/>
      <selection pane="topRight" activeCell="B1" sqref="B1"/>
      <selection pane="bottomLeft" activeCell="A8" sqref="A8"/>
      <selection pane="bottomRight" activeCell="H21" sqref="H21"/>
    </sheetView>
  </sheetViews>
  <sheetFormatPr defaultRowHeight="13.5"/>
  <cols>
    <col min="1" max="1" width="9" style="299"/>
    <col min="2" max="7" width="12.625" style="299" customWidth="1"/>
    <col min="8" max="8" width="48.5" style="299" customWidth="1"/>
    <col min="9" max="9" width="9" style="299"/>
    <col min="10" max="10" width="24.125" style="299" customWidth="1"/>
    <col min="11" max="13" width="9" style="299"/>
    <col min="14" max="14" width="13.125" style="299" customWidth="1"/>
    <col min="15" max="15" width="12.625" style="299" bestFit="1" customWidth="1"/>
    <col min="16" max="16" width="13.125" style="299" bestFit="1" customWidth="1"/>
    <col min="17" max="17" width="15.5" style="299" bestFit="1" customWidth="1"/>
    <col min="18" max="16384" width="9" style="299"/>
  </cols>
  <sheetData>
    <row r="1" spans="1:17" ht="17.25">
      <c r="A1" s="303"/>
    </row>
    <row r="2" spans="1:17" ht="14.25" thickBot="1">
      <c r="A2" s="87"/>
      <c r="B2" s="661" t="s">
        <v>705</v>
      </c>
      <c r="C2" s="662"/>
      <c r="D2" s="662"/>
      <c r="E2" s="302"/>
      <c r="F2" s="575" t="s">
        <v>706</v>
      </c>
    </row>
    <row r="3" spans="1:17" ht="14.25" thickBot="1">
      <c r="A3" s="87"/>
      <c r="B3" s="663" t="s">
        <v>700</v>
      </c>
      <c r="C3" s="664">
        <v>0.1</v>
      </c>
      <c r="D3" s="663" t="s">
        <v>577</v>
      </c>
      <c r="E3" s="302"/>
      <c r="F3" s="665">
        <v>0.8</v>
      </c>
    </row>
    <row r="5" spans="1:17" ht="14.25" thickBot="1"/>
    <row r="6" spans="1:17" ht="18" customHeight="1">
      <c r="A6" s="496"/>
      <c r="B6" s="886" t="s">
        <v>404</v>
      </c>
      <c r="C6" s="887"/>
      <c r="D6" s="888"/>
      <c r="E6" s="884" t="s">
        <v>406</v>
      </c>
      <c r="F6" s="889" t="s">
        <v>407</v>
      </c>
      <c r="G6" s="884" t="s">
        <v>683</v>
      </c>
      <c r="H6" s="880" t="s">
        <v>708</v>
      </c>
      <c r="I6" s="300"/>
    </row>
    <row r="7" spans="1:17" ht="18" customHeight="1" thickBot="1">
      <c r="A7" s="497" t="s">
        <v>380</v>
      </c>
      <c r="B7" s="601" t="s">
        <v>684</v>
      </c>
      <c r="C7" s="602" t="s">
        <v>685</v>
      </c>
      <c r="D7" s="603" t="s">
        <v>381</v>
      </c>
      <c r="E7" s="885"/>
      <c r="F7" s="890"/>
      <c r="G7" s="885"/>
      <c r="H7" s="881"/>
      <c r="I7" s="301"/>
    </row>
    <row r="8" spans="1:17" ht="18" customHeight="1">
      <c r="A8" s="498">
        <v>1</v>
      </c>
      <c r="B8" s="523"/>
      <c r="C8" s="524"/>
      <c r="D8" s="525">
        <f t="shared" ref="D8:D13" si="0">B8*C8</f>
        <v>0</v>
      </c>
      <c r="E8" s="537"/>
      <c r="F8" s="538"/>
      <c r="G8" s="539">
        <f>SUM(D8:F8)</f>
        <v>0</v>
      </c>
      <c r="H8" s="696"/>
      <c r="I8" s="302"/>
      <c r="Q8" s="90"/>
    </row>
    <row r="9" spans="1:17" ht="18" customHeight="1">
      <c r="A9" s="499">
        <v>2</v>
      </c>
      <c r="B9" s="526"/>
      <c r="C9" s="527"/>
      <c r="D9" s="528">
        <f t="shared" si="0"/>
        <v>0</v>
      </c>
      <c r="E9" s="540"/>
      <c r="F9" s="541"/>
      <c r="G9" s="542">
        <f t="shared" ref="G9:G21" si="1">SUM(D9:F9)</f>
        <v>0</v>
      </c>
      <c r="H9" s="697"/>
      <c r="I9" s="302"/>
      <c r="Q9" s="90"/>
    </row>
    <row r="10" spans="1:17" ht="18" customHeight="1">
      <c r="A10" s="499">
        <v>3</v>
      </c>
      <c r="B10" s="526"/>
      <c r="C10" s="527"/>
      <c r="D10" s="528">
        <f t="shared" si="0"/>
        <v>0</v>
      </c>
      <c r="E10" s="540"/>
      <c r="F10" s="541"/>
      <c r="G10" s="542">
        <f t="shared" si="1"/>
        <v>0</v>
      </c>
      <c r="H10" s="697"/>
      <c r="I10" s="302"/>
    </row>
    <row r="11" spans="1:17" ht="18" customHeight="1">
      <c r="A11" s="499">
        <v>4</v>
      </c>
      <c r="B11" s="526"/>
      <c r="C11" s="527"/>
      <c r="D11" s="528">
        <f t="shared" si="0"/>
        <v>0</v>
      </c>
      <c r="E11" s="540"/>
      <c r="F11" s="541"/>
      <c r="G11" s="542">
        <f t="shared" si="1"/>
        <v>0</v>
      </c>
      <c r="H11" s="697"/>
      <c r="I11" s="302"/>
    </row>
    <row r="12" spans="1:17" ht="18" customHeight="1">
      <c r="A12" s="499">
        <v>5</v>
      </c>
      <c r="B12" s="526"/>
      <c r="C12" s="527"/>
      <c r="D12" s="528">
        <f t="shared" si="0"/>
        <v>0</v>
      </c>
      <c r="E12" s="540"/>
      <c r="F12" s="541"/>
      <c r="G12" s="542">
        <f t="shared" si="1"/>
        <v>0</v>
      </c>
      <c r="H12" s="697"/>
      <c r="I12" s="302"/>
    </row>
    <row r="13" spans="1:17" ht="18" customHeight="1">
      <c r="A13" s="499">
        <v>6</v>
      </c>
      <c r="B13" s="526"/>
      <c r="C13" s="527"/>
      <c r="D13" s="528">
        <f t="shared" si="0"/>
        <v>0</v>
      </c>
      <c r="E13" s="540"/>
      <c r="F13" s="541"/>
      <c r="G13" s="542">
        <f t="shared" si="1"/>
        <v>0</v>
      </c>
      <c r="H13" s="697"/>
      <c r="I13" s="302"/>
    </row>
    <row r="14" spans="1:17" ht="18" customHeight="1">
      <c r="A14" s="499">
        <v>7</v>
      </c>
      <c r="B14" s="526"/>
      <c r="C14" s="527"/>
      <c r="D14" s="529">
        <f t="shared" ref="D14:D19" si="2">B14*C14</f>
        <v>0</v>
      </c>
      <c r="E14" s="540"/>
      <c r="F14" s="541"/>
      <c r="G14" s="542">
        <f t="shared" si="1"/>
        <v>0</v>
      </c>
      <c r="H14" s="697"/>
      <c r="I14" s="302"/>
    </row>
    <row r="15" spans="1:17" ht="18" customHeight="1">
      <c r="A15" s="499">
        <v>8</v>
      </c>
      <c r="B15" s="526"/>
      <c r="C15" s="527"/>
      <c r="D15" s="529">
        <f t="shared" si="2"/>
        <v>0</v>
      </c>
      <c r="E15" s="540"/>
      <c r="F15" s="541"/>
      <c r="G15" s="542">
        <f t="shared" si="1"/>
        <v>0</v>
      </c>
      <c r="H15" s="697"/>
      <c r="I15" s="302"/>
    </row>
    <row r="16" spans="1:17" ht="18" customHeight="1">
      <c r="A16" s="499">
        <v>9</v>
      </c>
      <c r="B16" s="526"/>
      <c r="C16" s="527"/>
      <c r="D16" s="529">
        <f t="shared" si="2"/>
        <v>0</v>
      </c>
      <c r="E16" s="540"/>
      <c r="F16" s="541"/>
      <c r="G16" s="542">
        <f t="shared" si="1"/>
        <v>0</v>
      </c>
      <c r="H16" s="697"/>
      <c r="I16" s="302"/>
    </row>
    <row r="17" spans="1:9" ht="18" customHeight="1">
      <c r="A17" s="499">
        <v>10</v>
      </c>
      <c r="B17" s="526"/>
      <c r="C17" s="527"/>
      <c r="D17" s="529">
        <f t="shared" si="2"/>
        <v>0</v>
      </c>
      <c r="E17" s="540"/>
      <c r="F17" s="541"/>
      <c r="G17" s="542">
        <f t="shared" si="1"/>
        <v>0</v>
      </c>
      <c r="H17" s="697"/>
      <c r="I17" s="302"/>
    </row>
    <row r="18" spans="1:9" ht="18" customHeight="1">
      <c r="A18" s="499">
        <v>11</v>
      </c>
      <c r="B18" s="526"/>
      <c r="C18" s="527"/>
      <c r="D18" s="529">
        <f t="shared" si="2"/>
        <v>0</v>
      </c>
      <c r="E18" s="540"/>
      <c r="F18" s="541"/>
      <c r="G18" s="542">
        <f t="shared" si="1"/>
        <v>0</v>
      </c>
      <c r="H18" s="697"/>
      <c r="I18" s="302"/>
    </row>
    <row r="19" spans="1:9" ht="18" customHeight="1" thickBot="1">
      <c r="A19" s="500">
        <v>12</v>
      </c>
      <c r="B19" s="530"/>
      <c r="C19" s="531"/>
      <c r="D19" s="532">
        <f t="shared" si="2"/>
        <v>0</v>
      </c>
      <c r="E19" s="702"/>
      <c r="F19" s="543"/>
      <c r="G19" s="544">
        <f t="shared" si="1"/>
        <v>0</v>
      </c>
      <c r="H19" s="698"/>
      <c r="I19" s="302"/>
    </row>
    <row r="20" spans="1:9" ht="18" customHeight="1">
      <c r="A20" s="882" t="s">
        <v>405</v>
      </c>
      <c r="B20" s="737">
        <v>4</v>
      </c>
      <c r="C20" s="730">
        <v>3000</v>
      </c>
      <c r="D20" s="726">
        <f>B20*C20</f>
        <v>12000</v>
      </c>
      <c r="E20" s="739"/>
      <c r="F20" s="727">
        <f>80000/2</f>
        <v>40000</v>
      </c>
      <c r="G20" s="728">
        <f>SUM(D20:F20)</f>
        <v>52000</v>
      </c>
      <c r="H20" s="729" t="s">
        <v>852</v>
      </c>
      <c r="I20" s="302"/>
    </row>
    <row r="21" spans="1:9" ht="18" customHeight="1" thickBot="1">
      <c r="A21" s="883"/>
      <c r="B21" s="738">
        <f>0.2/2</f>
        <v>0.1</v>
      </c>
      <c r="C21" s="731">
        <v>626000</v>
      </c>
      <c r="D21" s="721">
        <f>B21*C21</f>
        <v>62600</v>
      </c>
      <c r="E21" s="722"/>
      <c r="F21" s="723"/>
      <c r="G21" s="724">
        <f t="shared" si="1"/>
        <v>62600</v>
      </c>
      <c r="H21" s="725" t="s">
        <v>709</v>
      </c>
      <c r="I21" s="302"/>
    </row>
    <row r="22" spans="1:9" ht="18" customHeight="1" thickTop="1" thickBot="1">
      <c r="A22" s="501" t="s">
        <v>382</v>
      </c>
      <c r="B22" s="547">
        <f>SUM(B8:B21)</f>
        <v>4.0999999999999996</v>
      </c>
      <c r="C22" s="533">
        <f>D22/B22</f>
        <v>18195.121951219513</v>
      </c>
      <c r="D22" s="534">
        <f>SUM(D8:D21)</f>
        <v>74600</v>
      </c>
      <c r="E22" s="535">
        <f>SUM(E8:E21)</f>
        <v>0</v>
      </c>
      <c r="F22" s="536">
        <f>SUM(F8:F21)</f>
        <v>40000</v>
      </c>
      <c r="G22" s="535">
        <f>SUM(G8:G21)</f>
        <v>114600</v>
      </c>
      <c r="H22" s="699"/>
      <c r="I22" s="302"/>
    </row>
    <row r="23" spans="1:9" ht="18" customHeight="1"/>
  </sheetData>
  <sheetProtection sheet="1" objects="1" scenarios="1" selectLockedCells="1"/>
  <mergeCells count="6">
    <mergeCell ref="H6:H7"/>
    <mergeCell ref="A20:A21"/>
    <mergeCell ref="G6:G7"/>
    <mergeCell ref="B6:D6"/>
    <mergeCell ref="E6:E7"/>
    <mergeCell ref="F6:F7"/>
  </mergeCells>
  <phoneticPr fontId="14"/>
  <dataValidations count="2">
    <dataValidation type="list" allowBlank="1" showInputMessage="1" showErrorMessage="1" sqref="D3">
      <formula1>本</formula1>
    </dataValidation>
    <dataValidation type="list" allowBlank="1" showInputMessage="1" showErrorMessage="1" sqref="B3">
      <formula1>植付本数</formula1>
    </dataValidation>
  </dataValidations>
  <pageMargins left="0.70866141732283472" right="0.70866141732283472" top="0.94488188976377963" bottom="0.74803149606299213" header="0.31496062992125984" footer="0.31496062992125984"/>
  <pageSetup paperSize="9" orientation="landscape" verticalDpi="0" r:id="rId1"/>
  <headerFooter>
    <oddHeader>&amp;L&amp;D&amp;F&amp;A</oddHeader>
  </headerFooter>
</worksheet>
</file>

<file path=xl/worksheets/sheet8.xml><?xml version="1.0" encoding="utf-8"?>
<worksheet xmlns="http://schemas.openxmlformats.org/spreadsheetml/2006/main" xmlns:r="http://schemas.openxmlformats.org/officeDocument/2006/relationships">
  <sheetPr codeName="Sheet6">
    <tabColor rgb="FFFFFF00"/>
  </sheetPr>
  <dimension ref="B1:W430"/>
  <sheetViews>
    <sheetView showGridLines="0" zoomScale="115" zoomScaleNormal="115" zoomScalePageLayoutView="75" workbookViewId="0">
      <pane ySplit="2" topLeftCell="A143" activePane="bottomLeft" state="frozen"/>
      <selection activeCell="I22" sqref="I22"/>
      <selection pane="bottomLeft" activeCell="W129" sqref="W129"/>
    </sheetView>
  </sheetViews>
  <sheetFormatPr defaultRowHeight="12" zeroHeight="1" outlineLevelRow="1"/>
  <cols>
    <col min="1" max="1" width="2.125" style="200" customWidth="1"/>
    <col min="2" max="2" width="5.125" style="200" customWidth="1"/>
    <col min="3" max="3" width="18.875" style="200" bestFit="1" customWidth="1"/>
    <col min="4" max="4" width="9.625" style="200" bestFit="1" customWidth="1"/>
    <col min="5" max="5" width="6.625" style="200" customWidth="1"/>
    <col min="6" max="6" width="10.625" style="454" customWidth="1"/>
    <col min="7" max="7" width="7" style="200" customWidth="1"/>
    <col min="8" max="8" width="7.875" style="200" bestFit="1" customWidth="1"/>
    <col min="9" max="9" width="9.625" style="458" bestFit="1" customWidth="1"/>
    <col min="10" max="10" width="11.25" style="458" customWidth="1"/>
    <col min="11" max="12" width="11.25" style="455" hidden="1" customWidth="1"/>
    <col min="13" max="13" width="6.625" style="456" hidden="1" customWidth="1"/>
    <col min="14" max="16" width="11.25" style="455" hidden="1" customWidth="1"/>
    <col min="17" max="19" width="11.25" style="457" hidden="1" customWidth="1"/>
    <col min="20" max="22" width="11.25" style="200" hidden="1" customWidth="1"/>
    <col min="23" max="23" width="24.25" style="633" customWidth="1"/>
    <col min="24" max="16384" width="9" style="200"/>
  </cols>
  <sheetData>
    <row r="1" spans="2:23" ht="18" customHeight="1" thickBot="1">
      <c r="B1" s="341" t="s">
        <v>276</v>
      </c>
      <c r="C1" s="342"/>
      <c r="D1" s="891" t="s">
        <v>76</v>
      </c>
      <c r="E1" s="891"/>
      <c r="F1" s="412"/>
      <c r="G1" s="343"/>
      <c r="H1" s="344">
        <v>10</v>
      </c>
      <c r="I1" s="506"/>
      <c r="J1" s="507"/>
      <c r="K1" s="345"/>
      <c r="L1" s="345"/>
      <c r="M1" s="346"/>
      <c r="N1" s="345"/>
      <c r="O1" s="345"/>
      <c r="P1" s="345"/>
      <c r="Q1" s="347"/>
      <c r="R1" s="347"/>
      <c r="S1" s="347"/>
      <c r="T1" s="160"/>
      <c r="U1" s="160"/>
      <c r="V1" s="160"/>
      <c r="W1" s="621" t="str">
        <f>①技術体系!A2</f>
        <v>黒毛和種子牛</v>
      </c>
    </row>
    <row r="2" spans="2:23" s="348" customFormat="1" ht="18" customHeight="1" thickBot="1">
      <c r="B2" s="605" t="s">
        <v>77</v>
      </c>
      <c r="C2" s="606" t="s">
        <v>78</v>
      </c>
      <c r="D2" s="607" t="s">
        <v>79</v>
      </c>
      <c r="E2" s="608" t="s">
        <v>80</v>
      </c>
      <c r="F2" s="609" t="s">
        <v>19</v>
      </c>
      <c r="G2" s="610" t="s">
        <v>81</v>
      </c>
      <c r="H2" s="607" t="s">
        <v>24</v>
      </c>
      <c r="I2" s="611" t="s">
        <v>82</v>
      </c>
      <c r="J2" s="611" t="s">
        <v>83</v>
      </c>
      <c r="K2" s="612" t="s">
        <v>84</v>
      </c>
      <c r="L2" s="612" t="s">
        <v>85</v>
      </c>
      <c r="M2" s="613" t="s">
        <v>80</v>
      </c>
      <c r="N2" s="612" t="s">
        <v>86</v>
      </c>
      <c r="O2" s="614" t="s">
        <v>87</v>
      </c>
      <c r="P2" s="615" t="s">
        <v>80</v>
      </c>
      <c r="Q2" s="616" t="s">
        <v>88</v>
      </c>
      <c r="R2" s="617" t="s">
        <v>89</v>
      </c>
      <c r="S2" s="618" t="s">
        <v>90</v>
      </c>
      <c r="T2" s="619" t="s">
        <v>91</v>
      </c>
      <c r="U2" s="620" t="s">
        <v>92</v>
      </c>
      <c r="V2" s="620" t="s">
        <v>93</v>
      </c>
      <c r="W2" s="622" t="s">
        <v>94</v>
      </c>
    </row>
    <row r="3" spans="2:23" s="348" customFormat="1" ht="12.95" customHeight="1">
      <c r="B3" s="892" t="s">
        <v>98</v>
      </c>
      <c r="C3" s="256" t="s">
        <v>793</v>
      </c>
      <c r="D3" s="220">
        <f>3/2</f>
        <v>1.5</v>
      </c>
      <c r="E3" s="257" t="s">
        <v>114</v>
      </c>
      <c r="F3" s="413">
        <v>1348</v>
      </c>
      <c r="G3" s="222">
        <v>1</v>
      </c>
      <c r="H3" s="223">
        <v>1</v>
      </c>
      <c r="I3" s="350">
        <f>IF(C3=0,"",D3*1/G3*H3)</f>
        <v>1.5</v>
      </c>
      <c r="J3" s="510">
        <f>IF(C3=0,"",ROUND(F3*I3,0))</f>
        <v>2022</v>
      </c>
      <c r="K3" s="224"/>
      <c r="L3" s="224"/>
      <c r="M3" s="225"/>
      <c r="N3" s="224"/>
      <c r="O3" s="226">
        <v>0</v>
      </c>
      <c r="P3" s="227"/>
      <c r="Q3" s="228"/>
      <c r="R3" s="229"/>
      <c r="S3" s="230"/>
      <c r="T3" s="231" t="s">
        <v>287</v>
      </c>
      <c r="U3" s="232" t="s">
        <v>287</v>
      </c>
      <c r="V3" s="233" t="s">
        <v>287</v>
      </c>
      <c r="W3" s="623" t="s">
        <v>853</v>
      </c>
    </row>
    <row r="4" spans="2:23" s="348" customFormat="1" ht="12.95" customHeight="1">
      <c r="B4" s="893"/>
      <c r="C4" s="197"/>
      <c r="D4" s="178"/>
      <c r="E4" s="196"/>
      <c r="F4" s="414"/>
      <c r="G4" s="181"/>
      <c r="H4" s="182"/>
      <c r="I4" s="352" t="str">
        <f>IF(C4=0,"",D4*1/G4*H4)</f>
        <v/>
      </c>
      <c r="J4" s="511" t="str">
        <f>IF(C4=0,"",ROUND(F4*I4,0))</f>
        <v/>
      </c>
      <c r="K4" s="183"/>
      <c r="L4" s="183"/>
      <c r="M4" s="184"/>
      <c r="N4" s="183"/>
      <c r="O4" s="185"/>
      <c r="P4" s="186"/>
      <c r="Q4" s="187"/>
      <c r="R4" s="188"/>
      <c r="S4" s="189"/>
      <c r="T4" s="190"/>
      <c r="U4" s="191"/>
      <c r="V4" s="192"/>
      <c r="W4" s="624"/>
    </row>
    <row r="5" spans="2:23" s="348" customFormat="1" ht="12.95" customHeight="1">
      <c r="B5" s="893"/>
      <c r="C5" s="197"/>
      <c r="D5" s="178"/>
      <c r="E5" s="196"/>
      <c r="F5" s="414"/>
      <c r="G5" s="181"/>
      <c r="H5" s="182"/>
      <c r="I5" s="352" t="str">
        <f>IF(C5=0,"",D5*1/G5*H5)</f>
        <v/>
      </c>
      <c r="J5" s="511" t="str">
        <f>IF(C5=0,"",ROUND(F5*I5,0))</f>
        <v/>
      </c>
      <c r="K5" s="183"/>
      <c r="L5" s="183"/>
      <c r="M5" s="184"/>
      <c r="N5" s="183"/>
      <c r="O5" s="185"/>
      <c r="P5" s="186"/>
      <c r="Q5" s="187"/>
      <c r="R5" s="188"/>
      <c r="S5" s="189"/>
      <c r="T5" s="190"/>
      <c r="U5" s="191"/>
      <c r="V5" s="192"/>
      <c r="W5" s="624"/>
    </row>
    <row r="6" spans="2:23" s="348" customFormat="1" ht="12.95" customHeight="1">
      <c r="B6" s="893"/>
      <c r="C6" s="197"/>
      <c r="D6" s="178"/>
      <c r="E6" s="196"/>
      <c r="F6" s="414"/>
      <c r="G6" s="181"/>
      <c r="H6" s="182"/>
      <c r="I6" s="352" t="str">
        <f>IF(C6=0,"",D6*1/G6*H6)</f>
        <v/>
      </c>
      <c r="J6" s="511" t="str">
        <f>IF(C6=0,"",ROUND(F6*I6,0))</f>
        <v/>
      </c>
      <c r="K6" s="183"/>
      <c r="L6" s="183"/>
      <c r="M6" s="184"/>
      <c r="N6" s="183"/>
      <c r="O6" s="185"/>
      <c r="P6" s="186"/>
      <c r="Q6" s="187"/>
      <c r="R6" s="188"/>
      <c r="S6" s="189"/>
      <c r="T6" s="190"/>
      <c r="U6" s="191"/>
      <c r="V6" s="192"/>
      <c r="W6" s="624"/>
    </row>
    <row r="7" spans="2:23" s="348" customFormat="1" ht="12.95" customHeight="1" thickBot="1">
      <c r="B7" s="893"/>
      <c r="C7" s="258"/>
      <c r="D7" s="235"/>
      <c r="E7" s="255"/>
      <c r="F7" s="415"/>
      <c r="G7" s="237"/>
      <c r="H7" s="238"/>
      <c r="I7" s="353" t="str">
        <f>IF(C7=0,"",D7*1/G7*H7)</f>
        <v/>
      </c>
      <c r="J7" s="512" t="str">
        <f>IF(C7=0,"",ROUND(F7*I7,0))</f>
        <v/>
      </c>
      <c r="K7" s="239"/>
      <c r="L7" s="239"/>
      <c r="M7" s="240"/>
      <c r="N7" s="239"/>
      <c r="O7" s="241"/>
      <c r="P7" s="242"/>
      <c r="Q7" s="243"/>
      <c r="R7" s="244"/>
      <c r="S7" s="245"/>
      <c r="T7" s="246"/>
      <c r="U7" s="247"/>
      <c r="V7" s="248"/>
      <c r="W7" s="625"/>
    </row>
    <row r="8" spans="2:23" s="348" customFormat="1" ht="12.95" customHeight="1" thickTop="1" thickBot="1">
      <c r="B8" s="894"/>
      <c r="C8" s="503" t="s">
        <v>288</v>
      </c>
      <c r="D8" s="234"/>
      <c r="E8" s="328"/>
      <c r="F8" s="416"/>
      <c r="G8" s="329"/>
      <c r="H8" s="330"/>
      <c r="I8" s="339"/>
      <c r="J8" s="509">
        <f>SUM(J3:J7)</f>
        <v>2022</v>
      </c>
      <c r="K8" s="331"/>
      <c r="L8" s="331"/>
      <c r="M8" s="332"/>
      <c r="N8" s="331"/>
      <c r="O8" s="333"/>
      <c r="P8" s="334"/>
      <c r="Q8" s="335"/>
      <c r="R8" s="336"/>
      <c r="S8" s="337"/>
      <c r="T8" s="504"/>
      <c r="U8" s="339"/>
      <c r="V8" s="340"/>
      <c r="W8" s="626"/>
    </row>
    <row r="9" spans="2:23" ht="12.95" customHeight="1">
      <c r="B9" s="898" t="s">
        <v>95</v>
      </c>
      <c r="C9" s="249" t="s">
        <v>798</v>
      </c>
      <c r="D9" s="220">
        <v>0.5</v>
      </c>
      <c r="E9" s="221" t="s">
        <v>840</v>
      </c>
      <c r="F9" s="413">
        <v>14628</v>
      </c>
      <c r="G9" s="222">
        <v>1</v>
      </c>
      <c r="H9" s="223">
        <v>1</v>
      </c>
      <c r="I9" s="350">
        <f t="shared" ref="I9:I19" si="0">IF(C9=0,"",D9*1/G9*H9)</f>
        <v>0.5</v>
      </c>
      <c r="J9" s="510">
        <f t="shared" ref="J9:J74" si="1">IF(C9=0,"",ROUND(F9*I9,0))</f>
        <v>7314</v>
      </c>
      <c r="K9" s="224"/>
      <c r="L9" s="224"/>
      <c r="M9" s="225"/>
      <c r="N9" s="224"/>
      <c r="O9" s="226">
        <v>0</v>
      </c>
      <c r="P9" s="227"/>
      <c r="Q9" s="228"/>
      <c r="R9" s="229"/>
      <c r="S9" s="230"/>
      <c r="T9" s="231" t="s">
        <v>287</v>
      </c>
      <c r="U9" s="232" t="s">
        <v>287</v>
      </c>
      <c r="V9" s="233" t="s">
        <v>287</v>
      </c>
      <c r="W9" s="627" t="s">
        <v>797</v>
      </c>
    </row>
    <row r="10" spans="2:23" ht="12.95" customHeight="1">
      <c r="B10" s="901"/>
      <c r="C10" s="250"/>
      <c r="D10" s="161"/>
      <c r="E10" s="162"/>
      <c r="F10" s="417"/>
      <c r="G10" s="163"/>
      <c r="H10" s="164"/>
      <c r="I10" s="513" t="str">
        <f t="shared" si="0"/>
        <v/>
      </c>
      <c r="J10" s="514" t="str">
        <f t="shared" si="1"/>
        <v/>
      </c>
      <c r="K10" s="165"/>
      <c r="L10" s="165"/>
      <c r="M10" s="166"/>
      <c r="N10" s="165"/>
      <c r="O10" s="167">
        <v>0</v>
      </c>
      <c r="P10" s="168"/>
      <c r="Q10" s="169"/>
      <c r="R10" s="170"/>
      <c r="S10" s="171"/>
      <c r="T10" s="172" t="s">
        <v>287</v>
      </c>
      <c r="U10" s="173" t="s">
        <v>287</v>
      </c>
      <c r="V10" s="174" t="s">
        <v>287</v>
      </c>
      <c r="W10" s="628"/>
    </row>
    <row r="11" spans="2:23" ht="12.95" customHeight="1">
      <c r="B11" s="901"/>
      <c r="C11" s="251"/>
      <c r="D11" s="161"/>
      <c r="E11" s="162"/>
      <c r="F11" s="417"/>
      <c r="G11" s="163"/>
      <c r="H11" s="164"/>
      <c r="I11" s="513" t="str">
        <f t="shared" si="0"/>
        <v/>
      </c>
      <c r="J11" s="514" t="str">
        <f t="shared" si="1"/>
        <v/>
      </c>
      <c r="K11" s="165"/>
      <c r="L11" s="165"/>
      <c r="M11" s="166"/>
      <c r="N11" s="165"/>
      <c r="O11" s="167">
        <v>0</v>
      </c>
      <c r="P11" s="168"/>
      <c r="Q11" s="169"/>
      <c r="R11" s="170"/>
      <c r="S11" s="171"/>
      <c r="T11" s="172" t="s">
        <v>287</v>
      </c>
      <c r="U11" s="173" t="s">
        <v>287</v>
      </c>
      <c r="V11" s="174" t="s">
        <v>287</v>
      </c>
      <c r="W11" s="628"/>
    </row>
    <row r="12" spans="2:23" ht="12.95" hidden="1" customHeight="1" outlineLevel="1">
      <c r="B12" s="901"/>
      <c r="C12" s="252"/>
      <c r="D12" s="161"/>
      <c r="E12" s="162"/>
      <c r="F12" s="417"/>
      <c r="G12" s="163"/>
      <c r="H12" s="164"/>
      <c r="I12" s="513" t="str">
        <f t="shared" si="0"/>
        <v/>
      </c>
      <c r="J12" s="514" t="str">
        <f t="shared" si="1"/>
        <v/>
      </c>
      <c r="K12" s="165"/>
      <c r="L12" s="165"/>
      <c r="M12" s="166"/>
      <c r="N12" s="165"/>
      <c r="O12" s="167"/>
      <c r="P12" s="168"/>
      <c r="Q12" s="169"/>
      <c r="R12" s="170"/>
      <c r="S12" s="171"/>
      <c r="T12" s="172"/>
      <c r="U12" s="173"/>
      <c r="V12" s="174"/>
      <c r="W12" s="628"/>
    </row>
    <row r="13" spans="2:23" ht="12.95" hidden="1" customHeight="1" outlineLevel="1">
      <c r="B13" s="901"/>
      <c r="C13" s="252"/>
      <c r="D13" s="161"/>
      <c r="E13" s="162"/>
      <c r="F13" s="417"/>
      <c r="G13" s="163"/>
      <c r="H13" s="164"/>
      <c r="I13" s="513" t="str">
        <f t="shared" si="0"/>
        <v/>
      </c>
      <c r="J13" s="514" t="str">
        <f t="shared" si="1"/>
        <v/>
      </c>
      <c r="K13" s="165"/>
      <c r="L13" s="165"/>
      <c r="M13" s="166"/>
      <c r="N13" s="165"/>
      <c r="O13" s="167"/>
      <c r="P13" s="168"/>
      <c r="Q13" s="169"/>
      <c r="R13" s="170"/>
      <c r="S13" s="171"/>
      <c r="T13" s="172"/>
      <c r="U13" s="173"/>
      <c r="V13" s="174"/>
      <c r="W13" s="628"/>
    </row>
    <row r="14" spans="2:23" ht="12.95" hidden="1" customHeight="1" outlineLevel="1">
      <c r="B14" s="901"/>
      <c r="C14" s="252"/>
      <c r="D14" s="161"/>
      <c r="E14" s="162"/>
      <c r="F14" s="417"/>
      <c r="G14" s="163"/>
      <c r="H14" s="164"/>
      <c r="I14" s="513" t="str">
        <f t="shared" si="0"/>
        <v/>
      </c>
      <c r="J14" s="514" t="str">
        <f t="shared" si="1"/>
        <v/>
      </c>
      <c r="K14" s="165"/>
      <c r="L14" s="165"/>
      <c r="M14" s="166"/>
      <c r="N14" s="165"/>
      <c r="O14" s="167"/>
      <c r="P14" s="168"/>
      <c r="Q14" s="169"/>
      <c r="R14" s="170"/>
      <c r="S14" s="171"/>
      <c r="T14" s="172"/>
      <c r="U14" s="173"/>
      <c r="V14" s="174"/>
      <c r="W14" s="628"/>
    </row>
    <row r="15" spans="2:23" ht="12.95" hidden="1" customHeight="1" outlineLevel="1">
      <c r="B15" s="901"/>
      <c r="C15" s="252"/>
      <c r="D15" s="161"/>
      <c r="E15" s="162"/>
      <c r="F15" s="417"/>
      <c r="G15" s="163"/>
      <c r="H15" s="164"/>
      <c r="I15" s="513" t="str">
        <f t="shared" si="0"/>
        <v/>
      </c>
      <c r="J15" s="514" t="str">
        <f t="shared" si="1"/>
        <v/>
      </c>
      <c r="K15" s="165"/>
      <c r="L15" s="165"/>
      <c r="M15" s="166"/>
      <c r="N15" s="165"/>
      <c r="O15" s="167"/>
      <c r="P15" s="168"/>
      <c r="Q15" s="169"/>
      <c r="R15" s="170"/>
      <c r="S15" s="171"/>
      <c r="T15" s="172"/>
      <c r="U15" s="173"/>
      <c r="V15" s="174"/>
      <c r="W15" s="628"/>
    </row>
    <row r="16" spans="2:23" ht="12.95" hidden="1" customHeight="1" outlineLevel="1">
      <c r="B16" s="901"/>
      <c r="C16" s="252"/>
      <c r="D16" s="161"/>
      <c r="E16" s="162"/>
      <c r="F16" s="417"/>
      <c r="G16" s="163"/>
      <c r="H16" s="164"/>
      <c r="I16" s="513" t="str">
        <f t="shared" si="0"/>
        <v/>
      </c>
      <c r="J16" s="514" t="str">
        <f t="shared" si="1"/>
        <v/>
      </c>
      <c r="K16" s="165"/>
      <c r="L16" s="165"/>
      <c r="M16" s="166"/>
      <c r="N16" s="165"/>
      <c r="O16" s="167"/>
      <c r="P16" s="168"/>
      <c r="Q16" s="169"/>
      <c r="R16" s="170"/>
      <c r="S16" s="171"/>
      <c r="T16" s="172"/>
      <c r="U16" s="173"/>
      <c r="V16" s="174"/>
      <c r="W16" s="628"/>
    </row>
    <row r="17" spans="2:23" ht="12.95" hidden="1" customHeight="1" outlineLevel="1">
      <c r="B17" s="901"/>
      <c r="C17" s="252"/>
      <c r="D17" s="161"/>
      <c r="E17" s="162"/>
      <c r="F17" s="417"/>
      <c r="G17" s="163"/>
      <c r="H17" s="164"/>
      <c r="I17" s="513" t="str">
        <f t="shared" si="0"/>
        <v/>
      </c>
      <c r="J17" s="514" t="str">
        <f t="shared" si="1"/>
        <v/>
      </c>
      <c r="K17" s="165"/>
      <c r="L17" s="165"/>
      <c r="M17" s="166"/>
      <c r="N17" s="165"/>
      <c r="O17" s="167"/>
      <c r="P17" s="168"/>
      <c r="Q17" s="169"/>
      <c r="R17" s="170"/>
      <c r="S17" s="171"/>
      <c r="T17" s="172"/>
      <c r="U17" s="173"/>
      <c r="V17" s="174"/>
      <c r="W17" s="628"/>
    </row>
    <row r="18" spans="2:23" ht="12.95" hidden="1" customHeight="1" outlineLevel="1">
      <c r="B18" s="901"/>
      <c r="C18" s="252"/>
      <c r="D18" s="161"/>
      <c r="E18" s="162"/>
      <c r="F18" s="417"/>
      <c r="G18" s="163"/>
      <c r="H18" s="164"/>
      <c r="I18" s="513" t="str">
        <f t="shared" si="0"/>
        <v/>
      </c>
      <c r="J18" s="514" t="str">
        <f t="shared" si="1"/>
        <v/>
      </c>
      <c r="K18" s="165"/>
      <c r="L18" s="165"/>
      <c r="M18" s="166"/>
      <c r="N18" s="165"/>
      <c r="O18" s="167"/>
      <c r="P18" s="168"/>
      <c r="Q18" s="169"/>
      <c r="R18" s="170"/>
      <c r="S18" s="171"/>
      <c r="T18" s="172"/>
      <c r="U18" s="173"/>
      <c r="V18" s="174"/>
      <c r="W18" s="628"/>
    </row>
    <row r="19" spans="2:23" ht="12.95" hidden="1" customHeight="1" outlineLevel="1" thickBot="1">
      <c r="B19" s="901"/>
      <c r="C19" s="253"/>
      <c r="D19" s="235"/>
      <c r="E19" s="236"/>
      <c r="F19" s="415"/>
      <c r="G19" s="237"/>
      <c r="H19" s="238"/>
      <c r="I19" s="353" t="str">
        <f t="shared" si="0"/>
        <v/>
      </c>
      <c r="J19" s="512" t="str">
        <f t="shared" si="1"/>
        <v/>
      </c>
      <c r="K19" s="239"/>
      <c r="L19" s="239"/>
      <c r="M19" s="240"/>
      <c r="N19" s="239"/>
      <c r="O19" s="241"/>
      <c r="P19" s="242"/>
      <c r="Q19" s="243"/>
      <c r="R19" s="244"/>
      <c r="S19" s="245"/>
      <c r="T19" s="246"/>
      <c r="U19" s="247"/>
      <c r="V19" s="248"/>
      <c r="W19" s="629"/>
    </row>
    <row r="20" spans="2:23" ht="12.95" customHeight="1" collapsed="1" thickBot="1">
      <c r="B20" s="902"/>
      <c r="C20" s="503" t="s">
        <v>288</v>
      </c>
      <c r="D20" s="234"/>
      <c r="E20" s="328"/>
      <c r="F20" s="416"/>
      <c r="G20" s="329"/>
      <c r="H20" s="330"/>
      <c r="I20" s="339"/>
      <c r="J20" s="509">
        <f>SUM(J9:J19)</f>
        <v>7314</v>
      </c>
      <c r="K20" s="331"/>
      <c r="L20" s="331"/>
      <c r="M20" s="332"/>
      <c r="N20" s="331"/>
      <c r="O20" s="333"/>
      <c r="P20" s="334"/>
      <c r="Q20" s="335"/>
      <c r="R20" s="336"/>
      <c r="S20" s="337"/>
      <c r="T20" s="504"/>
      <c r="U20" s="339"/>
      <c r="V20" s="340"/>
      <c r="W20" s="626"/>
    </row>
    <row r="21" spans="2:23" ht="12.95" customHeight="1">
      <c r="B21" s="892" t="s">
        <v>101</v>
      </c>
      <c r="C21" s="219" t="s">
        <v>794</v>
      </c>
      <c r="D21" s="220">
        <f>1/2</f>
        <v>0.5</v>
      </c>
      <c r="E21" s="221" t="s">
        <v>840</v>
      </c>
      <c r="F21" s="413">
        <v>2309</v>
      </c>
      <c r="G21" s="222">
        <v>1</v>
      </c>
      <c r="H21" s="223">
        <v>1</v>
      </c>
      <c r="I21" s="350">
        <f t="shared" ref="I21:I60" si="2">IF(C21=0,"",D21*1/G21*H21)</f>
        <v>0.5</v>
      </c>
      <c r="J21" s="510">
        <f t="shared" si="1"/>
        <v>1155</v>
      </c>
      <c r="K21" s="224"/>
      <c r="L21" s="224"/>
      <c r="M21" s="225"/>
      <c r="N21" s="224"/>
      <c r="O21" s="226">
        <v>0</v>
      </c>
      <c r="P21" s="227"/>
      <c r="Q21" s="228"/>
      <c r="R21" s="229"/>
      <c r="S21" s="230"/>
      <c r="T21" s="231" t="s">
        <v>287</v>
      </c>
      <c r="U21" s="232" t="s">
        <v>287</v>
      </c>
      <c r="V21" s="233" t="s">
        <v>287</v>
      </c>
      <c r="W21" s="627" t="s">
        <v>797</v>
      </c>
    </row>
    <row r="22" spans="2:23" ht="12.95" customHeight="1">
      <c r="B22" s="893"/>
      <c r="C22" s="176" t="s">
        <v>795</v>
      </c>
      <c r="D22" s="161">
        <f>1/2</f>
        <v>0.5</v>
      </c>
      <c r="E22" s="162" t="s">
        <v>840</v>
      </c>
      <c r="F22" s="417">
        <v>678</v>
      </c>
      <c r="G22" s="163">
        <v>1</v>
      </c>
      <c r="H22" s="164">
        <v>1</v>
      </c>
      <c r="I22" s="513">
        <f t="shared" si="2"/>
        <v>0.5</v>
      </c>
      <c r="J22" s="514">
        <f t="shared" si="1"/>
        <v>339</v>
      </c>
      <c r="K22" s="165"/>
      <c r="L22" s="165"/>
      <c r="M22" s="166"/>
      <c r="N22" s="165"/>
      <c r="O22" s="167">
        <v>0</v>
      </c>
      <c r="P22" s="168"/>
      <c r="Q22" s="169"/>
      <c r="R22" s="170"/>
      <c r="S22" s="171"/>
      <c r="T22" s="172" t="s">
        <v>287</v>
      </c>
      <c r="U22" s="173" t="s">
        <v>287</v>
      </c>
      <c r="V22" s="174" t="s">
        <v>287</v>
      </c>
      <c r="W22" s="628" t="s">
        <v>797</v>
      </c>
    </row>
    <row r="23" spans="2:23" ht="12.95" customHeight="1">
      <c r="B23" s="893"/>
      <c r="C23" s="176" t="s">
        <v>796</v>
      </c>
      <c r="D23" s="161">
        <f>1/2</f>
        <v>0.5</v>
      </c>
      <c r="E23" s="162" t="s">
        <v>840</v>
      </c>
      <c r="F23" s="417">
        <v>1248</v>
      </c>
      <c r="G23" s="163">
        <v>1</v>
      </c>
      <c r="H23" s="164">
        <v>1</v>
      </c>
      <c r="I23" s="513">
        <f t="shared" si="2"/>
        <v>0.5</v>
      </c>
      <c r="J23" s="514">
        <f t="shared" si="1"/>
        <v>624</v>
      </c>
      <c r="K23" s="165"/>
      <c r="L23" s="165"/>
      <c r="M23" s="166"/>
      <c r="N23" s="165"/>
      <c r="O23" s="167">
        <v>0</v>
      </c>
      <c r="P23" s="168"/>
      <c r="Q23" s="169"/>
      <c r="R23" s="170"/>
      <c r="S23" s="171"/>
      <c r="T23" s="172" t="s">
        <v>287</v>
      </c>
      <c r="U23" s="173" t="s">
        <v>287</v>
      </c>
      <c r="V23" s="174" t="s">
        <v>287</v>
      </c>
      <c r="W23" s="628" t="s">
        <v>797</v>
      </c>
    </row>
    <row r="24" spans="2:23" ht="12.95" customHeight="1">
      <c r="B24" s="893"/>
      <c r="C24" s="176" t="s">
        <v>796</v>
      </c>
      <c r="D24" s="161">
        <f>1/2</f>
        <v>0.5</v>
      </c>
      <c r="E24" s="162" t="s">
        <v>840</v>
      </c>
      <c r="F24" s="417">
        <v>3844</v>
      </c>
      <c r="G24" s="163">
        <v>1</v>
      </c>
      <c r="H24" s="164">
        <v>1</v>
      </c>
      <c r="I24" s="513">
        <f t="shared" si="2"/>
        <v>0.5</v>
      </c>
      <c r="J24" s="514">
        <f t="shared" si="1"/>
        <v>1922</v>
      </c>
      <c r="K24" s="165"/>
      <c r="L24" s="165"/>
      <c r="M24" s="166"/>
      <c r="N24" s="165"/>
      <c r="O24" s="167">
        <v>0</v>
      </c>
      <c r="P24" s="168"/>
      <c r="Q24" s="169"/>
      <c r="R24" s="170"/>
      <c r="S24" s="171"/>
      <c r="T24" s="172" t="s">
        <v>287</v>
      </c>
      <c r="U24" s="173" t="s">
        <v>287</v>
      </c>
      <c r="V24" s="174" t="s">
        <v>287</v>
      </c>
      <c r="W24" s="628" t="s">
        <v>797</v>
      </c>
    </row>
    <row r="25" spans="2:23" ht="12.95" customHeight="1">
      <c r="B25" s="893"/>
      <c r="C25" s="176"/>
      <c r="D25" s="161"/>
      <c r="E25" s="162"/>
      <c r="F25" s="417"/>
      <c r="G25" s="163"/>
      <c r="H25" s="164"/>
      <c r="I25" s="513" t="str">
        <f t="shared" si="2"/>
        <v/>
      </c>
      <c r="J25" s="514" t="str">
        <f t="shared" si="1"/>
        <v/>
      </c>
      <c r="K25" s="165"/>
      <c r="L25" s="165"/>
      <c r="M25" s="166"/>
      <c r="N25" s="165"/>
      <c r="O25" s="167">
        <v>0</v>
      </c>
      <c r="P25" s="168"/>
      <c r="Q25" s="169"/>
      <c r="R25" s="170"/>
      <c r="S25" s="171"/>
      <c r="T25" s="172" t="s">
        <v>287</v>
      </c>
      <c r="U25" s="173" t="s">
        <v>287</v>
      </c>
      <c r="V25" s="174" t="s">
        <v>287</v>
      </c>
      <c r="W25" s="628"/>
    </row>
    <row r="26" spans="2:23" ht="12.95" hidden="1" customHeight="1" outlineLevel="1">
      <c r="B26" s="893"/>
      <c r="C26" s="176"/>
      <c r="D26" s="161"/>
      <c r="E26" s="162"/>
      <c r="F26" s="417"/>
      <c r="G26" s="163"/>
      <c r="H26" s="164"/>
      <c r="I26" s="513" t="str">
        <f t="shared" si="2"/>
        <v/>
      </c>
      <c r="J26" s="514" t="str">
        <f t="shared" si="1"/>
        <v/>
      </c>
      <c r="K26" s="165"/>
      <c r="L26" s="165"/>
      <c r="M26" s="166"/>
      <c r="N26" s="165"/>
      <c r="O26" s="167">
        <v>0</v>
      </c>
      <c r="P26" s="168"/>
      <c r="Q26" s="169"/>
      <c r="R26" s="170"/>
      <c r="S26" s="171"/>
      <c r="T26" s="172" t="s">
        <v>287</v>
      </c>
      <c r="U26" s="173" t="s">
        <v>287</v>
      </c>
      <c r="V26" s="174" t="s">
        <v>287</v>
      </c>
      <c r="W26" s="628"/>
    </row>
    <row r="27" spans="2:23" ht="12.95" hidden="1" customHeight="1" outlineLevel="1">
      <c r="B27" s="893"/>
      <c r="C27" s="176"/>
      <c r="D27" s="161"/>
      <c r="E27" s="162"/>
      <c r="F27" s="417"/>
      <c r="G27" s="163"/>
      <c r="H27" s="164"/>
      <c r="I27" s="513" t="str">
        <f t="shared" si="2"/>
        <v/>
      </c>
      <c r="J27" s="514" t="str">
        <f t="shared" si="1"/>
        <v/>
      </c>
      <c r="K27" s="165"/>
      <c r="L27" s="165"/>
      <c r="M27" s="166"/>
      <c r="N27" s="165"/>
      <c r="O27" s="167">
        <v>0</v>
      </c>
      <c r="P27" s="168"/>
      <c r="Q27" s="169"/>
      <c r="R27" s="170"/>
      <c r="S27" s="171"/>
      <c r="T27" s="172" t="s">
        <v>287</v>
      </c>
      <c r="U27" s="173" t="s">
        <v>287</v>
      </c>
      <c r="V27" s="174" t="s">
        <v>287</v>
      </c>
      <c r="W27" s="630"/>
    </row>
    <row r="28" spans="2:23" ht="12.95" hidden="1" customHeight="1" outlineLevel="1">
      <c r="B28" s="893"/>
      <c r="C28" s="176"/>
      <c r="D28" s="161"/>
      <c r="E28" s="162"/>
      <c r="F28" s="417"/>
      <c r="G28" s="163"/>
      <c r="H28" s="164"/>
      <c r="I28" s="513" t="str">
        <f t="shared" si="2"/>
        <v/>
      </c>
      <c r="J28" s="514" t="str">
        <f t="shared" si="1"/>
        <v/>
      </c>
      <c r="K28" s="165"/>
      <c r="L28" s="165"/>
      <c r="M28" s="166"/>
      <c r="N28" s="165"/>
      <c r="O28" s="167">
        <v>0</v>
      </c>
      <c r="P28" s="168"/>
      <c r="Q28" s="169"/>
      <c r="R28" s="170"/>
      <c r="S28" s="171"/>
      <c r="T28" s="172" t="s">
        <v>287</v>
      </c>
      <c r="U28" s="173" t="s">
        <v>287</v>
      </c>
      <c r="V28" s="174" t="s">
        <v>287</v>
      </c>
      <c r="W28" s="630"/>
    </row>
    <row r="29" spans="2:23" ht="12.95" hidden="1" customHeight="1" outlineLevel="1">
      <c r="B29" s="893"/>
      <c r="C29" s="176"/>
      <c r="D29" s="161"/>
      <c r="E29" s="162"/>
      <c r="F29" s="417"/>
      <c r="G29" s="163"/>
      <c r="H29" s="164"/>
      <c r="I29" s="513" t="str">
        <f t="shared" si="2"/>
        <v/>
      </c>
      <c r="J29" s="514" t="str">
        <f t="shared" si="1"/>
        <v/>
      </c>
      <c r="K29" s="165"/>
      <c r="L29" s="165"/>
      <c r="M29" s="166"/>
      <c r="N29" s="165"/>
      <c r="O29" s="167">
        <v>0</v>
      </c>
      <c r="P29" s="168"/>
      <c r="Q29" s="169"/>
      <c r="R29" s="170"/>
      <c r="S29" s="171"/>
      <c r="T29" s="172" t="s">
        <v>287</v>
      </c>
      <c r="U29" s="173" t="s">
        <v>287</v>
      </c>
      <c r="V29" s="174" t="s">
        <v>287</v>
      </c>
      <c r="W29" s="630"/>
    </row>
    <row r="30" spans="2:23" ht="12.95" hidden="1" customHeight="1" outlineLevel="1">
      <c r="B30" s="893"/>
      <c r="C30" s="176"/>
      <c r="D30" s="161"/>
      <c r="E30" s="162"/>
      <c r="F30" s="417"/>
      <c r="G30" s="163"/>
      <c r="H30" s="164"/>
      <c r="I30" s="513" t="str">
        <f t="shared" si="2"/>
        <v/>
      </c>
      <c r="J30" s="514" t="str">
        <f t="shared" si="1"/>
        <v/>
      </c>
      <c r="K30" s="165"/>
      <c r="L30" s="165"/>
      <c r="M30" s="166"/>
      <c r="N30" s="165"/>
      <c r="O30" s="167">
        <v>0</v>
      </c>
      <c r="P30" s="168"/>
      <c r="Q30" s="169"/>
      <c r="R30" s="170"/>
      <c r="S30" s="171"/>
      <c r="T30" s="172" t="s">
        <v>287</v>
      </c>
      <c r="U30" s="173" t="s">
        <v>287</v>
      </c>
      <c r="V30" s="174" t="s">
        <v>287</v>
      </c>
      <c r="W30" s="630"/>
    </row>
    <row r="31" spans="2:23" ht="12.95" hidden="1" customHeight="1" outlineLevel="1">
      <c r="B31" s="893"/>
      <c r="C31" s="176"/>
      <c r="D31" s="161"/>
      <c r="E31" s="162"/>
      <c r="F31" s="417"/>
      <c r="G31" s="163"/>
      <c r="H31" s="164"/>
      <c r="I31" s="513" t="str">
        <f t="shared" si="2"/>
        <v/>
      </c>
      <c r="J31" s="514" t="str">
        <f t="shared" si="1"/>
        <v/>
      </c>
      <c r="K31" s="165"/>
      <c r="L31" s="165"/>
      <c r="M31" s="166"/>
      <c r="N31" s="165"/>
      <c r="O31" s="167">
        <v>0</v>
      </c>
      <c r="P31" s="168"/>
      <c r="Q31" s="169"/>
      <c r="R31" s="170"/>
      <c r="S31" s="171"/>
      <c r="T31" s="172" t="s">
        <v>287</v>
      </c>
      <c r="U31" s="173" t="s">
        <v>287</v>
      </c>
      <c r="V31" s="174" t="s">
        <v>287</v>
      </c>
      <c r="W31" s="630"/>
    </row>
    <row r="32" spans="2:23" ht="12.95" hidden="1" customHeight="1" outlineLevel="1">
      <c r="B32" s="893"/>
      <c r="C32" s="176"/>
      <c r="D32" s="161"/>
      <c r="E32" s="162"/>
      <c r="F32" s="417"/>
      <c r="G32" s="163"/>
      <c r="H32" s="164"/>
      <c r="I32" s="513" t="str">
        <f t="shared" si="2"/>
        <v/>
      </c>
      <c r="J32" s="514" t="str">
        <f t="shared" si="1"/>
        <v/>
      </c>
      <c r="K32" s="165"/>
      <c r="L32" s="165"/>
      <c r="M32" s="166"/>
      <c r="N32" s="165"/>
      <c r="O32" s="167">
        <v>0</v>
      </c>
      <c r="P32" s="168"/>
      <c r="Q32" s="169"/>
      <c r="R32" s="170"/>
      <c r="S32" s="171"/>
      <c r="T32" s="172" t="s">
        <v>287</v>
      </c>
      <c r="U32" s="173" t="s">
        <v>287</v>
      </c>
      <c r="V32" s="174" t="s">
        <v>287</v>
      </c>
      <c r="W32" s="630"/>
    </row>
    <row r="33" spans="2:23" ht="12.95" hidden="1" customHeight="1" outlineLevel="1">
      <c r="B33" s="893"/>
      <c r="C33" s="176"/>
      <c r="D33" s="161"/>
      <c r="E33" s="162"/>
      <c r="F33" s="417"/>
      <c r="G33" s="163"/>
      <c r="H33" s="164"/>
      <c r="I33" s="513" t="str">
        <f t="shared" si="2"/>
        <v/>
      </c>
      <c r="J33" s="514" t="str">
        <f t="shared" si="1"/>
        <v/>
      </c>
      <c r="K33" s="165"/>
      <c r="L33" s="165"/>
      <c r="M33" s="166"/>
      <c r="N33" s="165"/>
      <c r="O33" s="167">
        <v>0</v>
      </c>
      <c r="P33" s="168"/>
      <c r="Q33" s="169"/>
      <c r="R33" s="170"/>
      <c r="S33" s="171"/>
      <c r="T33" s="172" t="s">
        <v>287</v>
      </c>
      <c r="U33" s="173" t="s">
        <v>287</v>
      </c>
      <c r="V33" s="174" t="s">
        <v>287</v>
      </c>
      <c r="W33" s="628"/>
    </row>
    <row r="34" spans="2:23" ht="12.95" hidden="1" customHeight="1" outlineLevel="1">
      <c r="B34" s="893"/>
      <c r="C34" s="176"/>
      <c r="D34" s="161"/>
      <c r="E34" s="162"/>
      <c r="F34" s="417"/>
      <c r="G34" s="163"/>
      <c r="H34" s="164"/>
      <c r="I34" s="513" t="str">
        <f t="shared" si="2"/>
        <v/>
      </c>
      <c r="J34" s="514" t="str">
        <f t="shared" si="1"/>
        <v/>
      </c>
      <c r="K34" s="165"/>
      <c r="L34" s="165"/>
      <c r="M34" s="166"/>
      <c r="N34" s="165"/>
      <c r="O34" s="167">
        <v>0</v>
      </c>
      <c r="P34" s="168"/>
      <c r="Q34" s="169"/>
      <c r="R34" s="170"/>
      <c r="S34" s="171"/>
      <c r="T34" s="172" t="s">
        <v>287</v>
      </c>
      <c r="U34" s="173" t="s">
        <v>287</v>
      </c>
      <c r="V34" s="174" t="s">
        <v>287</v>
      </c>
      <c r="W34" s="628"/>
    </row>
    <row r="35" spans="2:23" ht="12.95" hidden="1" customHeight="1" outlineLevel="1">
      <c r="B35" s="893"/>
      <c r="C35" s="176"/>
      <c r="D35" s="161"/>
      <c r="E35" s="162"/>
      <c r="F35" s="417"/>
      <c r="G35" s="163"/>
      <c r="H35" s="164"/>
      <c r="I35" s="513" t="str">
        <f t="shared" si="2"/>
        <v/>
      </c>
      <c r="J35" s="514" t="str">
        <f t="shared" si="1"/>
        <v/>
      </c>
      <c r="K35" s="165"/>
      <c r="L35" s="165"/>
      <c r="M35" s="166"/>
      <c r="N35" s="165"/>
      <c r="O35" s="167">
        <v>0</v>
      </c>
      <c r="P35" s="168"/>
      <c r="Q35" s="169"/>
      <c r="R35" s="170"/>
      <c r="S35" s="171"/>
      <c r="T35" s="172" t="s">
        <v>287</v>
      </c>
      <c r="U35" s="173" t="s">
        <v>287</v>
      </c>
      <c r="V35" s="174" t="s">
        <v>287</v>
      </c>
      <c r="W35" s="628"/>
    </row>
    <row r="36" spans="2:23" ht="12.95" hidden="1" customHeight="1" outlineLevel="1">
      <c r="B36" s="893"/>
      <c r="C36" s="176"/>
      <c r="D36" s="161"/>
      <c r="E36" s="162"/>
      <c r="F36" s="417"/>
      <c r="G36" s="163"/>
      <c r="H36" s="164"/>
      <c r="I36" s="513" t="str">
        <f t="shared" si="2"/>
        <v/>
      </c>
      <c r="J36" s="514" t="str">
        <f t="shared" si="1"/>
        <v/>
      </c>
      <c r="K36" s="165"/>
      <c r="L36" s="165"/>
      <c r="M36" s="166"/>
      <c r="N36" s="165"/>
      <c r="O36" s="167"/>
      <c r="P36" s="168"/>
      <c r="Q36" s="169"/>
      <c r="R36" s="170"/>
      <c r="S36" s="171"/>
      <c r="T36" s="172"/>
      <c r="U36" s="173"/>
      <c r="V36" s="174"/>
      <c r="W36" s="628"/>
    </row>
    <row r="37" spans="2:23" ht="12.95" hidden="1" customHeight="1" outlineLevel="1">
      <c r="B37" s="893"/>
      <c r="C37" s="176"/>
      <c r="D37" s="161"/>
      <c r="E37" s="162"/>
      <c r="F37" s="417"/>
      <c r="G37" s="163"/>
      <c r="H37" s="164"/>
      <c r="I37" s="513" t="str">
        <f t="shared" si="2"/>
        <v/>
      </c>
      <c r="J37" s="514" t="str">
        <f t="shared" si="1"/>
        <v/>
      </c>
      <c r="K37" s="165"/>
      <c r="L37" s="165"/>
      <c r="M37" s="166"/>
      <c r="N37" s="165"/>
      <c r="O37" s="167"/>
      <c r="P37" s="168"/>
      <c r="Q37" s="169"/>
      <c r="R37" s="170"/>
      <c r="S37" s="171"/>
      <c r="T37" s="172"/>
      <c r="U37" s="173"/>
      <c r="V37" s="174"/>
      <c r="W37" s="628"/>
    </row>
    <row r="38" spans="2:23" ht="12.95" hidden="1" customHeight="1" outlineLevel="1">
      <c r="B38" s="893"/>
      <c r="C38" s="176"/>
      <c r="D38" s="161"/>
      <c r="E38" s="162"/>
      <c r="F38" s="417"/>
      <c r="G38" s="163"/>
      <c r="H38" s="164"/>
      <c r="I38" s="513" t="str">
        <f t="shared" si="2"/>
        <v/>
      </c>
      <c r="J38" s="514" t="str">
        <f t="shared" si="1"/>
        <v/>
      </c>
      <c r="K38" s="165"/>
      <c r="L38" s="165"/>
      <c r="M38" s="166"/>
      <c r="N38" s="165"/>
      <c r="O38" s="167"/>
      <c r="P38" s="168"/>
      <c r="Q38" s="169"/>
      <c r="R38" s="170"/>
      <c r="S38" s="171"/>
      <c r="T38" s="172"/>
      <c r="U38" s="173"/>
      <c r="V38" s="174"/>
      <c r="W38" s="628"/>
    </row>
    <row r="39" spans="2:23" ht="12.95" hidden="1" customHeight="1" outlineLevel="1">
      <c r="B39" s="893"/>
      <c r="C39" s="177"/>
      <c r="D39" s="178"/>
      <c r="E39" s="179"/>
      <c r="F39" s="414"/>
      <c r="G39" s="181"/>
      <c r="H39" s="182"/>
      <c r="I39" s="352" t="str">
        <f t="shared" si="2"/>
        <v/>
      </c>
      <c r="J39" s="511" t="str">
        <f t="shared" si="1"/>
        <v/>
      </c>
      <c r="K39" s="183"/>
      <c r="L39" s="183"/>
      <c r="M39" s="184"/>
      <c r="N39" s="183"/>
      <c r="O39" s="185"/>
      <c r="P39" s="186"/>
      <c r="Q39" s="187"/>
      <c r="R39" s="188"/>
      <c r="S39" s="189"/>
      <c r="T39" s="190"/>
      <c r="U39" s="191"/>
      <c r="V39" s="192"/>
      <c r="W39" s="628"/>
    </row>
    <row r="40" spans="2:23" ht="12.95" hidden="1" customHeight="1" outlineLevel="1">
      <c r="B40" s="893"/>
      <c r="C40" s="175"/>
      <c r="D40" s="178"/>
      <c r="E40" s="179"/>
      <c r="F40" s="414"/>
      <c r="G40" s="181"/>
      <c r="H40" s="182"/>
      <c r="I40" s="352" t="str">
        <f t="shared" si="2"/>
        <v/>
      </c>
      <c r="J40" s="511" t="str">
        <f t="shared" si="1"/>
        <v/>
      </c>
      <c r="K40" s="183"/>
      <c r="L40" s="183"/>
      <c r="M40" s="184"/>
      <c r="N40" s="183"/>
      <c r="O40" s="185"/>
      <c r="P40" s="186"/>
      <c r="Q40" s="187"/>
      <c r="R40" s="188"/>
      <c r="S40" s="189"/>
      <c r="T40" s="190"/>
      <c r="U40" s="191"/>
      <c r="V40" s="192"/>
      <c r="W40" s="628"/>
    </row>
    <row r="41" spans="2:23" ht="12.95" hidden="1" customHeight="1" outlineLevel="1">
      <c r="B41" s="893"/>
      <c r="C41" s="175"/>
      <c r="D41" s="178"/>
      <c r="E41" s="179"/>
      <c r="F41" s="414"/>
      <c r="G41" s="181"/>
      <c r="H41" s="182"/>
      <c r="I41" s="352" t="str">
        <f t="shared" si="2"/>
        <v/>
      </c>
      <c r="J41" s="511" t="str">
        <f t="shared" si="1"/>
        <v/>
      </c>
      <c r="K41" s="183"/>
      <c r="L41" s="183"/>
      <c r="M41" s="184"/>
      <c r="N41" s="183"/>
      <c r="O41" s="185"/>
      <c r="P41" s="186"/>
      <c r="Q41" s="187"/>
      <c r="R41" s="188"/>
      <c r="S41" s="189"/>
      <c r="T41" s="190"/>
      <c r="U41" s="191"/>
      <c r="V41" s="192"/>
      <c r="W41" s="630"/>
    </row>
    <row r="42" spans="2:23" ht="12.95" hidden="1" customHeight="1" outlineLevel="1">
      <c r="B42" s="893"/>
      <c r="C42" s="175"/>
      <c r="D42" s="178"/>
      <c r="E42" s="179"/>
      <c r="F42" s="414"/>
      <c r="G42" s="181"/>
      <c r="H42" s="182"/>
      <c r="I42" s="352" t="str">
        <f t="shared" si="2"/>
        <v/>
      </c>
      <c r="J42" s="511" t="str">
        <f t="shared" si="1"/>
        <v/>
      </c>
      <c r="K42" s="183"/>
      <c r="L42" s="183"/>
      <c r="M42" s="184"/>
      <c r="N42" s="183"/>
      <c r="O42" s="185"/>
      <c r="P42" s="186"/>
      <c r="Q42" s="187"/>
      <c r="R42" s="188"/>
      <c r="S42" s="189"/>
      <c r="T42" s="190"/>
      <c r="U42" s="191"/>
      <c r="V42" s="192"/>
      <c r="W42" s="630"/>
    </row>
    <row r="43" spans="2:23" ht="12.95" hidden="1" customHeight="1" outlineLevel="1">
      <c r="B43" s="893"/>
      <c r="C43" s="193"/>
      <c r="D43" s="178"/>
      <c r="E43" s="194"/>
      <c r="F43" s="414"/>
      <c r="G43" s="181"/>
      <c r="H43" s="182"/>
      <c r="I43" s="352" t="str">
        <f t="shared" si="2"/>
        <v/>
      </c>
      <c r="J43" s="511" t="str">
        <f t="shared" si="1"/>
        <v/>
      </c>
      <c r="K43" s="183"/>
      <c r="L43" s="183"/>
      <c r="M43" s="184"/>
      <c r="N43" s="183"/>
      <c r="O43" s="185"/>
      <c r="P43" s="186"/>
      <c r="Q43" s="187"/>
      <c r="R43" s="188"/>
      <c r="S43" s="189"/>
      <c r="T43" s="190"/>
      <c r="U43" s="191"/>
      <c r="V43" s="192"/>
      <c r="W43" s="630"/>
    </row>
    <row r="44" spans="2:23" ht="12.95" hidden="1" customHeight="1" outlineLevel="1">
      <c r="B44" s="893"/>
      <c r="C44" s="216"/>
      <c r="D44" s="180"/>
      <c r="E44" s="206"/>
      <c r="F44" s="418"/>
      <c r="G44" s="217"/>
      <c r="H44" s="218"/>
      <c r="I44" s="515" t="str">
        <f t="shared" si="2"/>
        <v/>
      </c>
      <c r="J44" s="516" t="str">
        <f t="shared" si="1"/>
        <v/>
      </c>
      <c r="K44" s="183"/>
      <c r="L44" s="183"/>
      <c r="M44" s="184"/>
      <c r="N44" s="183"/>
      <c r="O44" s="185"/>
      <c r="P44" s="186"/>
      <c r="Q44" s="187"/>
      <c r="R44" s="188"/>
      <c r="S44" s="189"/>
      <c r="T44" s="190"/>
      <c r="U44" s="191"/>
      <c r="V44" s="192"/>
      <c r="W44" s="631"/>
    </row>
    <row r="45" spans="2:23" ht="12.95" hidden="1" customHeight="1" outlineLevel="1">
      <c r="B45" s="893"/>
      <c r="C45" s="193"/>
      <c r="D45" s="178"/>
      <c r="E45" s="179"/>
      <c r="F45" s="414"/>
      <c r="G45" s="181"/>
      <c r="H45" s="182"/>
      <c r="I45" s="352" t="str">
        <f t="shared" si="2"/>
        <v/>
      </c>
      <c r="J45" s="511" t="str">
        <f t="shared" si="1"/>
        <v/>
      </c>
      <c r="K45" s="183"/>
      <c r="L45" s="183"/>
      <c r="M45" s="184"/>
      <c r="N45" s="183"/>
      <c r="O45" s="185"/>
      <c r="P45" s="186"/>
      <c r="Q45" s="187"/>
      <c r="R45" s="188"/>
      <c r="S45" s="189"/>
      <c r="T45" s="190"/>
      <c r="U45" s="191"/>
      <c r="V45" s="192"/>
      <c r="W45" s="630"/>
    </row>
    <row r="46" spans="2:23" ht="12.95" hidden="1" customHeight="1" outlineLevel="1">
      <c r="B46" s="893"/>
      <c r="C46" s="193"/>
      <c r="D46" s="178"/>
      <c r="E46" s="194"/>
      <c r="F46" s="414"/>
      <c r="G46" s="181"/>
      <c r="H46" s="182"/>
      <c r="I46" s="352" t="str">
        <f t="shared" si="2"/>
        <v/>
      </c>
      <c r="J46" s="511" t="str">
        <f t="shared" si="1"/>
        <v/>
      </c>
      <c r="K46" s="183"/>
      <c r="L46" s="183"/>
      <c r="M46" s="184"/>
      <c r="N46" s="183"/>
      <c r="O46" s="185"/>
      <c r="P46" s="186"/>
      <c r="Q46" s="187"/>
      <c r="R46" s="188"/>
      <c r="S46" s="189"/>
      <c r="T46" s="190"/>
      <c r="U46" s="191"/>
      <c r="V46" s="192"/>
      <c r="W46" s="628"/>
    </row>
    <row r="47" spans="2:23" ht="12.95" hidden="1" customHeight="1" outlineLevel="1">
      <c r="B47" s="893"/>
      <c r="C47" s="193"/>
      <c r="D47" s="178"/>
      <c r="E47" s="194"/>
      <c r="F47" s="414"/>
      <c r="G47" s="181"/>
      <c r="H47" s="182"/>
      <c r="I47" s="352" t="str">
        <f t="shared" si="2"/>
        <v/>
      </c>
      <c r="J47" s="511" t="str">
        <f t="shared" si="1"/>
        <v/>
      </c>
      <c r="K47" s="183"/>
      <c r="L47" s="183"/>
      <c r="M47" s="184"/>
      <c r="N47" s="183"/>
      <c r="O47" s="185"/>
      <c r="P47" s="186"/>
      <c r="Q47" s="187"/>
      <c r="R47" s="188"/>
      <c r="S47" s="189"/>
      <c r="T47" s="190"/>
      <c r="U47" s="191"/>
      <c r="V47" s="192"/>
      <c r="W47" s="628"/>
    </row>
    <row r="48" spans="2:23" ht="12.95" hidden="1" customHeight="1" outlineLevel="1">
      <c r="B48" s="893"/>
      <c r="C48" s="193"/>
      <c r="D48" s="178"/>
      <c r="E48" s="194"/>
      <c r="F48" s="414"/>
      <c r="G48" s="181"/>
      <c r="H48" s="182"/>
      <c r="I48" s="352" t="str">
        <f t="shared" si="2"/>
        <v/>
      </c>
      <c r="J48" s="511" t="str">
        <f t="shared" si="1"/>
        <v/>
      </c>
      <c r="K48" s="183"/>
      <c r="L48" s="183"/>
      <c r="M48" s="184"/>
      <c r="N48" s="183"/>
      <c r="O48" s="185"/>
      <c r="P48" s="186"/>
      <c r="Q48" s="187"/>
      <c r="R48" s="188"/>
      <c r="S48" s="189"/>
      <c r="T48" s="190"/>
      <c r="U48" s="191"/>
      <c r="V48" s="192"/>
      <c r="W48" s="628"/>
    </row>
    <row r="49" spans="2:23" ht="12.95" hidden="1" customHeight="1" outlineLevel="1">
      <c r="B49" s="893"/>
      <c r="C49" s="193"/>
      <c r="D49" s="178"/>
      <c r="E49" s="179"/>
      <c r="F49" s="414"/>
      <c r="G49" s="181"/>
      <c r="H49" s="182"/>
      <c r="I49" s="352" t="str">
        <f t="shared" si="2"/>
        <v/>
      </c>
      <c r="J49" s="511" t="str">
        <f t="shared" si="1"/>
        <v/>
      </c>
      <c r="K49" s="183"/>
      <c r="L49" s="183"/>
      <c r="M49" s="184"/>
      <c r="N49" s="183"/>
      <c r="O49" s="185"/>
      <c r="P49" s="186"/>
      <c r="Q49" s="187"/>
      <c r="R49" s="188"/>
      <c r="S49" s="189"/>
      <c r="T49" s="190"/>
      <c r="U49" s="191"/>
      <c r="V49" s="192"/>
      <c r="W49" s="630"/>
    </row>
    <row r="50" spans="2:23" ht="12.95" hidden="1" customHeight="1" outlineLevel="1">
      <c r="B50" s="893"/>
      <c r="C50" s="193"/>
      <c r="D50" s="178"/>
      <c r="E50" s="194"/>
      <c r="F50" s="414"/>
      <c r="G50" s="181"/>
      <c r="H50" s="182"/>
      <c r="I50" s="352" t="str">
        <f t="shared" si="2"/>
        <v/>
      </c>
      <c r="J50" s="511" t="str">
        <f t="shared" si="1"/>
        <v/>
      </c>
      <c r="K50" s="183"/>
      <c r="L50" s="183"/>
      <c r="M50" s="184"/>
      <c r="N50" s="183"/>
      <c r="O50" s="185"/>
      <c r="P50" s="186"/>
      <c r="Q50" s="187"/>
      <c r="R50" s="188"/>
      <c r="S50" s="189"/>
      <c r="T50" s="190"/>
      <c r="U50" s="191"/>
      <c r="V50" s="192"/>
      <c r="W50" s="630"/>
    </row>
    <row r="51" spans="2:23" ht="12.95" hidden="1" customHeight="1" outlineLevel="1">
      <c r="B51" s="893"/>
      <c r="C51" s="193"/>
      <c r="D51" s="178"/>
      <c r="E51" s="194"/>
      <c r="F51" s="414"/>
      <c r="G51" s="181"/>
      <c r="H51" s="182"/>
      <c r="I51" s="352" t="str">
        <f t="shared" si="2"/>
        <v/>
      </c>
      <c r="J51" s="511" t="str">
        <f t="shared" si="1"/>
        <v/>
      </c>
      <c r="K51" s="183"/>
      <c r="L51" s="183"/>
      <c r="M51" s="184"/>
      <c r="N51" s="183"/>
      <c r="O51" s="185"/>
      <c r="P51" s="186"/>
      <c r="Q51" s="187"/>
      <c r="R51" s="188"/>
      <c r="S51" s="189"/>
      <c r="T51" s="190"/>
      <c r="U51" s="191"/>
      <c r="V51" s="192"/>
      <c r="W51" s="630"/>
    </row>
    <row r="52" spans="2:23" ht="12.95" hidden="1" customHeight="1" outlineLevel="1">
      <c r="B52" s="893"/>
      <c r="C52" s="193"/>
      <c r="D52" s="178"/>
      <c r="E52" s="206"/>
      <c r="F52" s="418"/>
      <c r="G52" s="181"/>
      <c r="H52" s="182"/>
      <c r="I52" s="352" t="str">
        <f t="shared" si="2"/>
        <v/>
      </c>
      <c r="J52" s="511" t="str">
        <f t="shared" si="1"/>
        <v/>
      </c>
      <c r="K52" s="183"/>
      <c r="L52" s="183"/>
      <c r="M52" s="184"/>
      <c r="N52" s="183"/>
      <c r="O52" s="185"/>
      <c r="P52" s="186"/>
      <c r="Q52" s="187"/>
      <c r="R52" s="188"/>
      <c r="S52" s="189"/>
      <c r="T52" s="190"/>
      <c r="U52" s="191"/>
      <c r="V52" s="192"/>
      <c r="W52" s="630"/>
    </row>
    <row r="53" spans="2:23" ht="12.95" hidden="1" customHeight="1" outlineLevel="1">
      <c r="B53" s="893"/>
      <c r="C53" s="175"/>
      <c r="D53" s="178"/>
      <c r="E53" s="206"/>
      <c r="F53" s="414"/>
      <c r="G53" s="181"/>
      <c r="H53" s="182"/>
      <c r="I53" s="352" t="str">
        <f t="shared" si="2"/>
        <v/>
      </c>
      <c r="J53" s="511" t="str">
        <f t="shared" si="1"/>
        <v/>
      </c>
      <c r="K53" s="183"/>
      <c r="L53" s="183"/>
      <c r="M53" s="184"/>
      <c r="N53" s="183"/>
      <c r="O53" s="185"/>
      <c r="P53" s="186"/>
      <c r="Q53" s="187"/>
      <c r="R53" s="188"/>
      <c r="S53" s="189"/>
      <c r="T53" s="190"/>
      <c r="U53" s="191"/>
      <c r="V53" s="192"/>
      <c r="W53" s="630"/>
    </row>
    <row r="54" spans="2:23" ht="12.95" hidden="1" customHeight="1" outlineLevel="1">
      <c r="B54" s="893"/>
      <c r="C54" s="175"/>
      <c r="D54" s="178"/>
      <c r="E54" s="206"/>
      <c r="F54" s="414"/>
      <c r="G54" s="181"/>
      <c r="H54" s="182"/>
      <c r="I54" s="352" t="str">
        <f t="shared" si="2"/>
        <v/>
      </c>
      <c r="J54" s="511" t="str">
        <f t="shared" si="1"/>
        <v/>
      </c>
      <c r="K54" s="183"/>
      <c r="L54" s="183"/>
      <c r="M54" s="184"/>
      <c r="N54" s="183"/>
      <c r="O54" s="185"/>
      <c r="P54" s="186"/>
      <c r="Q54" s="187"/>
      <c r="R54" s="188"/>
      <c r="S54" s="189"/>
      <c r="T54" s="190"/>
      <c r="U54" s="191"/>
      <c r="V54" s="192"/>
      <c r="W54" s="630"/>
    </row>
    <row r="55" spans="2:23" ht="12.95" hidden="1" customHeight="1" outlineLevel="1">
      <c r="B55" s="893"/>
      <c r="C55" s="175"/>
      <c r="D55" s="178"/>
      <c r="E55" s="194"/>
      <c r="F55" s="414"/>
      <c r="G55" s="181"/>
      <c r="H55" s="182"/>
      <c r="I55" s="352" t="str">
        <f t="shared" si="2"/>
        <v/>
      </c>
      <c r="J55" s="511" t="str">
        <f t="shared" si="1"/>
        <v/>
      </c>
      <c r="K55" s="183"/>
      <c r="L55" s="183"/>
      <c r="M55" s="184"/>
      <c r="N55" s="183"/>
      <c r="O55" s="185"/>
      <c r="P55" s="186"/>
      <c r="Q55" s="187"/>
      <c r="R55" s="188"/>
      <c r="S55" s="189"/>
      <c r="T55" s="190"/>
      <c r="U55" s="191"/>
      <c r="V55" s="192"/>
      <c r="W55" s="630"/>
    </row>
    <row r="56" spans="2:23" ht="12.95" hidden="1" customHeight="1" outlineLevel="1">
      <c r="B56" s="893"/>
      <c r="C56" s="175"/>
      <c r="D56" s="178"/>
      <c r="E56" s="206"/>
      <c r="F56" s="414"/>
      <c r="G56" s="181"/>
      <c r="H56" s="182"/>
      <c r="I56" s="352" t="str">
        <f t="shared" si="2"/>
        <v/>
      </c>
      <c r="J56" s="511" t="str">
        <f t="shared" si="1"/>
        <v/>
      </c>
      <c r="K56" s="183"/>
      <c r="L56" s="183"/>
      <c r="M56" s="184"/>
      <c r="N56" s="183"/>
      <c r="O56" s="185"/>
      <c r="P56" s="186"/>
      <c r="Q56" s="187"/>
      <c r="R56" s="188"/>
      <c r="S56" s="189"/>
      <c r="T56" s="190"/>
      <c r="U56" s="191"/>
      <c r="V56" s="192"/>
      <c r="W56" s="630"/>
    </row>
    <row r="57" spans="2:23" ht="12.95" hidden="1" customHeight="1" outlineLevel="1">
      <c r="B57" s="893"/>
      <c r="C57" s="195"/>
      <c r="D57" s="178"/>
      <c r="E57" s="196"/>
      <c r="F57" s="414"/>
      <c r="G57" s="181"/>
      <c r="H57" s="182"/>
      <c r="I57" s="352" t="str">
        <f t="shared" si="2"/>
        <v/>
      </c>
      <c r="J57" s="511" t="str">
        <f t="shared" si="1"/>
        <v/>
      </c>
      <c r="K57" s="183"/>
      <c r="L57" s="183"/>
      <c r="M57" s="184"/>
      <c r="N57" s="183"/>
      <c r="O57" s="185"/>
      <c r="P57" s="186"/>
      <c r="Q57" s="187"/>
      <c r="R57" s="188"/>
      <c r="S57" s="189"/>
      <c r="T57" s="190"/>
      <c r="U57" s="191"/>
      <c r="V57" s="192"/>
      <c r="W57" s="630"/>
    </row>
    <row r="58" spans="2:23" ht="12.95" hidden="1" customHeight="1" outlineLevel="1">
      <c r="B58" s="893"/>
      <c r="C58" s="195"/>
      <c r="D58" s="178"/>
      <c r="E58" s="196"/>
      <c r="F58" s="418"/>
      <c r="G58" s="181"/>
      <c r="H58" s="182"/>
      <c r="I58" s="352" t="str">
        <f t="shared" si="2"/>
        <v/>
      </c>
      <c r="J58" s="511" t="str">
        <f t="shared" si="1"/>
        <v/>
      </c>
      <c r="K58" s="183"/>
      <c r="L58" s="183"/>
      <c r="M58" s="184"/>
      <c r="N58" s="183"/>
      <c r="O58" s="185"/>
      <c r="P58" s="186"/>
      <c r="Q58" s="187"/>
      <c r="R58" s="188"/>
      <c r="S58" s="189"/>
      <c r="T58" s="190"/>
      <c r="U58" s="191"/>
      <c r="V58" s="192"/>
      <c r="W58" s="630"/>
    </row>
    <row r="59" spans="2:23" ht="12.95" hidden="1" customHeight="1" outlineLevel="1">
      <c r="B59" s="893"/>
      <c r="C59" s="195"/>
      <c r="D59" s="178"/>
      <c r="E59" s="196"/>
      <c r="F59" s="414"/>
      <c r="G59" s="181"/>
      <c r="H59" s="182"/>
      <c r="I59" s="352" t="str">
        <f t="shared" si="2"/>
        <v/>
      </c>
      <c r="J59" s="511" t="str">
        <f t="shared" si="1"/>
        <v/>
      </c>
      <c r="K59" s="183"/>
      <c r="L59" s="183"/>
      <c r="M59" s="184"/>
      <c r="N59" s="183"/>
      <c r="O59" s="185">
        <f>IF(K59*L59*N59=0,0,(L59*N59)/K59)</f>
        <v>0</v>
      </c>
      <c r="P59" s="186"/>
      <c r="Q59" s="187"/>
      <c r="R59" s="188"/>
      <c r="S59" s="189"/>
      <c r="T59" s="190" t="str">
        <f t="shared" ref="T59:V60" si="3">IF(Q59="","",Q59*$D59)</f>
        <v/>
      </c>
      <c r="U59" s="191" t="str">
        <f t="shared" si="3"/>
        <v/>
      </c>
      <c r="V59" s="192" t="str">
        <f t="shared" si="3"/>
        <v/>
      </c>
      <c r="W59" s="630"/>
    </row>
    <row r="60" spans="2:23" ht="12.95" hidden="1" customHeight="1" outlineLevel="1" thickBot="1">
      <c r="B60" s="893"/>
      <c r="C60" s="254"/>
      <c r="D60" s="235"/>
      <c r="E60" s="255"/>
      <c r="F60" s="415"/>
      <c r="G60" s="237"/>
      <c r="H60" s="238"/>
      <c r="I60" s="353" t="str">
        <f t="shared" si="2"/>
        <v/>
      </c>
      <c r="J60" s="512" t="str">
        <f t="shared" si="1"/>
        <v/>
      </c>
      <c r="K60" s="239"/>
      <c r="L60" s="239"/>
      <c r="M60" s="240"/>
      <c r="N60" s="239"/>
      <c r="O60" s="241">
        <f>IF(K60*L60*N60=0,0,(L60*N60)/K60)</f>
        <v>0</v>
      </c>
      <c r="P60" s="242"/>
      <c r="Q60" s="243"/>
      <c r="R60" s="244"/>
      <c r="S60" s="245"/>
      <c r="T60" s="246" t="str">
        <f t="shared" si="3"/>
        <v/>
      </c>
      <c r="U60" s="247" t="str">
        <f t="shared" si="3"/>
        <v/>
      </c>
      <c r="V60" s="248" t="str">
        <f t="shared" si="3"/>
        <v/>
      </c>
      <c r="W60" s="629"/>
    </row>
    <row r="61" spans="2:23" ht="12.95" customHeight="1" collapsed="1" thickBot="1">
      <c r="B61" s="894"/>
      <c r="C61" s="327" t="s">
        <v>288</v>
      </c>
      <c r="D61" s="234"/>
      <c r="E61" s="328"/>
      <c r="F61" s="416"/>
      <c r="G61" s="329"/>
      <c r="H61" s="330"/>
      <c r="I61" s="339"/>
      <c r="J61" s="509">
        <f>SUM(J21:J60)</f>
        <v>4040</v>
      </c>
      <c r="K61" s="331"/>
      <c r="L61" s="331"/>
      <c r="M61" s="332"/>
      <c r="N61" s="331"/>
      <c r="O61" s="333"/>
      <c r="P61" s="334"/>
      <c r="Q61" s="335"/>
      <c r="R61" s="336"/>
      <c r="S61" s="337"/>
      <c r="T61" s="338"/>
      <c r="U61" s="339"/>
      <c r="V61" s="340"/>
      <c r="W61" s="626"/>
    </row>
    <row r="62" spans="2:23" ht="12.95" customHeight="1">
      <c r="B62" s="892" t="s">
        <v>147</v>
      </c>
      <c r="C62" s="349" t="str">
        <f>科目設定!G2</f>
        <v>ガソリン</v>
      </c>
      <c r="D62" s="350">
        <f>SUMIF(③労働時間!$K$5:$K$353,$C62,③労働時間!$N$5:$N$353)</f>
        <v>0</v>
      </c>
      <c r="E62" s="354" t="s">
        <v>203</v>
      </c>
      <c r="F62" s="413">
        <v>137</v>
      </c>
      <c r="G62" s="222">
        <v>1</v>
      </c>
      <c r="H62" s="223">
        <v>1</v>
      </c>
      <c r="I62" s="517" t="str">
        <f>IF(D62=0,"",D62*1/G62*H62)</f>
        <v/>
      </c>
      <c r="J62" s="510" t="str">
        <f>IF(D62=0,"",ROUND(F62*I62,0))</f>
        <v/>
      </c>
      <c r="K62" s="224"/>
      <c r="L62" s="224"/>
      <c r="M62" s="225"/>
      <c r="N62" s="224"/>
      <c r="O62" s="226">
        <v>0</v>
      </c>
      <c r="P62" s="227"/>
      <c r="Q62" s="228"/>
      <c r="R62" s="229"/>
      <c r="S62" s="230"/>
      <c r="T62" s="231" t="s">
        <v>287</v>
      </c>
      <c r="U62" s="232" t="s">
        <v>287</v>
      </c>
      <c r="V62" s="233" t="s">
        <v>287</v>
      </c>
      <c r="W62" s="655" t="s">
        <v>804</v>
      </c>
    </row>
    <row r="63" spans="2:23" ht="12.95" customHeight="1">
      <c r="B63" s="893"/>
      <c r="C63" s="351" t="str">
        <f>科目設定!G3</f>
        <v>軽油</v>
      </c>
      <c r="D63" s="352">
        <f>SUMIF(③労働時間!$K$5:$K$353,$C63,③労働時間!$N$5:$N$353)</f>
        <v>0</v>
      </c>
      <c r="E63" s="355" t="s">
        <v>203</v>
      </c>
      <c r="F63" s="414">
        <v>93.8</v>
      </c>
      <c r="G63" s="181">
        <v>1</v>
      </c>
      <c r="H63" s="182">
        <v>1</v>
      </c>
      <c r="I63" s="518" t="str">
        <f t="shared" ref="I63:I70" si="4">IF(D63=0,"",D63*1/G63*H63)</f>
        <v/>
      </c>
      <c r="J63" s="511" t="str">
        <f t="shared" ref="J63:J70" si="5">IF(D63=0,"",ROUND(F63*I63,0))</f>
        <v/>
      </c>
      <c r="K63" s="183"/>
      <c r="L63" s="183"/>
      <c r="M63" s="184"/>
      <c r="N63" s="183"/>
      <c r="O63" s="185">
        <v>0</v>
      </c>
      <c r="P63" s="186"/>
      <c r="Q63" s="187"/>
      <c r="R63" s="188"/>
      <c r="S63" s="189"/>
      <c r="T63" s="190" t="s">
        <v>287</v>
      </c>
      <c r="U63" s="191" t="s">
        <v>287</v>
      </c>
      <c r="V63" s="192" t="s">
        <v>287</v>
      </c>
      <c r="W63" s="656" t="s">
        <v>804</v>
      </c>
    </row>
    <row r="64" spans="2:23" ht="12.95" customHeight="1">
      <c r="B64" s="893"/>
      <c r="C64" s="351" t="str">
        <f>科目設定!G4</f>
        <v>Ａ重油</v>
      </c>
      <c r="D64" s="352">
        <f>SUMIF(③労働時間!$K$5:$K$353,$C64,③労働時間!$N$5:$N$353)</f>
        <v>0</v>
      </c>
      <c r="E64" s="355" t="s">
        <v>203</v>
      </c>
      <c r="F64" s="414">
        <v>75.900000000000006</v>
      </c>
      <c r="G64" s="181">
        <v>1</v>
      </c>
      <c r="H64" s="182">
        <v>1</v>
      </c>
      <c r="I64" s="518" t="str">
        <f t="shared" si="4"/>
        <v/>
      </c>
      <c r="J64" s="511" t="str">
        <f t="shared" si="5"/>
        <v/>
      </c>
      <c r="K64" s="183"/>
      <c r="L64" s="183"/>
      <c r="M64" s="184"/>
      <c r="N64" s="183"/>
      <c r="O64" s="185">
        <v>0</v>
      </c>
      <c r="P64" s="186"/>
      <c r="Q64" s="187"/>
      <c r="R64" s="188"/>
      <c r="S64" s="189"/>
      <c r="T64" s="190" t="s">
        <v>287</v>
      </c>
      <c r="U64" s="191" t="s">
        <v>287</v>
      </c>
      <c r="V64" s="192" t="s">
        <v>287</v>
      </c>
      <c r="W64" s="656" t="s">
        <v>804</v>
      </c>
    </row>
    <row r="65" spans="2:23" ht="12.95" customHeight="1">
      <c r="B65" s="893"/>
      <c r="C65" s="351" t="str">
        <f>科目設定!G5</f>
        <v>電気料</v>
      </c>
      <c r="D65" s="352">
        <f>SUMIF(③労働時間!$K$5:$K$353,$C65,③労働時間!$N$5:$N$353)</f>
        <v>0</v>
      </c>
      <c r="E65" s="355"/>
      <c r="F65" s="414"/>
      <c r="G65" s="181"/>
      <c r="H65" s="182"/>
      <c r="I65" s="518" t="str">
        <f t="shared" si="4"/>
        <v/>
      </c>
      <c r="J65" s="511" t="str">
        <f t="shared" si="5"/>
        <v/>
      </c>
      <c r="K65" s="183"/>
      <c r="L65" s="183"/>
      <c r="M65" s="184"/>
      <c r="N65" s="183"/>
      <c r="O65" s="185"/>
      <c r="P65" s="186"/>
      <c r="Q65" s="187"/>
      <c r="R65" s="188"/>
      <c r="S65" s="189"/>
      <c r="T65" s="190" t="s">
        <v>287</v>
      </c>
      <c r="U65" s="191" t="s">
        <v>287</v>
      </c>
      <c r="V65" s="192" t="s">
        <v>287</v>
      </c>
      <c r="W65" s="656"/>
    </row>
    <row r="66" spans="2:23" ht="12.95" customHeight="1">
      <c r="B66" s="893"/>
      <c r="C66" s="351" t="str">
        <f>科目設定!G6</f>
        <v>水道</v>
      </c>
      <c r="D66" s="352">
        <f>SUMIF(③労働時間!$K$5:$K$353,$C66,③労働時間!$N$5:$N$353)</f>
        <v>0</v>
      </c>
      <c r="E66" s="355"/>
      <c r="F66" s="414"/>
      <c r="G66" s="181"/>
      <c r="H66" s="182"/>
      <c r="I66" s="518" t="str">
        <f t="shared" si="4"/>
        <v/>
      </c>
      <c r="J66" s="511" t="str">
        <f t="shared" si="5"/>
        <v/>
      </c>
      <c r="K66" s="183"/>
      <c r="L66" s="183"/>
      <c r="M66" s="184"/>
      <c r="N66" s="183"/>
      <c r="O66" s="185">
        <f>IF(K66*L66*N66=0,0,(L66*N66)/K66)</f>
        <v>0</v>
      </c>
      <c r="P66" s="186"/>
      <c r="Q66" s="187"/>
      <c r="R66" s="188"/>
      <c r="S66" s="189"/>
      <c r="T66" s="190" t="str">
        <f t="shared" ref="T66:V70" si="6">IF(Q66="","",Q66*$D66)</f>
        <v/>
      </c>
      <c r="U66" s="191" t="str">
        <f t="shared" si="6"/>
        <v/>
      </c>
      <c r="V66" s="192" t="str">
        <f t="shared" si="6"/>
        <v/>
      </c>
      <c r="W66" s="656"/>
    </row>
    <row r="67" spans="2:23" ht="12.95" customHeight="1">
      <c r="B67" s="893"/>
      <c r="C67" s="351" t="str">
        <f>科目設定!G7</f>
        <v>灯油</v>
      </c>
      <c r="D67" s="352">
        <f>SUMIF(③労働時間!$K$5:$K$353,$C67,③労働時間!$N$5:$N$353)</f>
        <v>0</v>
      </c>
      <c r="E67" s="355"/>
      <c r="F67" s="414">
        <v>95</v>
      </c>
      <c r="G67" s="181"/>
      <c r="H67" s="182"/>
      <c r="I67" s="518" t="str">
        <f>IF(D67=0,"",D67*1/G67*H67)</f>
        <v/>
      </c>
      <c r="J67" s="511" t="str">
        <f>IF(D67=0,"",ROUND(F67*I67,0))</f>
        <v/>
      </c>
      <c r="K67" s="183"/>
      <c r="L67" s="183"/>
      <c r="M67" s="184"/>
      <c r="N67" s="183"/>
      <c r="O67" s="185">
        <f>IF(K67*L67*N67=0,0,(L67*N67)/K67)</f>
        <v>0</v>
      </c>
      <c r="P67" s="186"/>
      <c r="Q67" s="187"/>
      <c r="R67" s="188"/>
      <c r="S67" s="189"/>
      <c r="T67" s="190" t="str">
        <f t="shared" ref="T67:V68" si="7">IF(Q67="","",Q67*$D67)</f>
        <v/>
      </c>
      <c r="U67" s="191" t="str">
        <f t="shared" si="7"/>
        <v/>
      </c>
      <c r="V67" s="192" t="str">
        <f t="shared" si="7"/>
        <v/>
      </c>
      <c r="W67" s="656" t="s">
        <v>804</v>
      </c>
    </row>
    <row r="68" spans="2:23" ht="12.95" customHeight="1">
      <c r="B68" s="893"/>
      <c r="C68" s="351" t="str">
        <f>科目設定!G8</f>
        <v>混合油</v>
      </c>
      <c r="D68" s="352">
        <f>SUMIF(③労働時間!$K$5:$K$353,$C68,③労働時間!$N$5:$N$353)</f>
        <v>0.2</v>
      </c>
      <c r="E68" s="355" t="s">
        <v>203</v>
      </c>
      <c r="F68" s="414">
        <f>F62*1.5</f>
        <v>205.5</v>
      </c>
      <c r="G68" s="181">
        <v>1</v>
      </c>
      <c r="H68" s="182">
        <v>1</v>
      </c>
      <c r="I68" s="518">
        <f>IF(D68=0,"",D68*1/G68*H68)</f>
        <v>0.2</v>
      </c>
      <c r="J68" s="511">
        <f>IF(D68=0,"",ROUND(F68*I68,0))</f>
        <v>41</v>
      </c>
      <c r="K68" s="183"/>
      <c r="L68" s="183"/>
      <c r="M68" s="184"/>
      <c r="N68" s="183"/>
      <c r="O68" s="185">
        <f>IF(K68*L68*N68=0,0,(L68*N68)/K68)</f>
        <v>0</v>
      </c>
      <c r="P68" s="186"/>
      <c r="Q68" s="187"/>
      <c r="R68" s="188"/>
      <c r="S68" s="189"/>
      <c r="T68" s="190" t="str">
        <f t="shared" si="7"/>
        <v/>
      </c>
      <c r="U68" s="191" t="str">
        <f t="shared" si="7"/>
        <v/>
      </c>
      <c r="V68" s="192" t="str">
        <f t="shared" si="7"/>
        <v/>
      </c>
      <c r="W68" s="656" t="s">
        <v>825</v>
      </c>
    </row>
    <row r="69" spans="2:23" ht="12.95" customHeight="1">
      <c r="B69" s="893"/>
      <c r="C69" s="351" t="s">
        <v>816</v>
      </c>
      <c r="D69" s="715">
        <v>0</v>
      </c>
      <c r="E69" s="716" t="s">
        <v>686</v>
      </c>
      <c r="F69" s="717"/>
      <c r="G69" s="718">
        <v>1</v>
      </c>
      <c r="H69" s="719">
        <v>1</v>
      </c>
      <c r="I69" s="720"/>
      <c r="J69" s="511" t="str">
        <f>IF(D69=0,"",ROUND((J63+J64)*0.3,0))</f>
        <v/>
      </c>
      <c r="K69" s="165"/>
      <c r="L69" s="165"/>
      <c r="M69" s="166"/>
      <c r="N69" s="165"/>
      <c r="O69" s="167">
        <f>IF(K69*L69*N69=0,0,(L69*N69)/K69)</f>
        <v>0</v>
      </c>
      <c r="P69" s="168"/>
      <c r="Q69" s="169"/>
      <c r="R69" s="170"/>
      <c r="S69" s="171"/>
      <c r="T69" s="172" t="str">
        <f t="shared" si="6"/>
        <v/>
      </c>
      <c r="U69" s="173" t="str">
        <f t="shared" si="6"/>
        <v/>
      </c>
      <c r="V69" s="174" t="str">
        <f t="shared" si="6"/>
        <v/>
      </c>
      <c r="W69" s="628"/>
    </row>
    <row r="70" spans="2:23" ht="12.95" customHeight="1" thickBot="1">
      <c r="B70" s="893"/>
      <c r="C70" s="634" t="s">
        <v>294</v>
      </c>
      <c r="D70" s="742">
        <v>0.5</v>
      </c>
      <c r="E70" s="743" t="s">
        <v>840</v>
      </c>
      <c r="F70" s="415">
        <v>1848</v>
      </c>
      <c r="G70" s="237">
        <v>1</v>
      </c>
      <c r="H70" s="238">
        <v>1</v>
      </c>
      <c r="I70" s="519">
        <f t="shared" si="4"/>
        <v>0.5</v>
      </c>
      <c r="J70" s="512">
        <f t="shared" si="5"/>
        <v>924</v>
      </c>
      <c r="K70" s="239"/>
      <c r="L70" s="239"/>
      <c r="M70" s="240"/>
      <c r="N70" s="239"/>
      <c r="O70" s="241">
        <f>IF(K70*L70*N70=0,0,(L70*N70)/K70)</f>
        <v>0</v>
      </c>
      <c r="P70" s="242"/>
      <c r="Q70" s="243"/>
      <c r="R70" s="244"/>
      <c r="S70" s="245"/>
      <c r="T70" s="246" t="str">
        <f t="shared" si="6"/>
        <v/>
      </c>
      <c r="U70" s="247" t="str">
        <f t="shared" si="6"/>
        <v/>
      </c>
      <c r="V70" s="248" t="str">
        <f t="shared" si="6"/>
        <v/>
      </c>
      <c r="W70" s="629" t="s">
        <v>801</v>
      </c>
    </row>
    <row r="71" spans="2:23" ht="12.95" customHeight="1" thickTop="1" thickBot="1">
      <c r="B71" s="894"/>
      <c r="C71" s="327" t="s">
        <v>288</v>
      </c>
      <c r="D71" s="234"/>
      <c r="E71" s="328"/>
      <c r="F71" s="416"/>
      <c r="G71" s="329"/>
      <c r="H71" s="330"/>
      <c r="I71" s="339"/>
      <c r="J71" s="509">
        <f>SUM(J62:J70)</f>
        <v>965</v>
      </c>
      <c r="K71" s="331"/>
      <c r="L71" s="331"/>
      <c r="M71" s="332"/>
      <c r="N71" s="331"/>
      <c r="O71" s="333"/>
      <c r="P71" s="334"/>
      <c r="Q71" s="335"/>
      <c r="R71" s="336"/>
      <c r="S71" s="337"/>
      <c r="T71" s="338"/>
      <c r="U71" s="339"/>
      <c r="V71" s="340"/>
      <c r="W71" s="626"/>
    </row>
    <row r="72" spans="2:23" ht="12.95" customHeight="1">
      <c r="B72" s="892" t="s">
        <v>115</v>
      </c>
      <c r="C72" s="256" t="s">
        <v>455</v>
      </c>
      <c r="D72" s="740">
        <v>0.1</v>
      </c>
      <c r="E72" s="257" t="s">
        <v>454</v>
      </c>
      <c r="F72" s="413">
        <v>3240</v>
      </c>
      <c r="G72" s="222">
        <v>1</v>
      </c>
      <c r="H72" s="223">
        <v>1</v>
      </c>
      <c r="I72" s="350">
        <f t="shared" ref="I72:I108" si="8">IF(C72=0,"",D72*1/G72*H72)</f>
        <v>0.1</v>
      </c>
      <c r="J72" s="510">
        <f t="shared" si="1"/>
        <v>324</v>
      </c>
      <c r="K72" s="224"/>
      <c r="L72" s="224"/>
      <c r="M72" s="225"/>
      <c r="N72" s="224"/>
      <c r="O72" s="226">
        <v>0</v>
      </c>
      <c r="P72" s="227"/>
      <c r="Q72" s="228"/>
      <c r="R72" s="229"/>
      <c r="S72" s="230"/>
      <c r="T72" s="231" t="s">
        <v>287</v>
      </c>
      <c r="U72" s="232" t="s">
        <v>287</v>
      </c>
      <c r="V72" s="233" t="s">
        <v>287</v>
      </c>
      <c r="W72" s="627" t="s">
        <v>456</v>
      </c>
    </row>
    <row r="73" spans="2:23" ht="12.95" customHeight="1">
      <c r="B73" s="893"/>
      <c r="C73" s="197" t="s">
        <v>461</v>
      </c>
      <c r="D73" s="741">
        <v>7.5</v>
      </c>
      <c r="E73" s="196" t="s">
        <v>214</v>
      </c>
      <c r="F73" s="414">
        <v>421</v>
      </c>
      <c r="G73" s="181">
        <v>5</v>
      </c>
      <c r="H73" s="182">
        <v>1</v>
      </c>
      <c r="I73" s="352">
        <f t="shared" si="8"/>
        <v>1.5</v>
      </c>
      <c r="J73" s="511">
        <f t="shared" si="1"/>
        <v>632</v>
      </c>
      <c r="K73" s="183"/>
      <c r="L73" s="183"/>
      <c r="M73" s="184"/>
      <c r="N73" s="183"/>
      <c r="O73" s="185">
        <v>0</v>
      </c>
      <c r="P73" s="186"/>
      <c r="Q73" s="187"/>
      <c r="R73" s="188"/>
      <c r="S73" s="189"/>
      <c r="T73" s="190" t="s">
        <v>287</v>
      </c>
      <c r="U73" s="191" t="s">
        <v>287</v>
      </c>
      <c r="V73" s="192" t="s">
        <v>287</v>
      </c>
      <c r="W73" s="630" t="s">
        <v>834</v>
      </c>
    </row>
    <row r="74" spans="2:23" ht="12.95" customHeight="1">
      <c r="B74" s="893"/>
      <c r="C74" s="197" t="s">
        <v>462</v>
      </c>
      <c r="D74" s="741">
        <v>1.5</v>
      </c>
      <c r="E74" s="196" t="s">
        <v>214</v>
      </c>
      <c r="F74" s="414">
        <v>583</v>
      </c>
      <c r="G74" s="181">
        <v>5</v>
      </c>
      <c r="H74" s="182">
        <v>1</v>
      </c>
      <c r="I74" s="352">
        <f t="shared" si="8"/>
        <v>0.3</v>
      </c>
      <c r="J74" s="511">
        <f t="shared" si="1"/>
        <v>175</v>
      </c>
      <c r="K74" s="183"/>
      <c r="L74" s="183"/>
      <c r="M74" s="184"/>
      <c r="N74" s="183"/>
      <c r="O74" s="185">
        <v>0</v>
      </c>
      <c r="P74" s="186"/>
      <c r="Q74" s="187"/>
      <c r="R74" s="188"/>
      <c r="S74" s="189"/>
      <c r="T74" s="190" t="s">
        <v>287</v>
      </c>
      <c r="U74" s="191" t="s">
        <v>287</v>
      </c>
      <c r="V74" s="192" t="s">
        <v>287</v>
      </c>
      <c r="W74" s="624" t="s">
        <v>835</v>
      </c>
    </row>
    <row r="75" spans="2:23" ht="12.95" customHeight="1">
      <c r="B75" s="893"/>
      <c r="C75" s="197" t="s">
        <v>463</v>
      </c>
      <c r="D75" s="741">
        <v>0.5</v>
      </c>
      <c r="E75" s="196" t="s">
        <v>117</v>
      </c>
      <c r="F75" s="414">
        <v>756</v>
      </c>
      <c r="G75" s="181">
        <v>5</v>
      </c>
      <c r="H75" s="182">
        <v>1</v>
      </c>
      <c r="I75" s="352">
        <f t="shared" si="8"/>
        <v>0.1</v>
      </c>
      <c r="J75" s="511">
        <f t="shared" ref="J75:J108" si="9">IF(C75=0,"",ROUND(F75*I75,0))</f>
        <v>76</v>
      </c>
      <c r="K75" s="183"/>
      <c r="L75" s="183"/>
      <c r="M75" s="184"/>
      <c r="N75" s="183"/>
      <c r="O75" s="185">
        <v>0</v>
      </c>
      <c r="P75" s="186"/>
      <c r="Q75" s="187"/>
      <c r="R75" s="188"/>
      <c r="S75" s="189"/>
      <c r="T75" s="190" t="s">
        <v>287</v>
      </c>
      <c r="U75" s="191" t="s">
        <v>287</v>
      </c>
      <c r="V75" s="192" t="s">
        <v>287</v>
      </c>
      <c r="W75" s="624" t="s">
        <v>836</v>
      </c>
    </row>
    <row r="76" spans="2:23" ht="12.95" customHeight="1">
      <c r="B76" s="893"/>
      <c r="C76" s="197" t="s">
        <v>464</v>
      </c>
      <c r="D76" s="741">
        <v>0.05</v>
      </c>
      <c r="E76" s="196" t="s">
        <v>214</v>
      </c>
      <c r="F76" s="414">
        <v>2160</v>
      </c>
      <c r="G76" s="181">
        <v>5</v>
      </c>
      <c r="H76" s="182">
        <v>1</v>
      </c>
      <c r="I76" s="352">
        <f t="shared" si="8"/>
        <v>0.01</v>
      </c>
      <c r="J76" s="511">
        <f t="shared" si="9"/>
        <v>22</v>
      </c>
      <c r="K76" s="183"/>
      <c r="L76" s="183"/>
      <c r="M76" s="184"/>
      <c r="N76" s="183"/>
      <c r="O76" s="185">
        <v>0</v>
      </c>
      <c r="P76" s="186"/>
      <c r="Q76" s="187"/>
      <c r="R76" s="188"/>
      <c r="S76" s="189"/>
      <c r="T76" s="190" t="s">
        <v>287</v>
      </c>
      <c r="U76" s="191" t="s">
        <v>287</v>
      </c>
      <c r="V76" s="192" t="s">
        <v>287</v>
      </c>
      <c r="W76" s="624" t="s">
        <v>837</v>
      </c>
    </row>
    <row r="77" spans="2:23" ht="12.95" customHeight="1">
      <c r="B77" s="893"/>
      <c r="C77" s="197" t="s">
        <v>465</v>
      </c>
      <c r="D77" s="741">
        <v>0.2</v>
      </c>
      <c r="E77" s="196" t="s">
        <v>232</v>
      </c>
      <c r="F77" s="414">
        <v>6480</v>
      </c>
      <c r="G77" s="181">
        <v>3</v>
      </c>
      <c r="H77" s="182">
        <v>1</v>
      </c>
      <c r="I77" s="352">
        <f t="shared" si="8"/>
        <v>6.6666666666666666E-2</v>
      </c>
      <c r="J77" s="511">
        <f t="shared" si="9"/>
        <v>432</v>
      </c>
      <c r="K77" s="183"/>
      <c r="L77" s="183"/>
      <c r="M77" s="184"/>
      <c r="N77" s="183"/>
      <c r="O77" s="185">
        <v>0</v>
      </c>
      <c r="P77" s="186"/>
      <c r="Q77" s="187"/>
      <c r="R77" s="188"/>
      <c r="S77" s="189"/>
      <c r="T77" s="190" t="s">
        <v>287</v>
      </c>
      <c r="U77" s="191" t="s">
        <v>287</v>
      </c>
      <c r="V77" s="192" t="s">
        <v>287</v>
      </c>
      <c r="W77" s="624" t="s">
        <v>838</v>
      </c>
    </row>
    <row r="78" spans="2:23" ht="12.95" customHeight="1">
      <c r="B78" s="893"/>
      <c r="C78" s="197" t="s">
        <v>466</v>
      </c>
      <c r="D78" s="741">
        <v>0.05</v>
      </c>
      <c r="E78" s="196" t="s">
        <v>117</v>
      </c>
      <c r="F78" s="414">
        <v>14175</v>
      </c>
      <c r="G78" s="181">
        <v>10</v>
      </c>
      <c r="H78" s="182">
        <v>1</v>
      </c>
      <c r="I78" s="352">
        <f t="shared" si="8"/>
        <v>5.0000000000000001E-3</v>
      </c>
      <c r="J78" s="511">
        <f t="shared" si="9"/>
        <v>71</v>
      </c>
      <c r="K78" s="183"/>
      <c r="L78" s="183"/>
      <c r="M78" s="184"/>
      <c r="N78" s="183"/>
      <c r="O78" s="185">
        <v>0</v>
      </c>
      <c r="P78" s="186"/>
      <c r="Q78" s="187"/>
      <c r="R78" s="188"/>
      <c r="S78" s="189"/>
      <c r="T78" s="190" t="s">
        <v>287</v>
      </c>
      <c r="U78" s="191" t="s">
        <v>287</v>
      </c>
      <c r="V78" s="192" t="s">
        <v>287</v>
      </c>
      <c r="W78" s="624" t="s">
        <v>839</v>
      </c>
    </row>
    <row r="79" spans="2:23" ht="12.95" customHeight="1">
      <c r="B79" s="893"/>
      <c r="C79" s="197" t="s">
        <v>467</v>
      </c>
      <c r="D79" s="741">
        <v>3.5000000000000003E-2</v>
      </c>
      <c r="E79" s="196" t="s">
        <v>214</v>
      </c>
      <c r="F79" s="414">
        <v>14364</v>
      </c>
      <c r="G79" s="181">
        <v>1</v>
      </c>
      <c r="H79" s="182">
        <v>1</v>
      </c>
      <c r="I79" s="352">
        <f t="shared" si="8"/>
        <v>3.5000000000000003E-2</v>
      </c>
      <c r="J79" s="511">
        <f t="shared" si="9"/>
        <v>503</v>
      </c>
      <c r="K79" s="183"/>
      <c r="L79" s="183"/>
      <c r="M79" s="184"/>
      <c r="N79" s="183"/>
      <c r="O79" s="185">
        <v>0</v>
      </c>
      <c r="P79" s="186"/>
      <c r="Q79" s="187"/>
      <c r="R79" s="188"/>
      <c r="S79" s="189"/>
      <c r="T79" s="190" t="s">
        <v>287</v>
      </c>
      <c r="U79" s="191" t="s">
        <v>287</v>
      </c>
      <c r="V79" s="192" t="s">
        <v>287</v>
      </c>
      <c r="W79" s="624" t="s">
        <v>822</v>
      </c>
    </row>
    <row r="80" spans="2:23" ht="12.95" customHeight="1">
      <c r="B80" s="893"/>
      <c r="C80" s="197" t="s">
        <v>517</v>
      </c>
      <c r="D80" s="741">
        <v>0.33</v>
      </c>
      <c r="E80" s="196" t="s">
        <v>518</v>
      </c>
      <c r="F80" s="414">
        <v>1500</v>
      </c>
      <c r="G80" s="181">
        <v>1</v>
      </c>
      <c r="H80" s="182">
        <v>1</v>
      </c>
      <c r="I80" s="352">
        <f t="shared" si="8"/>
        <v>0.33</v>
      </c>
      <c r="J80" s="511">
        <f t="shared" si="9"/>
        <v>495</v>
      </c>
      <c r="K80" s="183"/>
      <c r="L80" s="183"/>
      <c r="M80" s="184"/>
      <c r="N80" s="183"/>
      <c r="O80" s="185">
        <v>0</v>
      </c>
      <c r="P80" s="186"/>
      <c r="Q80" s="187"/>
      <c r="R80" s="188"/>
      <c r="S80" s="189"/>
      <c r="T80" s="190" t="s">
        <v>287</v>
      </c>
      <c r="U80" s="191" t="s">
        <v>287</v>
      </c>
      <c r="V80" s="192" t="s">
        <v>287</v>
      </c>
      <c r="W80" s="624" t="s">
        <v>519</v>
      </c>
    </row>
    <row r="81" spans="2:23" ht="12.95" customHeight="1">
      <c r="B81" s="893"/>
      <c r="C81" s="197" t="s">
        <v>523</v>
      </c>
      <c r="D81" s="741">
        <v>0.1</v>
      </c>
      <c r="E81" s="196" t="s">
        <v>454</v>
      </c>
      <c r="F81" s="414">
        <v>1815</v>
      </c>
      <c r="G81" s="181">
        <v>1</v>
      </c>
      <c r="H81" s="182">
        <v>1</v>
      </c>
      <c r="I81" s="352">
        <f t="shared" si="8"/>
        <v>0.1</v>
      </c>
      <c r="J81" s="511">
        <f t="shared" si="9"/>
        <v>182</v>
      </c>
      <c r="K81" s="183"/>
      <c r="L81" s="183"/>
      <c r="M81" s="184"/>
      <c r="N81" s="183"/>
      <c r="O81" s="185">
        <v>0</v>
      </c>
      <c r="P81" s="186"/>
      <c r="Q81" s="187"/>
      <c r="R81" s="188"/>
      <c r="S81" s="189"/>
      <c r="T81" s="190" t="s">
        <v>287</v>
      </c>
      <c r="U81" s="191" t="s">
        <v>287</v>
      </c>
      <c r="V81" s="192" t="s">
        <v>287</v>
      </c>
      <c r="W81" s="624" t="s">
        <v>528</v>
      </c>
    </row>
    <row r="82" spans="2:23" ht="12.95" customHeight="1">
      <c r="B82" s="893"/>
      <c r="C82" s="197" t="s">
        <v>524</v>
      </c>
      <c r="D82" s="178">
        <f>517*0.1</f>
        <v>51.7</v>
      </c>
      <c r="E82" s="196" t="s">
        <v>114</v>
      </c>
      <c r="F82" s="414">
        <v>55.6</v>
      </c>
      <c r="G82" s="181">
        <v>1</v>
      </c>
      <c r="H82" s="182">
        <v>1</v>
      </c>
      <c r="I82" s="352">
        <f t="shared" si="8"/>
        <v>51.7</v>
      </c>
      <c r="J82" s="511">
        <f t="shared" si="9"/>
        <v>2875</v>
      </c>
      <c r="K82" s="183"/>
      <c r="L82" s="183"/>
      <c r="M82" s="184"/>
      <c r="N82" s="183"/>
      <c r="O82" s="185">
        <v>0</v>
      </c>
      <c r="P82" s="186"/>
      <c r="Q82" s="187"/>
      <c r="R82" s="188"/>
      <c r="S82" s="189"/>
      <c r="T82" s="190" t="s">
        <v>287</v>
      </c>
      <c r="U82" s="191" t="s">
        <v>287</v>
      </c>
      <c r="V82" s="192" t="s">
        <v>287</v>
      </c>
      <c r="W82" s="624" t="s">
        <v>529</v>
      </c>
    </row>
    <row r="83" spans="2:23" ht="12.95" customHeight="1">
      <c r="B83" s="893"/>
      <c r="C83" s="197" t="s">
        <v>525</v>
      </c>
      <c r="D83" s="178">
        <f>607*2/20</f>
        <v>60.7</v>
      </c>
      <c r="E83" s="196" t="s">
        <v>114</v>
      </c>
      <c r="F83" s="414">
        <v>68.099999999999994</v>
      </c>
      <c r="G83" s="181">
        <v>1</v>
      </c>
      <c r="H83" s="182">
        <v>1</v>
      </c>
      <c r="I83" s="352">
        <f t="shared" si="8"/>
        <v>60.7</v>
      </c>
      <c r="J83" s="511">
        <f t="shared" si="9"/>
        <v>4134</v>
      </c>
      <c r="K83" s="183"/>
      <c r="L83" s="183"/>
      <c r="M83" s="184"/>
      <c r="N83" s="183"/>
      <c r="O83" s="185">
        <v>0</v>
      </c>
      <c r="P83" s="186"/>
      <c r="Q83" s="187"/>
      <c r="R83" s="188"/>
      <c r="S83" s="189"/>
      <c r="T83" s="190" t="s">
        <v>287</v>
      </c>
      <c r="U83" s="191" t="s">
        <v>287</v>
      </c>
      <c r="V83" s="192" t="s">
        <v>287</v>
      </c>
      <c r="W83" s="624" t="s">
        <v>530</v>
      </c>
    </row>
    <row r="84" spans="2:23" ht="12.95" customHeight="1">
      <c r="B84" s="893"/>
      <c r="C84" s="197" t="s">
        <v>526</v>
      </c>
      <c r="D84" s="741">
        <f>66.5/2</f>
        <v>33.25</v>
      </c>
      <c r="E84" s="196" t="s">
        <v>114</v>
      </c>
      <c r="F84" s="414">
        <v>59.9</v>
      </c>
      <c r="G84" s="181">
        <v>1</v>
      </c>
      <c r="H84" s="182">
        <v>1</v>
      </c>
      <c r="I84" s="352">
        <f t="shared" si="8"/>
        <v>33.25</v>
      </c>
      <c r="J84" s="511">
        <f t="shared" si="9"/>
        <v>1992</v>
      </c>
      <c r="K84" s="183"/>
      <c r="L84" s="183"/>
      <c r="M84" s="184"/>
      <c r="N84" s="183"/>
      <c r="O84" s="185">
        <v>0</v>
      </c>
      <c r="P84" s="186"/>
      <c r="Q84" s="187"/>
      <c r="R84" s="188"/>
      <c r="S84" s="189"/>
      <c r="T84" s="190" t="s">
        <v>287</v>
      </c>
      <c r="U84" s="191" t="s">
        <v>287</v>
      </c>
      <c r="V84" s="192" t="s">
        <v>287</v>
      </c>
      <c r="W84" s="624" t="s">
        <v>531</v>
      </c>
    </row>
    <row r="85" spans="2:23" ht="12.95" customHeight="1">
      <c r="B85" s="893"/>
      <c r="C85" s="197" t="s">
        <v>527</v>
      </c>
      <c r="D85" s="741">
        <f>0.3/2</f>
        <v>0.15</v>
      </c>
      <c r="E85" s="196" t="s">
        <v>518</v>
      </c>
      <c r="F85" s="414">
        <v>9500</v>
      </c>
      <c r="G85" s="181">
        <v>1</v>
      </c>
      <c r="H85" s="182">
        <v>1</v>
      </c>
      <c r="I85" s="352">
        <f t="shared" si="8"/>
        <v>0.15</v>
      </c>
      <c r="J85" s="511">
        <f t="shared" si="9"/>
        <v>1425</v>
      </c>
      <c r="K85" s="183"/>
      <c r="L85" s="183"/>
      <c r="M85" s="184"/>
      <c r="N85" s="183"/>
      <c r="O85" s="185">
        <v>0</v>
      </c>
      <c r="P85" s="186"/>
      <c r="Q85" s="187"/>
      <c r="R85" s="188"/>
      <c r="S85" s="189"/>
      <c r="T85" s="190" t="s">
        <v>287</v>
      </c>
      <c r="U85" s="191" t="s">
        <v>287</v>
      </c>
      <c r="V85" s="192" t="s">
        <v>287</v>
      </c>
      <c r="W85" s="624" t="s">
        <v>532</v>
      </c>
    </row>
    <row r="86" spans="2:23" ht="12.95" customHeight="1">
      <c r="B86" s="893"/>
      <c r="C86" s="197" t="s">
        <v>534</v>
      </c>
      <c r="D86" s="741">
        <f>0.1/2</f>
        <v>0.05</v>
      </c>
      <c r="E86" s="196" t="s">
        <v>518</v>
      </c>
      <c r="F86" s="414">
        <v>4200</v>
      </c>
      <c r="G86" s="181">
        <v>1</v>
      </c>
      <c r="H86" s="182">
        <v>1</v>
      </c>
      <c r="I86" s="352">
        <f t="shared" si="8"/>
        <v>0.05</v>
      </c>
      <c r="J86" s="511">
        <f t="shared" si="9"/>
        <v>210</v>
      </c>
      <c r="K86" s="183"/>
      <c r="L86" s="183"/>
      <c r="M86" s="184"/>
      <c r="N86" s="183"/>
      <c r="O86" s="185">
        <v>0</v>
      </c>
      <c r="P86" s="186"/>
      <c r="Q86" s="187"/>
      <c r="R86" s="188"/>
      <c r="S86" s="189"/>
      <c r="T86" s="190" t="s">
        <v>287</v>
      </c>
      <c r="U86" s="191" t="s">
        <v>287</v>
      </c>
      <c r="V86" s="192" t="s">
        <v>287</v>
      </c>
      <c r="W86" s="624" t="s">
        <v>535</v>
      </c>
    </row>
    <row r="87" spans="2:23" ht="12.95" customHeight="1">
      <c r="B87" s="893"/>
      <c r="C87" s="197" t="s">
        <v>523</v>
      </c>
      <c r="D87" s="178">
        <f>0.2/2</f>
        <v>0.1</v>
      </c>
      <c r="E87" s="196" t="s">
        <v>454</v>
      </c>
      <c r="F87" s="414">
        <v>1944</v>
      </c>
      <c r="G87" s="181">
        <v>1</v>
      </c>
      <c r="H87" s="182">
        <v>1</v>
      </c>
      <c r="I87" s="352">
        <f t="shared" si="8"/>
        <v>0.1</v>
      </c>
      <c r="J87" s="511">
        <f t="shared" si="9"/>
        <v>194</v>
      </c>
      <c r="K87" s="183"/>
      <c r="L87" s="183"/>
      <c r="M87" s="184"/>
      <c r="N87" s="183"/>
      <c r="O87" s="185">
        <v>0</v>
      </c>
      <c r="P87" s="186"/>
      <c r="Q87" s="187"/>
      <c r="R87" s="188"/>
      <c r="S87" s="189"/>
      <c r="T87" s="190" t="s">
        <v>287</v>
      </c>
      <c r="U87" s="191" t="s">
        <v>287</v>
      </c>
      <c r="V87" s="192" t="s">
        <v>287</v>
      </c>
      <c r="W87" s="624" t="s">
        <v>536</v>
      </c>
    </row>
    <row r="88" spans="2:23" ht="12.95" customHeight="1">
      <c r="B88" s="893"/>
      <c r="C88" s="197"/>
      <c r="D88" s="178"/>
      <c r="E88" s="196"/>
      <c r="F88" s="414"/>
      <c r="G88" s="181"/>
      <c r="H88" s="182"/>
      <c r="I88" s="352" t="str">
        <f t="shared" si="8"/>
        <v/>
      </c>
      <c r="J88" s="511" t="str">
        <f t="shared" si="9"/>
        <v/>
      </c>
      <c r="K88" s="183"/>
      <c r="L88" s="183"/>
      <c r="M88" s="184"/>
      <c r="N88" s="183"/>
      <c r="O88" s="185">
        <v>0</v>
      </c>
      <c r="P88" s="186"/>
      <c r="Q88" s="187"/>
      <c r="R88" s="188"/>
      <c r="S88" s="189"/>
      <c r="T88" s="190" t="s">
        <v>287</v>
      </c>
      <c r="U88" s="191" t="s">
        <v>287</v>
      </c>
      <c r="V88" s="192" t="s">
        <v>287</v>
      </c>
      <c r="W88" s="624"/>
    </row>
    <row r="89" spans="2:23" ht="12.95" customHeight="1">
      <c r="B89" s="893"/>
      <c r="C89" s="197" t="s">
        <v>800</v>
      </c>
      <c r="D89" s="178">
        <v>0.5</v>
      </c>
      <c r="E89" s="196" t="s">
        <v>840</v>
      </c>
      <c r="F89" s="414">
        <v>4494</v>
      </c>
      <c r="G89" s="181">
        <v>1</v>
      </c>
      <c r="H89" s="182">
        <v>1</v>
      </c>
      <c r="I89" s="352">
        <f t="shared" si="8"/>
        <v>0.5</v>
      </c>
      <c r="J89" s="511">
        <f t="shared" si="9"/>
        <v>2247</v>
      </c>
      <c r="K89" s="183"/>
      <c r="L89" s="183"/>
      <c r="M89" s="184"/>
      <c r="N89" s="183"/>
      <c r="O89" s="185">
        <v>0</v>
      </c>
      <c r="P89" s="186"/>
      <c r="Q89" s="187"/>
      <c r="R89" s="188"/>
      <c r="S89" s="189"/>
      <c r="T89" s="190" t="s">
        <v>287</v>
      </c>
      <c r="U89" s="191" t="s">
        <v>287</v>
      </c>
      <c r="V89" s="192" t="s">
        <v>287</v>
      </c>
      <c r="W89" s="624" t="s">
        <v>797</v>
      </c>
    </row>
    <row r="90" spans="2:23" ht="12.95" customHeight="1">
      <c r="B90" s="893"/>
      <c r="C90" s="197"/>
      <c r="D90" s="178"/>
      <c r="E90" s="196"/>
      <c r="F90" s="414"/>
      <c r="G90" s="181"/>
      <c r="H90" s="182"/>
      <c r="I90" s="352" t="str">
        <f t="shared" si="8"/>
        <v/>
      </c>
      <c r="J90" s="511" t="str">
        <f t="shared" si="9"/>
        <v/>
      </c>
      <c r="K90" s="183"/>
      <c r="L90" s="183"/>
      <c r="M90" s="184"/>
      <c r="N90" s="183"/>
      <c r="O90" s="185">
        <f t="shared" ref="O90:O108" si="10">IF(K90*L90*N90=0,0,(L90*N90)/K90)</f>
        <v>0</v>
      </c>
      <c r="P90" s="186"/>
      <c r="Q90" s="187"/>
      <c r="R90" s="188"/>
      <c r="S90" s="189"/>
      <c r="T90" s="190" t="str">
        <f t="shared" ref="T90:T108" si="11">IF(Q90="","",Q90*$D90)</f>
        <v/>
      </c>
      <c r="U90" s="191" t="str">
        <f t="shared" ref="U90:U108" si="12">IF(R90="","",R90*$D90)</f>
        <v/>
      </c>
      <c r="V90" s="192" t="str">
        <f t="shared" ref="V90:V108" si="13">IF(S90="","",S90*$D90)</f>
        <v/>
      </c>
      <c r="W90" s="624"/>
    </row>
    <row r="91" spans="2:23" ht="12.95" customHeight="1">
      <c r="B91" s="893"/>
      <c r="C91" s="197"/>
      <c r="D91" s="178"/>
      <c r="E91" s="196"/>
      <c r="F91" s="414"/>
      <c r="G91" s="181"/>
      <c r="H91" s="182"/>
      <c r="I91" s="352" t="str">
        <f t="shared" si="8"/>
        <v/>
      </c>
      <c r="J91" s="511" t="str">
        <f t="shared" si="9"/>
        <v/>
      </c>
      <c r="K91" s="183"/>
      <c r="L91" s="183"/>
      <c r="M91" s="184"/>
      <c r="N91" s="183"/>
      <c r="O91" s="185">
        <f t="shared" si="10"/>
        <v>0</v>
      </c>
      <c r="P91" s="186"/>
      <c r="Q91" s="187"/>
      <c r="R91" s="188"/>
      <c r="S91" s="189"/>
      <c r="T91" s="190" t="str">
        <f t="shared" si="11"/>
        <v/>
      </c>
      <c r="U91" s="191" t="str">
        <f t="shared" si="12"/>
        <v/>
      </c>
      <c r="V91" s="192" t="str">
        <f t="shared" si="13"/>
        <v/>
      </c>
      <c r="W91" s="624"/>
    </row>
    <row r="92" spans="2:23" ht="12.95" hidden="1" customHeight="1" outlineLevel="1">
      <c r="B92" s="893"/>
      <c r="C92" s="197"/>
      <c r="D92" s="178"/>
      <c r="E92" s="196"/>
      <c r="F92" s="414"/>
      <c r="G92" s="181"/>
      <c r="H92" s="182"/>
      <c r="I92" s="352" t="str">
        <f t="shared" si="8"/>
        <v/>
      </c>
      <c r="J92" s="511" t="str">
        <f t="shared" si="9"/>
        <v/>
      </c>
      <c r="K92" s="183"/>
      <c r="L92" s="183"/>
      <c r="M92" s="184"/>
      <c r="N92" s="183"/>
      <c r="O92" s="185">
        <f t="shared" si="10"/>
        <v>0</v>
      </c>
      <c r="P92" s="186"/>
      <c r="Q92" s="187"/>
      <c r="R92" s="188"/>
      <c r="S92" s="189"/>
      <c r="T92" s="190" t="str">
        <f t="shared" si="11"/>
        <v/>
      </c>
      <c r="U92" s="191" t="str">
        <f t="shared" si="12"/>
        <v/>
      </c>
      <c r="V92" s="192" t="str">
        <f t="shared" si="13"/>
        <v/>
      </c>
      <c r="W92" s="624"/>
    </row>
    <row r="93" spans="2:23" ht="12.95" hidden="1" customHeight="1" outlineLevel="1">
      <c r="B93" s="893"/>
      <c r="C93" s="197"/>
      <c r="D93" s="178"/>
      <c r="E93" s="196"/>
      <c r="F93" s="414"/>
      <c r="G93" s="181"/>
      <c r="H93" s="182"/>
      <c r="I93" s="352" t="str">
        <f t="shared" si="8"/>
        <v/>
      </c>
      <c r="J93" s="511" t="str">
        <f t="shared" si="9"/>
        <v/>
      </c>
      <c r="K93" s="183"/>
      <c r="L93" s="183"/>
      <c r="M93" s="184"/>
      <c r="N93" s="183"/>
      <c r="O93" s="185">
        <f t="shared" si="10"/>
        <v>0</v>
      </c>
      <c r="P93" s="186"/>
      <c r="Q93" s="187"/>
      <c r="R93" s="188"/>
      <c r="S93" s="189"/>
      <c r="T93" s="190" t="str">
        <f t="shared" si="11"/>
        <v/>
      </c>
      <c r="U93" s="191" t="str">
        <f t="shared" si="12"/>
        <v/>
      </c>
      <c r="V93" s="192" t="str">
        <f t="shared" si="13"/>
        <v/>
      </c>
      <c r="W93" s="624"/>
    </row>
    <row r="94" spans="2:23" ht="12.95" hidden="1" customHeight="1" outlineLevel="1">
      <c r="B94" s="893"/>
      <c r="C94" s="197"/>
      <c r="D94" s="178"/>
      <c r="E94" s="196"/>
      <c r="F94" s="414"/>
      <c r="G94" s="181"/>
      <c r="H94" s="182"/>
      <c r="I94" s="352" t="str">
        <f t="shared" si="8"/>
        <v/>
      </c>
      <c r="J94" s="511" t="str">
        <f t="shared" si="9"/>
        <v/>
      </c>
      <c r="K94" s="183"/>
      <c r="L94" s="183"/>
      <c r="M94" s="184"/>
      <c r="N94" s="183"/>
      <c r="O94" s="185">
        <f t="shared" si="10"/>
        <v>0</v>
      </c>
      <c r="P94" s="186"/>
      <c r="Q94" s="187"/>
      <c r="R94" s="188"/>
      <c r="S94" s="189"/>
      <c r="T94" s="190" t="str">
        <f t="shared" si="11"/>
        <v/>
      </c>
      <c r="U94" s="191" t="str">
        <f t="shared" si="12"/>
        <v/>
      </c>
      <c r="V94" s="192" t="str">
        <f t="shared" si="13"/>
        <v/>
      </c>
      <c r="W94" s="624"/>
    </row>
    <row r="95" spans="2:23" ht="12.95" hidden="1" customHeight="1" outlineLevel="1">
      <c r="B95" s="893"/>
      <c r="C95" s="197"/>
      <c r="D95" s="178"/>
      <c r="E95" s="196"/>
      <c r="F95" s="414"/>
      <c r="G95" s="181"/>
      <c r="H95" s="182"/>
      <c r="I95" s="352" t="str">
        <f t="shared" si="8"/>
        <v/>
      </c>
      <c r="J95" s="511" t="str">
        <f t="shared" si="9"/>
        <v/>
      </c>
      <c r="K95" s="183"/>
      <c r="L95" s="183"/>
      <c r="M95" s="184"/>
      <c r="N95" s="183"/>
      <c r="O95" s="185">
        <f t="shared" si="10"/>
        <v>0</v>
      </c>
      <c r="P95" s="186"/>
      <c r="Q95" s="187"/>
      <c r="R95" s="188"/>
      <c r="S95" s="189"/>
      <c r="T95" s="190" t="str">
        <f t="shared" si="11"/>
        <v/>
      </c>
      <c r="U95" s="191" t="str">
        <f t="shared" si="12"/>
        <v/>
      </c>
      <c r="V95" s="192" t="str">
        <f t="shared" si="13"/>
        <v/>
      </c>
      <c r="W95" s="624"/>
    </row>
    <row r="96" spans="2:23" ht="12.95" hidden="1" customHeight="1" outlineLevel="1">
      <c r="B96" s="893"/>
      <c r="C96" s="197"/>
      <c r="D96" s="178"/>
      <c r="E96" s="196"/>
      <c r="F96" s="414"/>
      <c r="G96" s="181"/>
      <c r="H96" s="182"/>
      <c r="I96" s="352" t="str">
        <f t="shared" si="8"/>
        <v/>
      </c>
      <c r="J96" s="511" t="str">
        <f t="shared" si="9"/>
        <v/>
      </c>
      <c r="K96" s="183"/>
      <c r="L96" s="183"/>
      <c r="M96" s="184"/>
      <c r="N96" s="183"/>
      <c r="O96" s="185">
        <f t="shared" si="10"/>
        <v>0</v>
      </c>
      <c r="P96" s="186"/>
      <c r="Q96" s="187"/>
      <c r="R96" s="188"/>
      <c r="S96" s="189"/>
      <c r="T96" s="190" t="str">
        <f t="shared" si="11"/>
        <v/>
      </c>
      <c r="U96" s="191" t="str">
        <f t="shared" si="12"/>
        <v/>
      </c>
      <c r="V96" s="192" t="str">
        <f t="shared" si="13"/>
        <v/>
      </c>
      <c r="W96" s="624"/>
    </row>
    <row r="97" spans="2:23" ht="12.95" hidden="1" customHeight="1" outlineLevel="1">
      <c r="B97" s="893"/>
      <c r="C97" s="197"/>
      <c r="D97" s="178"/>
      <c r="E97" s="196"/>
      <c r="F97" s="414"/>
      <c r="G97" s="181"/>
      <c r="H97" s="182"/>
      <c r="I97" s="352" t="str">
        <f t="shared" si="8"/>
        <v/>
      </c>
      <c r="J97" s="511" t="str">
        <f t="shared" si="9"/>
        <v/>
      </c>
      <c r="K97" s="183"/>
      <c r="L97" s="183"/>
      <c r="M97" s="184"/>
      <c r="N97" s="183"/>
      <c r="O97" s="185">
        <f t="shared" si="10"/>
        <v>0</v>
      </c>
      <c r="P97" s="186"/>
      <c r="Q97" s="187"/>
      <c r="R97" s="188"/>
      <c r="S97" s="189"/>
      <c r="T97" s="190" t="str">
        <f t="shared" si="11"/>
        <v/>
      </c>
      <c r="U97" s="191" t="str">
        <f t="shared" si="12"/>
        <v/>
      </c>
      <c r="V97" s="192" t="str">
        <f t="shared" si="13"/>
        <v/>
      </c>
      <c r="W97" s="624"/>
    </row>
    <row r="98" spans="2:23" ht="12.95" hidden="1" customHeight="1" outlineLevel="1">
      <c r="B98" s="893"/>
      <c r="C98" s="195"/>
      <c r="D98" s="178"/>
      <c r="E98" s="196"/>
      <c r="F98" s="414"/>
      <c r="G98" s="198"/>
      <c r="H98" s="182"/>
      <c r="I98" s="352" t="str">
        <f t="shared" si="8"/>
        <v/>
      </c>
      <c r="J98" s="511" t="str">
        <f t="shared" si="9"/>
        <v/>
      </c>
      <c r="K98" s="183"/>
      <c r="L98" s="183"/>
      <c r="M98" s="184"/>
      <c r="N98" s="183"/>
      <c r="O98" s="185">
        <f t="shared" si="10"/>
        <v>0</v>
      </c>
      <c r="P98" s="186"/>
      <c r="Q98" s="187"/>
      <c r="R98" s="188"/>
      <c r="S98" s="189"/>
      <c r="T98" s="190" t="str">
        <f t="shared" si="11"/>
        <v/>
      </c>
      <c r="U98" s="191" t="str">
        <f t="shared" si="12"/>
        <v/>
      </c>
      <c r="V98" s="192" t="str">
        <f t="shared" si="13"/>
        <v/>
      </c>
      <c r="W98" s="624"/>
    </row>
    <row r="99" spans="2:23" ht="12.95" hidden="1" customHeight="1" outlineLevel="1">
      <c r="B99" s="893"/>
      <c r="C99" s="197"/>
      <c r="D99" s="178"/>
      <c r="E99" s="196"/>
      <c r="F99" s="414"/>
      <c r="G99" s="181"/>
      <c r="H99" s="182"/>
      <c r="I99" s="352" t="str">
        <f t="shared" si="8"/>
        <v/>
      </c>
      <c r="J99" s="511" t="str">
        <f t="shared" si="9"/>
        <v/>
      </c>
      <c r="K99" s="183"/>
      <c r="L99" s="183"/>
      <c r="M99" s="184"/>
      <c r="N99" s="183"/>
      <c r="O99" s="185">
        <f t="shared" si="10"/>
        <v>0</v>
      </c>
      <c r="P99" s="186"/>
      <c r="Q99" s="187"/>
      <c r="R99" s="188"/>
      <c r="S99" s="189"/>
      <c r="T99" s="190" t="str">
        <f t="shared" si="11"/>
        <v/>
      </c>
      <c r="U99" s="191" t="str">
        <f t="shared" si="12"/>
        <v/>
      </c>
      <c r="V99" s="192" t="str">
        <f t="shared" si="13"/>
        <v/>
      </c>
      <c r="W99" s="624"/>
    </row>
    <row r="100" spans="2:23" ht="12.95" hidden="1" customHeight="1" outlineLevel="1">
      <c r="B100" s="893"/>
      <c r="C100" s="197"/>
      <c r="D100" s="178"/>
      <c r="E100" s="196"/>
      <c r="F100" s="414"/>
      <c r="G100" s="181"/>
      <c r="H100" s="182"/>
      <c r="I100" s="352" t="str">
        <f t="shared" si="8"/>
        <v/>
      </c>
      <c r="J100" s="511" t="str">
        <f t="shared" si="9"/>
        <v/>
      </c>
      <c r="K100" s="183"/>
      <c r="L100" s="183"/>
      <c r="M100" s="184"/>
      <c r="N100" s="183"/>
      <c r="O100" s="185">
        <f t="shared" si="10"/>
        <v>0</v>
      </c>
      <c r="P100" s="186"/>
      <c r="Q100" s="187"/>
      <c r="R100" s="188"/>
      <c r="S100" s="189"/>
      <c r="T100" s="190" t="str">
        <f t="shared" si="11"/>
        <v/>
      </c>
      <c r="U100" s="191" t="str">
        <f t="shared" si="12"/>
        <v/>
      </c>
      <c r="V100" s="192" t="str">
        <f t="shared" si="13"/>
        <v/>
      </c>
      <c r="W100" s="624"/>
    </row>
    <row r="101" spans="2:23" ht="12.95" hidden="1" customHeight="1" outlineLevel="1">
      <c r="B101" s="893"/>
      <c r="C101" s="193"/>
      <c r="D101" s="178"/>
      <c r="E101" s="194"/>
      <c r="F101" s="414"/>
      <c r="G101" s="181"/>
      <c r="H101" s="182"/>
      <c r="I101" s="352" t="str">
        <f t="shared" si="8"/>
        <v/>
      </c>
      <c r="J101" s="511" t="str">
        <f t="shared" si="9"/>
        <v/>
      </c>
      <c r="K101" s="183"/>
      <c r="L101" s="183"/>
      <c r="M101" s="184"/>
      <c r="N101" s="183"/>
      <c r="O101" s="185">
        <f t="shared" si="10"/>
        <v>0</v>
      </c>
      <c r="P101" s="186"/>
      <c r="Q101" s="187"/>
      <c r="R101" s="188"/>
      <c r="S101" s="189"/>
      <c r="T101" s="190" t="str">
        <f t="shared" si="11"/>
        <v/>
      </c>
      <c r="U101" s="191" t="str">
        <f t="shared" si="12"/>
        <v/>
      </c>
      <c r="V101" s="192" t="str">
        <f t="shared" si="13"/>
        <v/>
      </c>
      <c r="W101" s="624"/>
    </row>
    <row r="102" spans="2:23" ht="12.95" hidden="1" customHeight="1" outlineLevel="1">
      <c r="B102" s="893"/>
      <c r="C102" s="197"/>
      <c r="D102" s="178"/>
      <c r="E102" s="196"/>
      <c r="F102" s="414"/>
      <c r="G102" s="181"/>
      <c r="H102" s="182"/>
      <c r="I102" s="352" t="str">
        <f t="shared" si="8"/>
        <v/>
      </c>
      <c r="J102" s="511" t="str">
        <f t="shared" si="9"/>
        <v/>
      </c>
      <c r="K102" s="183"/>
      <c r="L102" s="183"/>
      <c r="M102" s="184"/>
      <c r="N102" s="183"/>
      <c r="O102" s="185">
        <f t="shared" si="10"/>
        <v>0</v>
      </c>
      <c r="P102" s="186"/>
      <c r="Q102" s="187"/>
      <c r="R102" s="188"/>
      <c r="S102" s="189"/>
      <c r="T102" s="190" t="str">
        <f t="shared" si="11"/>
        <v/>
      </c>
      <c r="U102" s="191" t="str">
        <f t="shared" si="12"/>
        <v/>
      </c>
      <c r="V102" s="192" t="str">
        <f t="shared" si="13"/>
        <v/>
      </c>
      <c r="W102" s="624"/>
    </row>
    <row r="103" spans="2:23" ht="12.95" hidden="1" customHeight="1" outlineLevel="1">
      <c r="B103" s="893"/>
      <c r="C103" s="197"/>
      <c r="D103" s="178"/>
      <c r="E103" s="196"/>
      <c r="F103" s="414"/>
      <c r="G103" s="181"/>
      <c r="H103" s="182"/>
      <c r="I103" s="352" t="str">
        <f t="shared" si="8"/>
        <v/>
      </c>
      <c r="J103" s="511" t="str">
        <f t="shared" si="9"/>
        <v/>
      </c>
      <c r="K103" s="183"/>
      <c r="L103" s="183"/>
      <c r="M103" s="184"/>
      <c r="N103" s="183"/>
      <c r="O103" s="185">
        <f t="shared" si="10"/>
        <v>0</v>
      </c>
      <c r="P103" s="186"/>
      <c r="Q103" s="187"/>
      <c r="R103" s="188"/>
      <c r="S103" s="189"/>
      <c r="T103" s="190" t="str">
        <f t="shared" si="11"/>
        <v/>
      </c>
      <c r="U103" s="191" t="str">
        <f t="shared" si="12"/>
        <v/>
      </c>
      <c r="V103" s="192" t="str">
        <f t="shared" si="13"/>
        <v/>
      </c>
      <c r="W103" s="624"/>
    </row>
    <row r="104" spans="2:23" ht="12.95" hidden="1" customHeight="1" outlineLevel="1">
      <c r="B104" s="893"/>
      <c r="C104" s="197"/>
      <c r="D104" s="178"/>
      <c r="E104" s="196"/>
      <c r="F104" s="414"/>
      <c r="G104" s="181"/>
      <c r="H104" s="182"/>
      <c r="I104" s="352" t="str">
        <f t="shared" si="8"/>
        <v/>
      </c>
      <c r="J104" s="511" t="str">
        <f t="shared" si="9"/>
        <v/>
      </c>
      <c r="K104" s="183"/>
      <c r="L104" s="183"/>
      <c r="M104" s="184"/>
      <c r="N104" s="183"/>
      <c r="O104" s="185">
        <f t="shared" si="10"/>
        <v>0</v>
      </c>
      <c r="P104" s="186"/>
      <c r="Q104" s="187"/>
      <c r="R104" s="188"/>
      <c r="S104" s="189"/>
      <c r="T104" s="190" t="str">
        <f t="shared" si="11"/>
        <v/>
      </c>
      <c r="U104" s="191" t="str">
        <f t="shared" si="12"/>
        <v/>
      </c>
      <c r="V104" s="192" t="str">
        <f t="shared" si="13"/>
        <v/>
      </c>
      <c r="W104" s="624"/>
    </row>
    <row r="105" spans="2:23" ht="12.95" hidden="1" customHeight="1" outlineLevel="1">
      <c r="B105" s="893"/>
      <c r="C105" s="197"/>
      <c r="D105" s="178"/>
      <c r="E105" s="196"/>
      <c r="F105" s="414"/>
      <c r="G105" s="181"/>
      <c r="H105" s="182"/>
      <c r="I105" s="352" t="str">
        <f t="shared" si="8"/>
        <v/>
      </c>
      <c r="J105" s="511" t="str">
        <f t="shared" si="9"/>
        <v/>
      </c>
      <c r="K105" s="183"/>
      <c r="L105" s="183"/>
      <c r="M105" s="184"/>
      <c r="N105" s="183"/>
      <c r="O105" s="185">
        <f t="shared" si="10"/>
        <v>0</v>
      </c>
      <c r="P105" s="186"/>
      <c r="Q105" s="187"/>
      <c r="R105" s="188"/>
      <c r="S105" s="189"/>
      <c r="T105" s="190" t="str">
        <f t="shared" si="11"/>
        <v/>
      </c>
      <c r="U105" s="191" t="str">
        <f t="shared" si="12"/>
        <v/>
      </c>
      <c r="V105" s="192" t="str">
        <f t="shared" si="13"/>
        <v/>
      </c>
      <c r="W105" s="624"/>
    </row>
    <row r="106" spans="2:23" ht="12.95" hidden="1" customHeight="1" outlineLevel="1">
      <c r="B106" s="893"/>
      <c r="C106" s="197"/>
      <c r="D106" s="178"/>
      <c r="E106" s="196"/>
      <c r="F106" s="414"/>
      <c r="G106" s="181"/>
      <c r="H106" s="182"/>
      <c r="I106" s="352" t="str">
        <f t="shared" si="8"/>
        <v/>
      </c>
      <c r="J106" s="511" t="str">
        <f t="shared" si="9"/>
        <v/>
      </c>
      <c r="K106" s="183"/>
      <c r="L106" s="183"/>
      <c r="M106" s="184"/>
      <c r="N106" s="183"/>
      <c r="O106" s="185">
        <f t="shared" si="10"/>
        <v>0</v>
      </c>
      <c r="P106" s="186"/>
      <c r="Q106" s="187"/>
      <c r="R106" s="188"/>
      <c r="S106" s="189"/>
      <c r="T106" s="190" t="str">
        <f t="shared" si="11"/>
        <v/>
      </c>
      <c r="U106" s="191" t="str">
        <f t="shared" si="12"/>
        <v/>
      </c>
      <c r="V106" s="192" t="str">
        <f t="shared" si="13"/>
        <v/>
      </c>
      <c r="W106" s="624"/>
    </row>
    <row r="107" spans="2:23" ht="12.95" hidden="1" customHeight="1" outlineLevel="1">
      <c r="B107" s="893"/>
      <c r="C107" s="195"/>
      <c r="D107" s="178"/>
      <c r="E107" s="196"/>
      <c r="F107" s="414"/>
      <c r="G107" s="181"/>
      <c r="H107" s="182"/>
      <c r="I107" s="352" t="str">
        <f t="shared" si="8"/>
        <v/>
      </c>
      <c r="J107" s="511" t="str">
        <f t="shared" si="9"/>
        <v/>
      </c>
      <c r="K107" s="183"/>
      <c r="L107" s="183"/>
      <c r="M107" s="184"/>
      <c r="N107" s="183"/>
      <c r="O107" s="185">
        <f t="shared" si="10"/>
        <v>0</v>
      </c>
      <c r="P107" s="186"/>
      <c r="Q107" s="187"/>
      <c r="R107" s="188"/>
      <c r="S107" s="189"/>
      <c r="T107" s="190" t="str">
        <f t="shared" si="11"/>
        <v/>
      </c>
      <c r="U107" s="191" t="str">
        <f t="shared" si="12"/>
        <v/>
      </c>
      <c r="V107" s="192" t="str">
        <f t="shared" si="13"/>
        <v/>
      </c>
      <c r="W107" s="624"/>
    </row>
    <row r="108" spans="2:23" ht="12.95" hidden="1" customHeight="1" outlineLevel="1" thickBot="1">
      <c r="B108" s="893"/>
      <c r="C108" s="259"/>
      <c r="D108" s="235"/>
      <c r="E108" s="236"/>
      <c r="F108" s="415"/>
      <c r="G108" s="237"/>
      <c r="H108" s="238"/>
      <c r="I108" s="353" t="str">
        <f t="shared" si="8"/>
        <v/>
      </c>
      <c r="J108" s="512" t="str">
        <f t="shared" si="9"/>
        <v/>
      </c>
      <c r="K108" s="239"/>
      <c r="L108" s="239"/>
      <c r="M108" s="240"/>
      <c r="N108" s="239"/>
      <c r="O108" s="241">
        <f t="shared" si="10"/>
        <v>0</v>
      </c>
      <c r="P108" s="242"/>
      <c r="Q108" s="243"/>
      <c r="R108" s="244"/>
      <c r="S108" s="245"/>
      <c r="T108" s="246" t="str">
        <f t="shared" si="11"/>
        <v/>
      </c>
      <c r="U108" s="247" t="str">
        <f t="shared" si="12"/>
        <v/>
      </c>
      <c r="V108" s="248" t="str">
        <f t="shared" si="13"/>
        <v/>
      </c>
      <c r="W108" s="629"/>
    </row>
    <row r="109" spans="2:23" ht="12.95" customHeight="1" collapsed="1" thickBot="1">
      <c r="B109" s="894"/>
      <c r="C109" s="327" t="s">
        <v>288</v>
      </c>
      <c r="D109" s="234"/>
      <c r="E109" s="328"/>
      <c r="F109" s="416"/>
      <c r="G109" s="329"/>
      <c r="H109" s="330"/>
      <c r="I109" s="339"/>
      <c r="J109" s="509">
        <f>SUM(J72:J108)</f>
        <v>15989</v>
      </c>
      <c r="K109" s="331"/>
      <c r="L109" s="331"/>
      <c r="M109" s="332"/>
      <c r="N109" s="331"/>
      <c r="O109" s="333"/>
      <c r="P109" s="334"/>
      <c r="Q109" s="335"/>
      <c r="R109" s="336"/>
      <c r="S109" s="337"/>
      <c r="T109" s="338"/>
      <c r="U109" s="339"/>
      <c r="V109" s="340"/>
      <c r="W109" s="626"/>
    </row>
    <row r="110" spans="2:23" ht="12.95" customHeight="1">
      <c r="B110" s="892" t="s">
        <v>397</v>
      </c>
      <c r="C110" s="219"/>
      <c r="D110" s="220"/>
      <c r="E110" s="408"/>
      <c r="F110" s="413"/>
      <c r="G110" s="222"/>
      <c r="H110" s="223"/>
      <c r="I110" s="350" t="str">
        <f t="shared" ref="I110:I115" si="14">IF(C110=0,"",D110*1/G110*H110)</f>
        <v/>
      </c>
      <c r="J110" s="510" t="str">
        <f t="shared" ref="J110:J115" si="15">IF(C110=0,"",ROUND(F110*I110,0))</f>
        <v/>
      </c>
      <c r="K110" s="224"/>
      <c r="L110" s="224"/>
      <c r="M110" s="225"/>
      <c r="N110" s="224"/>
      <c r="O110" s="226">
        <f t="shared" ref="O110:O115" si="16">IF(K110*L110*N110=0,0,(L110*N110)/K110)</f>
        <v>0</v>
      </c>
      <c r="P110" s="227"/>
      <c r="Q110" s="228"/>
      <c r="R110" s="229"/>
      <c r="S110" s="230"/>
      <c r="T110" s="231" t="str">
        <f t="shared" ref="T110:V115" si="17">IF(Q110="","",Q110*$D110)</f>
        <v/>
      </c>
      <c r="U110" s="232" t="str">
        <f t="shared" si="17"/>
        <v/>
      </c>
      <c r="V110" s="233" t="str">
        <f t="shared" si="17"/>
        <v/>
      </c>
      <c r="W110" s="627"/>
    </row>
    <row r="111" spans="2:23" ht="12.95" customHeight="1">
      <c r="B111" s="893"/>
      <c r="C111" s="175"/>
      <c r="D111" s="178"/>
      <c r="E111" s="194"/>
      <c r="F111" s="414"/>
      <c r="G111" s="181"/>
      <c r="H111" s="182"/>
      <c r="I111" s="352" t="str">
        <f t="shared" si="14"/>
        <v/>
      </c>
      <c r="J111" s="511" t="str">
        <f t="shared" si="15"/>
        <v/>
      </c>
      <c r="K111" s="183"/>
      <c r="L111" s="183"/>
      <c r="M111" s="184"/>
      <c r="N111" s="183"/>
      <c r="O111" s="185">
        <f t="shared" si="16"/>
        <v>0</v>
      </c>
      <c r="P111" s="186"/>
      <c r="Q111" s="187"/>
      <c r="R111" s="188"/>
      <c r="S111" s="189"/>
      <c r="T111" s="190" t="str">
        <f t="shared" si="17"/>
        <v/>
      </c>
      <c r="U111" s="191" t="str">
        <f t="shared" si="17"/>
        <v/>
      </c>
      <c r="V111" s="192" t="str">
        <f t="shared" si="17"/>
        <v/>
      </c>
      <c r="W111" s="630"/>
    </row>
    <row r="112" spans="2:23" ht="12.95" customHeight="1">
      <c r="B112" s="893"/>
      <c r="C112" s="195"/>
      <c r="D112" s="178"/>
      <c r="E112" s="196"/>
      <c r="F112" s="414"/>
      <c r="G112" s="181"/>
      <c r="H112" s="182"/>
      <c r="I112" s="352" t="str">
        <f t="shared" si="14"/>
        <v/>
      </c>
      <c r="J112" s="511" t="str">
        <f t="shared" si="15"/>
        <v/>
      </c>
      <c r="K112" s="183"/>
      <c r="L112" s="183"/>
      <c r="M112" s="184"/>
      <c r="N112" s="183"/>
      <c r="O112" s="185">
        <f t="shared" si="16"/>
        <v>0</v>
      </c>
      <c r="P112" s="186"/>
      <c r="Q112" s="187"/>
      <c r="R112" s="188"/>
      <c r="S112" s="189"/>
      <c r="T112" s="190" t="str">
        <f t="shared" si="17"/>
        <v/>
      </c>
      <c r="U112" s="191" t="str">
        <f t="shared" si="17"/>
        <v/>
      </c>
      <c r="V112" s="192" t="str">
        <f t="shared" si="17"/>
        <v/>
      </c>
      <c r="W112" s="630"/>
    </row>
    <row r="113" spans="2:23" ht="12.95" customHeight="1">
      <c r="B113" s="893"/>
      <c r="C113" s="195"/>
      <c r="D113" s="178"/>
      <c r="E113" s="196"/>
      <c r="F113" s="414"/>
      <c r="G113" s="181"/>
      <c r="H113" s="182"/>
      <c r="I113" s="352" t="str">
        <f t="shared" si="14"/>
        <v/>
      </c>
      <c r="J113" s="511" t="str">
        <f t="shared" si="15"/>
        <v/>
      </c>
      <c r="K113" s="183"/>
      <c r="L113" s="183"/>
      <c r="M113" s="184"/>
      <c r="N113" s="183"/>
      <c r="O113" s="185">
        <f t="shared" si="16"/>
        <v>0</v>
      </c>
      <c r="P113" s="186"/>
      <c r="Q113" s="187"/>
      <c r="R113" s="188"/>
      <c r="S113" s="189"/>
      <c r="T113" s="190" t="str">
        <f t="shared" si="17"/>
        <v/>
      </c>
      <c r="U113" s="191" t="str">
        <f t="shared" si="17"/>
        <v/>
      </c>
      <c r="V113" s="192" t="str">
        <f t="shared" si="17"/>
        <v/>
      </c>
      <c r="W113" s="630"/>
    </row>
    <row r="114" spans="2:23" ht="12.95" customHeight="1">
      <c r="B114" s="893"/>
      <c r="C114" s="197"/>
      <c r="D114" s="178"/>
      <c r="E114" s="196"/>
      <c r="F114" s="414"/>
      <c r="G114" s="181"/>
      <c r="H114" s="182"/>
      <c r="I114" s="352" t="str">
        <f t="shared" si="14"/>
        <v/>
      </c>
      <c r="J114" s="511" t="str">
        <f t="shared" si="15"/>
        <v/>
      </c>
      <c r="K114" s="183"/>
      <c r="L114" s="183"/>
      <c r="M114" s="184"/>
      <c r="N114" s="183"/>
      <c r="O114" s="185">
        <f t="shared" si="16"/>
        <v>0</v>
      </c>
      <c r="P114" s="186"/>
      <c r="Q114" s="187"/>
      <c r="R114" s="188"/>
      <c r="S114" s="189"/>
      <c r="T114" s="190" t="str">
        <f t="shared" si="17"/>
        <v/>
      </c>
      <c r="U114" s="191" t="str">
        <f t="shared" si="17"/>
        <v/>
      </c>
      <c r="V114" s="192" t="str">
        <f t="shared" si="17"/>
        <v/>
      </c>
      <c r="W114" s="630"/>
    </row>
    <row r="115" spans="2:23" ht="12.95" customHeight="1" thickBot="1">
      <c r="B115" s="893"/>
      <c r="C115" s="258"/>
      <c r="D115" s="235"/>
      <c r="E115" s="255"/>
      <c r="F115" s="415"/>
      <c r="G115" s="237"/>
      <c r="H115" s="238"/>
      <c r="I115" s="353" t="str">
        <f t="shared" si="14"/>
        <v/>
      </c>
      <c r="J115" s="512" t="str">
        <f t="shared" si="15"/>
        <v/>
      </c>
      <c r="K115" s="239"/>
      <c r="L115" s="239"/>
      <c r="M115" s="240"/>
      <c r="N115" s="239"/>
      <c r="O115" s="241">
        <f t="shared" si="16"/>
        <v>0</v>
      </c>
      <c r="P115" s="242"/>
      <c r="Q115" s="243"/>
      <c r="R115" s="244"/>
      <c r="S115" s="245"/>
      <c r="T115" s="246" t="str">
        <f t="shared" si="17"/>
        <v/>
      </c>
      <c r="U115" s="247" t="str">
        <f t="shared" si="17"/>
        <v/>
      </c>
      <c r="V115" s="248" t="str">
        <f t="shared" si="17"/>
        <v/>
      </c>
      <c r="W115" s="629"/>
    </row>
    <row r="116" spans="2:23" ht="12.95" customHeight="1" thickTop="1" thickBot="1">
      <c r="B116" s="894"/>
      <c r="C116" s="327" t="s">
        <v>288</v>
      </c>
      <c r="D116" s="234"/>
      <c r="E116" s="328"/>
      <c r="F116" s="416"/>
      <c r="G116" s="329"/>
      <c r="H116" s="330"/>
      <c r="I116" s="339"/>
      <c r="J116" s="509">
        <f>SUM(J110:J115)</f>
        <v>0</v>
      </c>
      <c r="K116" s="331"/>
      <c r="L116" s="331"/>
      <c r="M116" s="332"/>
      <c r="N116" s="331"/>
      <c r="O116" s="333"/>
      <c r="P116" s="334"/>
      <c r="Q116" s="335"/>
      <c r="R116" s="336"/>
      <c r="S116" s="337"/>
      <c r="T116" s="338"/>
      <c r="U116" s="339"/>
      <c r="V116" s="340"/>
      <c r="W116" s="626"/>
    </row>
    <row r="117" spans="2:23" ht="12.95" customHeight="1">
      <c r="B117" s="895" t="s">
        <v>421</v>
      </c>
      <c r="C117" s="256" t="s">
        <v>799</v>
      </c>
      <c r="D117" s="220">
        <v>0.5</v>
      </c>
      <c r="E117" s="257" t="s">
        <v>840</v>
      </c>
      <c r="F117" s="413">
        <v>1700</v>
      </c>
      <c r="G117" s="222">
        <v>1</v>
      </c>
      <c r="H117" s="223">
        <v>1</v>
      </c>
      <c r="I117" s="350">
        <f>IF(C117=0,"",D117*1/G117*H117)</f>
        <v>0.5</v>
      </c>
      <c r="J117" s="510">
        <f>IF(C117=0,"",ROUND(F117*I117,0))</f>
        <v>850</v>
      </c>
      <c r="K117" s="224"/>
      <c r="L117" s="224"/>
      <c r="M117" s="225"/>
      <c r="N117" s="224"/>
      <c r="O117" s="226">
        <f>IF(K117*L117*N117=0,0,(L117*N117)/K117)</f>
        <v>0</v>
      </c>
      <c r="P117" s="227"/>
      <c r="Q117" s="228"/>
      <c r="R117" s="229"/>
      <c r="S117" s="230"/>
      <c r="T117" s="231" t="str">
        <f t="shared" ref="T117:V118" si="18">IF(Q117="","",Q117*$D117)</f>
        <v/>
      </c>
      <c r="U117" s="232" t="str">
        <f t="shared" si="18"/>
        <v/>
      </c>
      <c r="V117" s="233" t="str">
        <f t="shared" si="18"/>
        <v/>
      </c>
      <c r="W117" s="627" t="s">
        <v>797</v>
      </c>
    </row>
    <row r="118" spans="2:23" ht="12.95" customHeight="1">
      <c r="B118" s="896"/>
      <c r="C118" s="197"/>
      <c r="D118" s="180"/>
      <c r="E118" s="196"/>
      <c r="F118" s="414"/>
      <c r="G118" s="181"/>
      <c r="H118" s="182"/>
      <c r="I118" s="352" t="str">
        <f>IF(C118=0,"",D118*1/G118*H118)</f>
        <v/>
      </c>
      <c r="J118" s="511" t="str">
        <f>IF(C118=0,"",ROUND(F118*I118,0))</f>
        <v/>
      </c>
      <c r="K118" s="183"/>
      <c r="L118" s="183"/>
      <c r="M118" s="184"/>
      <c r="N118" s="183"/>
      <c r="O118" s="185">
        <f>IF(K118*L118*N118=0,0,(L118*N118)/K118)</f>
        <v>0</v>
      </c>
      <c r="P118" s="186"/>
      <c r="Q118" s="187"/>
      <c r="R118" s="188"/>
      <c r="S118" s="189"/>
      <c r="T118" s="190" t="str">
        <f t="shared" si="18"/>
        <v/>
      </c>
      <c r="U118" s="191" t="str">
        <f t="shared" si="18"/>
        <v/>
      </c>
      <c r="V118" s="192" t="str">
        <f t="shared" si="18"/>
        <v/>
      </c>
      <c r="W118" s="630"/>
    </row>
    <row r="119" spans="2:23" ht="12.95" customHeight="1">
      <c r="B119" s="896"/>
      <c r="C119" s="197"/>
      <c r="D119" s="178"/>
      <c r="E119" s="196"/>
      <c r="F119" s="414"/>
      <c r="G119" s="181"/>
      <c r="H119" s="182"/>
      <c r="I119" s="352" t="str">
        <f>IF(C119=0,"",D119*1/G119*H119)</f>
        <v/>
      </c>
      <c r="J119" s="511" t="str">
        <f>IF(C119=0,"",ROUND(F119*I119,0))</f>
        <v/>
      </c>
      <c r="K119" s="183"/>
      <c r="L119" s="183"/>
      <c r="M119" s="184"/>
      <c r="N119" s="183"/>
      <c r="O119" s="185"/>
      <c r="P119" s="186"/>
      <c r="Q119" s="187"/>
      <c r="R119" s="188"/>
      <c r="S119" s="189"/>
      <c r="T119" s="190"/>
      <c r="U119" s="191"/>
      <c r="V119" s="192"/>
      <c r="W119" s="630"/>
    </row>
    <row r="120" spans="2:23" ht="12.95" customHeight="1" thickBot="1">
      <c r="B120" s="896"/>
      <c r="C120" s="258"/>
      <c r="D120" s="235"/>
      <c r="E120" s="255"/>
      <c r="F120" s="415"/>
      <c r="G120" s="237"/>
      <c r="H120" s="238"/>
      <c r="I120" s="353" t="str">
        <f>IF(C120=0,"",D120*1/G120*H120)</f>
        <v/>
      </c>
      <c r="J120" s="512" t="str">
        <f>IF(C120=0,"",ROUND(F120*I120,0))</f>
        <v/>
      </c>
      <c r="K120" s="239"/>
      <c r="L120" s="239"/>
      <c r="M120" s="240"/>
      <c r="N120" s="239"/>
      <c r="O120" s="241">
        <f>IF(K120*L120*N120=0,0,(L120*N120)/K120)</f>
        <v>0</v>
      </c>
      <c r="P120" s="242"/>
      <c r="Q120" s="243"/>
      <c r="R120" s="244"/>
      <c r="S120" s="245"/>
      <c r="T120" s="246" t="str">
        <f>IF(Q120="","",Q120*$D120)</f>
        <v/>
      </c>
      <c r="U120" s="247" t="str">
        <f>IF(R120="","",R120*$D120)</f>
        <v/>
      </c>
      <c r="V120" s="248" t="str">
        <f>IF(S120="","",S120*$D120)</f>
        <v/>
      </c>
      <c r="W120" s="629"/>
    </row>
    <row r="121" spans="2:23" ht="12.95" customHeight="1" thickTop="1" thickBot="1">
      <c r="B121" s="897"/>
      <c r="C121" s="327" t="s">
        <v>288</v>
      </c>
      <c r="D121" s="234"/>
      <c r="E121" s="328"/>
      <c r="F121" s="416"/>
      <c r="G121" s="329"/>
      <c r="H121" s="330"/>
      <c r="I121" s="339"/>
      <c r="J121" s="509">
        <f>SUM(J117:J120)</f>
        <v>850</v>
      </c>
      <c r="K121" s="331"/>
      <c r="L121" s="331"/>
      <c r="M121" s="332"/>
      <c r="N121" s="331"/>
      <c r="O121" s="333"/>
      <c r="P121" s="334"/>
      <c r="Q121" s="335"/>
      <c r="R121" s="336"/>
      <c r="S121" s="337"/>
      <c r="T121" s="338"/>
      <c r="U121" s="339"/>
      <c r="V121" s="340"/>
      <c r="W121" s="626"/>
    </row>
    <row r="122" spans="2:23" ht="12.95" customHeight="1">
      <c r="B122" s="895" t="s">
        <v>423</v>
      </c>
      <c r="C122" s="256" t="s">
        <v>457</v>
      </c>
      <c r="D122" s="220">
        <v>0.1</v>
      </c>
      <c r="E122" s="257" t="s">
        <v>454</v>
      </c>
      <c r="F122" s="413">
        <v>5000</v>
      </c>
      <c r="G122" s="222">
        <v>1</v>
      </c>
      <c r="H122" s="223">
        <v>1</v>
      </c>
      <c r="I122" s="350">
        <f t="shared" ref="I122:I127" si="19">IF(C122=0,"",D122*1/G122*H122)</f>
        <v>0.1</v>
      </c>
      <c r="J122" s="510">
        <f t="shared" ref="J122:J127" si="20">IF(C122=0,"",ROUND(F122*I122,0))</f>
        <v>500</v>
      </c>
      <c r="K122" s="224"/>
      <c r="L122" s="224"/>
      <c r="M122" s="225"/>
      <c r="N122" s="224"/>
      <c r="O122" s="226">
        <f>IF(K122*L122*N122=0,0,(L122*N122)/K122)</f>
        <v>0</v>
      </c>
      <c r="P122" s="227"/>
      <c r="Q122" s="228"/>
      <c r="R122" s="229"/>
      <c r="S122" s="230"/>
      <c r="T122" s="231" t="str">
        <f t="shared" ref="T122:V125" si="21">IF(Q122="","",Q122*$D122)</f>
        <v/>
      </c>
      <c r="U122" s="232" t="str">
        <f t="shared" si="21"/>
        <v/>
      </c>
      <c r="V122" s="233" t="str">
        <f t="shared" si="21"/>
        <v/>
      </c>
      <c r="W122" s="627" t="s">
        <v>458</v>
      </c>
    </row>
    <row r="123" spans="2:23" ht="12.95" customHeight="1">
      <c r="B123" s="896"/>
      <c r="C123" s="197" t="s">
        <v>457</v>
      </c>
      <c r="D123" s="178">
        <v>0.1</v>
      </c>
      <c r="E123" s="196" t="s">
        <v>454</v>
      </c>
      <c r="F123" s="414">
        <v>5000</v>
      </c>
      <c r="G123" s="181">
        <v>1</v>
      </c>
      <c r="H123" s="182">
        <v>1</v>
      </c>
      <c r="I123" s="352">
        <f t="shared" si="19"/>
        <v>0.1</v>
      </c>
      <c r="J123" s="511">
        <f t="shared" si="20"/>
        <v>500</v>
      </c>
      <c r="K123" s="183"/>
      <c r="L123" s="183"/>
      <c r="M123" s="184"/>
      <c r="N123" s="183"/>
      <c r="O123" s="185">
        <f>IF(K123*L123*N123=0,0,(L123*N123)/K123)</f>
        <v>0</v>
      </c>
      <c r="P123" s="186"/>
      <c r="Q123" s="187"/>
      <c r="R123" s="188"/>
      <c r="S123" s="189"/>
      <c r="T123" s="190" t="str">
        <f t="shared" si="21"/>
        <v/>
      </c>
      <c r="U123" s="191" t="str">
        <f t="shared" si="21"/>
        <v/>
      </c>
      <c r="V123" s="192" t="str">
        <f t="shared" si="21"/>
        <v/>
      </c>
      <c r="W123" s="630" t="s">
        <v>458</v>
      </c>
    </row>
    <row r="124" spans="2:23" ht="12.95" customHeight="1">
      <c r="B124" s="896"/>
      <c r="C124" s="197" t="s">
        <v>520</v>
      </c>
      <c r="D124" s="178">
        <v>0.1</v>
      </c>
      <c r="E124" s="196" t="s">
        <v>454</v>
      </c>
      <c r="F124" s="414">
        <v>1500</v>
      </c>
      <c r="G124" s="181">
        <v>1</v>
      </c>
      <c r="H124" s="182">
        <v>1</v>
      </c>
      <c r="I124" s="352">
        <f>IF(C124=0,"",D124*1/G124*H124)</f>
        <v>0.1</v>
      </c>
      <c r="J124" s="511">
        <f>IF(C124=0,"",ROUND(F124*I124,0))</f>
        <v>150</v>
      </c>
      <c r="K124" s="183"/>
      <c r="L124" s="183"/>
      <c r="M124" s="184"/>
      <c r="N124" s="183"/>
      <c r="O124" s="185"/>
      <c r="P124" s="186"/>
      <c r="Q124" s="187"/>
      <c r="R124" s="188"/>
      <c r="S124" s="189"/>
      <c r="T124" s="190"/>
      <c r="U124" s="191"/>
      <c r="V124" s="192"/>
      <c r="W124" s="630" t="s">
        <v>522</v>
      </c>
    </row>
    <row r="125" spans="2:23" ht="12.95" customHeight="1">
      <c r="B125" s="896"/>
      <c r="C125" s="197" t="s">
        <v>521</v>
      </c>
      <c r="D125" s="741">
        <v>0.05</v>
      </c>
      <c r="E125" s="196" t="s">
        <v>686</v>
      </c>
      <c r="F125" s="414">
        <v>1600</v>
      </c>
      <c r="G125" s="181">
        <v>1</v>
      </c>
      <c r="H125" s="182">
        <v>1</v>
      </c>
      <c r="I125" s="352">
        <f t="shared" si="19"/>
        <v>0.05</v>
      </c>
      <c r="J125" s="511">
        <f t="shared" si="20"/>
        <v>80</v>
      </c>
      <c r="K125" s="183"/>
      <c r="L125" s="183"/>
      <c r="M125" s="184"/>
      <c r="N125" s="183"/>
      <c r="O125" s="185">
        <f>IF(K125*L125*N125=0,0,(L125*N125)/K125)</f>
        <v>0</v>
      </c>
      <c r="P125" s="186"/>
      <c r="Q125" s="187"/>
      <c r="R125" s="188"/>
      <c r="S125" s="189"/>
      <c r="T125" s="190" t="str">
        <f t="shared" si="21"/>
        <v/>
      </c>
      <c r="U125" s="191" t="str">
        <f t="shared" si="21"/>
        <v/>
      </c>
      <c r="V125" s="192" t="str">
        <f t="shared" si="21"/>
        <v/>
      </c>
      <c r="W125" s="630" t="s">
        <v>522</v>
      </c>
    </row>
    <row r="126" spans="2:23" ht="12.95" customHeight="1">
      <c r="B126" s="896"/>
      <c r="C126" s="197" t="s">
        <v>533</v>
      </c>
      <c r="D126" s="178">
        <v>0.1</v>
      </c>
      <c r="E126" s="196" t="s">
        <v>454</v>
      </c>
      <c r="F126" s="414">
        <v>2300</v>
      </c>
      <c r="G126" s="181">
        <v>1</v>
      </c>
      <c r="H126" s="182">
        <v>1</v>
      </c>
      <c r="I126" s="352">
        <f t="shared" si="19"/>
        <v>0.1</v>
      </c>
      <c r="J126" s="511">
        <f t="shared" si="20"/>
        <v>230</v>
      </c>
      <c r="K126" s="183"/>
      <c r="L126" s="183"/>
      <c r="M126" s="184"/>
      <c r="N126" s="183"/>
      <c r="O126" s="185"/>
      <c r="P126" s="186"/>
      <c r="Q126" s="187"/>
      <c r="R126" s="188"/>
      <c r="S126" s="189"/>
      <c r="T126" s="190"/>
      <c r="U126" s="191"/>
      <c r="V126" s="192"/>
      <c r="W126" s="630" t="s">
        <v>522</v>
      </c>
    </row>
    <row r="127" spans="2:23" ht="12.95" customHeight="1" thickBot="1">
      <c r="B127" s="896"/>
      <c r="C127" s="258" t="s">
        <v>802</v>
      </c>
      <c r="D127" s="235">
        <v>0.5</v>
      </c>
      <c r="E127" s="255" t="s">
        <v>840</v>
      </c>
      <c r="F127" s="415">
        <v>16700</v>
      </c>
      <c r="G127" s="237">
        <v>1</v>
      </c>
      <c r="H127" s="238">
        <v>1</v>
      </c>
      <c r="I127" s="353">
        <f t="shared" si="19"/>
        <v>0.5</v>
      </c>
      <c r="J127" s="512">
        <f t="shared" si="20"/>
        <v>8350</v>
      </c>
      <c r="K127" s="239"/>
      <c r="L127" s="239"/>
      <c r="M127" s="240"/>
      <c r="N127" s="239"/>
      <c r="O127" s="241">
        <f>IF(K127*L127*N127=0,0,(L127*N127)/K127)</f>
        <v>0</v>
      </c>
      <c r="P127" s="242"/>
      <c r="Q127" s="243"/>
      <c r="R127" s="244"/>
      <c r="S127" s="245"/>
      <c r="T127" s="246" t="str">
        <f>IF(Q127="","",Q127*$D127)</f>
        <v/>
      </c>
      <c r="U127" s="247" t="str">
        <f>IF(R127="","",R127*$D127)</f>
        <v/>
      </c>
      <c r="V127" s="248" t="str">
        <f>IF(S127="","",S127*$D127)</f>
        <v/>
      </c>
      <c r="W127" s="629" t="s">
        <v>854</v>
      </c>
    </row>
    <row r="128" spans="2:23" ht="12.95" customHeight="1" thickTop="1" thickBot="1">
      <c r="B128" s="897"/>
      <c r="C128" s="327" t="s">
        <v>288</v>
      </c>
      <c r="D128" s="234"/>
      <c r="E128" s="328"/>
      <c r="F128" s="416"/>
      <c r="G128" s="329"/>
      <c r="H128" s="330"/>
      <c r="I128" s="339"/>
      <c r="J128" s="509">
        <f>SUM(J122:J127)</f>
        <v>9810</v>
      </c>
      <c r="K128" s="331"/>
      <c r="L128" s="331"/>
      <c r="M128" s="332"/>
      <c r="N128" s="331"/>
      <c r="O128" s="333"/>
      <c r="P128" s="334"/>
      <c r="Q128" s="335"/>
      <c r="R128" s="336"/>
      <c r="S128" s="337"/>
      <c r="T128" s="338"/>
      <c r="U128" s="339"/>
      <c r="V128" s="340"/>
      <c r="W128" s="626"/>
    </row>
    <row r="129" spans="2:23" ht="12.95" customHeight="1">
      <c r="B129" s="895" t="s">
        <v>701</v>
      </c>
      <c r="C129" s="256" t="s">
        <v>702</v>
      </c>
      <c r="D129" s="220">
        <f>作業体系表!AN41</f>
        <v>23.932227684117432</v>
      </c>
      <c r="E129" s="257" t="s">
        <v>128</v>
      </c>
      <c r="F129" s="413">
        <v>962</v>
      </c>
      <c r="G129" s="222">
        <v>1</v>
      </c>
      <c r="H129" s="223">
        <v>1</v>
      </c>
      <c r="I129" s="350">
        <f>IF(C129=0,"",D129*1/G129*H129)</f>
        <v>23.932227684117432</v>
      </c>
      <c r="J129" s="510">
        <f>IF(C129=0,"",ROUND(F129*I129,0))</f>
        <v>23023</v>
      </c>
      <c r="K129" s="224"/>
      <c r="L129" s="224"/>
      <c r="M129" s="225"/>
      <c r="N129" s="224"/>
      <c r="O129" s="226">
        <f>IF(K129*L129*N129=0,0,(L129*N129)/K129)</f>
        <v>0</v>
      </c>
      <c r="P129" s="227"/>
      <c r="Q129" s="228"/>
      <c r="R129" s="229"/>
      <c r="S129" s="230"/>
      <c r="T129" s="231" t="str">
        <f t="shared" ref="T129:V131" si="22">IF(Q129="","",Q129*$D129)</f>
        <v/>
      </c>
      <c r="U129" s="232" t="str">
        <f t="shared" si="22"/>
        <v/>
      </c>
      <c r="V129" s="233" t="str">
        <f t="shared" si="22"/>
        <v/>
      </c>
      <c r="W129" s="655" t="s">
        <v>703</v>
      </c>
    </row>
    <row r="130" spans="2:23" ht="12.95" customHeight="1">
      <c r="B130" s="896"/>
      <c r="C130" s="197" t="s">
        <v>704</v>
      </c>
      <c r="D130" s="178">
        <f>作業体系表!AN42</f>
        <v>0</v>
      </c>
      <c r="E130" s="196" t="s">
        <v>128</v>
      </c>
      <c r="F130" s="414">
        <v>753</v>
      </c>
      <c r="G130" s="181">
        <v>1</v>
      </c>
      <c r="H130" s="182">
        <v>1</v>
      </c>
      <c r="I130" s="352">
        <f>IF(C130=0,"",D130*1/G130*H130)</f>
        <v>0</v>
      </c>
      <c r="J130" s="511">
        <f>IF(C130=0,"",ROUND(F130*I130,0))</f>
        <v>0</v>
      </c>
      <c r="K130" s="183"/>
      <c r="L130" s="183"/>
      <c r="M130" s="184"/>
      <c r="N130" s="183"/>
      <c r="O130" s="185">
        <f>IF(K130*L130*N130=0,0,(L130*N130)/K130)</f>
        <v>0</v>
      </c>
      <c r="P130" s="186"/>
      <c r="Q130" s="187"/>
      <c r="R130" s="188"/>
      <c r="S130" s="189"/>
      <c r="T130" s="190" t="str">
        <f t="shared" si="22"/>
        <v/>
      </c>
      <c r="U130" s="191" t="str">
        <f t="shared" si="22"/>
        <v/>
      </c>
      <c r="V130" s="192" t="str">
        <f t="shared" si="22"/>
        <v/>
      </c>
      <c r="W130" s="656" t="s">
        <v>805</v>
      </c>
    </row>
    <row r="131" spans="2:23" ht="12.95" customHeight="1">
      <c r="B131" s="896"/>
      <c r="C131" s="197"/>
      <c r="D131" s="178"/>
      <c r="E131" s="196"/>
      <c r="F131" s="414"/>
      <c r="G131" s="181"/>
      <c r="H131" s="182"/>
      <c r="I131" s="352" t="str">
        <f>IF(C131=0,"",D131*1/G131*H131)</f>
        <v/>
      </c>
      <c r="J131" s="511" t="str">
        <f>IF(C131=0,"",ROUND(F131*I131,0))</f>
        <v/>
      </c>
      <c r="K131" s="183"/>
      <c r="L131" s="183"/>
      <c r="M131" s="184"/>
      <c r="N131" s="183"/>
      <c r="O131" s="185">
        <f>IF(K131*L131*N131=0,0,(L131*N131)/K131)</f>
        <v>0</v>
      </c>
      <c r="P131" s="186"/>
      <c r="Q131" s="187"/>
      <c r="R131" s="188"/>
      <c r="S131" s="189"/>
      <c r="T131" s="190" t="str">
        <f t="shared" si="22"/>
        <v/>
      </c>
      <c r="U131" s="191" t="str">
        <f t="shared" si="22"/>
        <v/>
      </c>
      <c r="V131" s="192" t="str">
        <f t="shared" si="22"/>
        <v/>
      </c>
      <c r="W131" s="656"/>
    </row>
    <row r="132" spans="2:23" ht="12.95" customHeight="1">
      <c r="B132" s="896"/>
      <c r="C132" s="197"/>
      <c r="D132" s="178"/>
      <c r="E132" s="196"/>
      <c r="F132" s="414"/>
      <c r="G132" s="181"/>
      <c r="H132" s="182"/>
      <c r="I132" s="352" t="str">
        <f>IF(C132=0,"",D132*1/G132*H132)</f>
        <v/>
      </c>
      <c r="J132" s="511" t="str">
        <f>IF(C132=0,"",ROUND(F132*I132,0))</f>
        <v/>
      </c>
      <c r="K132" s="183"/>
      <c r="L132" s="183"/>
      <c r="M132" s="184"/>
      <c r="N132" s="183"/>
      <c r="O132" s="185"/>
      <c r="P132" s="186"/>
      <c r="Q132" s="187"/>
      <c r="R132" s="188"/>
      <c r="S132" s="189"/>
      <c r="T132" s="190"/>
      <c r="U132" s="191"/>
      <c r="V132" s="192"/>
      <c r="W132" s="656"/>
    </row>
    <row r="133" spans="2:23" ht="12.95" customHeight="1" thickBot="1">
      <c r="B133" s="896"/>
      <c r="C133" s="258"/>
      <c r="D133" s="235"/>
      <c r="E133" s="255"/>
      <c r="F133" s="415"/>
      <c r="G133" s="237"/>
      <c r="H133" s="238"/>
      <c r="I133" s="353" t="str">
        <f>IF(C133=0,"",D133*1/G133*H133)</f>
        <v/>
      </c>
      <c r="J133" s="512" t="str">
        <f>IF(C133=0,"",ROUND(F133*I133,0))</f>
        <v/>
      </c>
      <c r="K133" s="239"/>
      <c r="L133" s="239"/>
      <c r="M133" s="240"/>
      <c r="N133" s="239"/>
      <c r="O133" s="241">
        <f>IF(K133*L133*N133=0,0,(L133*N133)/K133)</f>
        <v>0</v>
      </c>
      <c r="P133" s="242"/>
      <c r="Q133" s="243"/>
      <c r="R133" s="244"/>
      <c r="S133" s="245"/>
      <c r="T133" s="246" t="str">
        <f>IF(Q133="","",Q133*$D133)</f>
        <v/>
      </c>
      <c r="U133" s="247" t="str">
        <f>IF(R133="","",R133*$D133)</f>
        <v/>
      </c>
      <c r="V133" s="248" t="str">
        <f>IF(S133="","",S133*$D133)</f>
        <v/>
      </c>
      <c r="W133" s="657"/>
    </row>
    <row r="134" spans="2:23" ht="12.95" customHeight="1" thickTop="1" thickBot="1">
      <c r="B134" s="897"/>
      <c r="C134" s="503" t="s">
        <v>288</v>
      </c>
      <c r="D134" s="234"/>
      <c r="E134" s="328"/>
      <c r="F134" s="416"/>
      <c r="G134" s="329"/>
      <c r="H134" s="330"/>
      <c r="I134" s="339"/>
      <c r="J134" s="509">
        <f>SUM(J129:J133)</f>
        <v>23023</v>
      </c>
      <c r="K134" s="331"/>
      <c r="L134" s="331"/>
      <c r="M134" s="332"/>
      <c r="N134" s="331"/>
      <c r="O134" s="333"/>
      <c r="P134" s="334"/>
      <c r="Q134" s="658"/>
      <c r="R134" s="336"/>
      <c r="S134" s="337"/>
      <c r="T134" s="659"/>
      <c r="U134" s="339"/>
      <c r="V134" s="340"/>
      <c r="W134" s="660"/>
    </row>
    <row r="135" spans="2:23" ht="12.95" customHeight="1">
      <c r="B135" s="892" t="s">
        <v>125</v>
      </c>
      <c r="C135" s="356" t="s">
        <v>437</v>
      </c>
      <c r="D135" s="220"/>
      <c r="E135" s="221"/>
      <c r="F135" s="413"/>
      <c r="G135" s="222"/>
      <c r="H135" s="223"/>
      <c r="I135" s="520">
        <f>IF(D135=0,0,D135*1/G135*H135)</f>
        <v>0</v>
      </c>
      <c r="J135" s="520">
        <f>IF(D135=0,0,ROUND(F135*I135,0))</f>
        <v>0</v>
      </c>
      <c r="K135" s="224"/>
      <c r="L135" s="224"/>
      <c r="M135" s="225"/>
      <c r="N135" s="224"/>
      <c r="O135" s="226">
        <v>0</v>
      </c>
      <c r="P135" s="227"/>
      <c r="Q135" s="228"/>
      <c r="R135" s="229"/>
      <c r="S135" s="230"/>
      <c r="T135" s="231" t="s">
        <v>287</v>
      </c>
      <c r="U135" s="232" t="s">
        <v>287</v>
      </c>
      <c r="V135" s="233" t="s">
        <v>287</v>
      </c>
      <c r="W135" s="627"/>
    </row>
    <row r="136" spans="2:23" ht="12.95" customHeight="1">
      <c r="B136" s="893"/>
      <c r="C136" s="357" t="s">
        <v>282</v>
      </c>
      <c r="D136" s="178">
        <v>0.1</v>
      </c>
      <c r="E136" s="179" t="s">
        <v>454</v>
      </c>
      <c r="F136" s="414">
        <v>5000</v>
      </c>
      <c r="G136" s="181">
        <v>1</v>
      </c>
      <c r="H136" s="182">
        <v>1</v>
      </c>
      <c r="I136" s="747">
        <f>IF(D136=0,0,D136*1/G136*H136)</f>
        <v>0.1</v>
      </c>
      <c r="J136" s="521">
        <f>IF(D136=0,0,ROUND(F136*I136,0))</f>
        <v>500</v>
      </c>
      <c r="K136" s="183"/>
      <c r="L136" s="183"/>
      <c r="M136" s="184"/>
      <c r="N136" s="183"/>
      <c r="O136" s="185">
        <v>0</v>
      </c>
      <c r="P136" s="186"/>
      <c r="Q136" s="187"/>
      <c r="R136" s="188"/>
      <c r="S136" s="189"/>
      <c r="T136" s="190" t="s">
        <v>287</v>
      </c>
      <c r="U136" s="191" t="s">
        <v>287</v>
      </c>
      <c r="V136" s="192" t="s">
        <v>287</v>
      </c>
      <c r="W136" s="630" t="s">
        <v>458</v>
      </c>
    </row>
    <row r="137" spans="2:23" ht="12.95" customHeight="1">
      <c r="B137" s="893"/>
      <c r="C137" s="358" t="s">
        <v>153</v>
      </c>
      <c r="D137" s="178"/>
      <c r="E137" s="194"/>
      <c r="F137" s="414"/>
      <c r="G137" s="181"/>
      <c r="H137" s="182"/>
      <c r="I137" s="521">
        <f t="shared" ref="I137:I144" si="23">IF(D137=0,0,D137*1/G137*H137)</f>
        <v>0</v>
      </c>
      <c r="J137" s="521">
        <f>IF(D137=0,0,ROUND(F137*I137,0))</f>
        <v>0</v>
      </c>
      <c r="K137" s="183"/>
      <c r="L137" s="183"/>
      <c r="M137" s="184"/>
      <c r="N137" s="183"/>
      <c r="O137" s="185">
        <v>0</v>
      </c>
      <c r="P137" s="186"/>
      <c r="Q137" s="187"/>
      <c r="R137" s="188"/>
      <c r="S137" s="189"/>
      <c r="T137" s="190" t="s">
        <v>287</v>
      </c>
      <c r="U137" s="191" t="s">
        <v>287</v>
      </c>
      <c r="V137" s="192" t="s">
        <v>287</v>
      </c>
      <c r="W137" s="630"/>
    </row>
    <row r="138" spans="2:23" ht="12.95" customHeight="1">
      <c r="B138" s="893"/>
      <c r="C138" s="358" t="s">
        <v>283</v>
      </c>
      <c r="D138" s="178"/>
      <c r="E138" s="194"/>
      <c r="F138" s="744"/>
      <c r="G138" s="181"/>
      <c r="H138" s="182"/>
      <c r="I138" s="521">
        <f t="shared" si="23"/>
        <v>0</v>
      </c>
      <c r="J138" s="521">
        <f>IF(D138=0,0,F138*I138)</f>
        <v>0</v>
      </c>
      <c r="K138" s="183"/>
      <c r="L138" s="183"/>
      <c r="M138" s="184"/>
      <c r="N138" s="183"/>
      <c r="O138" s="185">
        <v>0</v>
      </c>
      <c r="P138" s="186"/>
      <c r="Q138" s="187"/>
      <c r="R138" s="188"/>
      <c r="S138" s="189"/>
      <c r="T138" s="190" t="s">
        <v>287</v>
      </c>
      <c r="U138" s="191" t="s">
        <v>287</v>
      </c>
      <c r="V138" s="192" t="s">
        <v>287</v>
      </c>
      <c r="W138" s="630"/>
    </row>
    <row r="139" spans="2:23" ht="12.95" customHeight="1">
      <c r="B139" s="893"/>
      <c r="C139" s="358" t="s">
        <v>284</v>
      </c>
      <c r="D139" s="178"/>
      <c r="E139" s="194"/>
      <c r="F139" s="744"/>
      <c r="G139" s="181"/>
      <c r="H139" s="182"/>
      <c r="I139" s="521">
        <f t="shared" si="23"/>
        <v>0</v>
      </c>
      <c r="J139" s="521">
        <f>IF(D139=0,0,ROUND(F139*I139,0))</f>
        <v>0</v>
      </c>
      <c r="K139" s="183"/>
      <c r="L139" s="183"/>
      <c r="M139" s="184"/>
      <c r="N139" s="183"/>
      <c r="O139" s="185">
        <v>0</v>
      </c>
      <c r="P139" s="186"/>
      <c r="Q139" s="187"/>
      <c r="R139" s="188"/>
      <c r="S139" s="189"/>
      <c r="T139" s="190" t="s">
        <v>287</v>
      </c>
      <c r="U139" s="191" t="s">
        <v>287</v>
      </c>
      <c r="V139" s="192" t="s">
        <v>287</v>
      </c>
      <c r="W139" s="630"/>
    </row>
    <row r="140" spans="2:23" ht="12.95" customHeight="1">
      <c r="B140" s="893"/>
      <c r="C140" s="358" t="s">
        <v>285</v>
      </c>
      <c r="D140" s="178">
        <f>④収入!D21</f>
        <v>62600</v>
      </c>
      <c r="E140" s="194" t="s">
        <v>225</v>
      </c>
      <c r="F140" s="744">
        <v>0.04</v>
      </c>
      <c r="G140" s="181">
        <v>1</v>
      </c>
      <c r="H140" s="182">
        <v>1</v>
      </c>
      <c r="I140" s="521">
        <f t="shared" si="23"/>
        <v>62600</v>
      </c>
      <c r="J140" s="521">
        <f>IF(D140=0,0,ROUND(F140*I140,0))</f>
        <v>2504</v>
      </c>
      <c r="K140" s="183"/>
      <c r="L140" s="183"/>
      <c r="M140" s="184"/>
      <c r="N140" s="183"/>
      <c r="O140" s="185">
        <v>0</v>
      </c>
      <c r="P140" s="186"/>
      <c r="Q140" s="187"/>
      <c r="R140" s="188"/>
      <c r="S140" s="189"/>
      <c r="T140" s="190" t="s">
        <v>287</v>
      </c>
      <c r="U140" s="191" t="s">
        <v>287</v>
      </c>
      <c r="V140" s="192" t="s">
        <v>287</v>
      </c>
      <c r="W140" s="630" t="s">
        <v>537</v>
      </c>
    </row>
    <row r="141" spans="2:23" ht="12.95" customHeight="1">
      <c r="B141" s="893"/>
      <c r="C141" s="193"/>
      <c r="D141" s="178"/>
      <c r="E141" s="179"/>
      <c r="F141" s="414"/>
      <c r="G141" s="181"/>
      <c r="H141" s="182"/>
      <c r="I141" s="521">
        <f t="shared" si="23"/>
        <v>0</v>
      </c>
      <c r="J141" s="521" t="str">
        <f>IF(D141=0,"",ROUND(F141*I141,0))</f>
        <v/>
      </c>
      <c r="K141" s="183"/>
      <c r="L141" s="183"/>
      <c r="M141" s="184"/>
      <c r="N141" s="183"/>
      <c r="O141" s="185">
        <f>IF(K141*L141*N141=0,0,(L141*N141)/K141)</f>
        <v>0</v>
      </c>
      <c r="P141" s="186"/>
      <c r="Q141" s="187"/>
      <c r="R141" s="188"/>
      <c r="S141" s="189"/>
      <c r="T141" s="190" t="str">
        <f t="shared" ref="T141:V144" si="24">IF(Q141="","",Q141*$D141)</f>
        <v/>
      </c>
      <c r="U141" s="191" t="str">
        <f t="shared" si="24"/>
        <v/>
      </c>
      <c r="V141" s="192" t="str">
        <f t="shared" si="24"/>
        <v/>
      </c>
      <c r="W141" s="630"/>
    </row>
    <row r="142" spans="2:23" ht="12.95" customHeight="1">
      <c r="B142" s="893"/>
      <c r="C142" s="193"/>
      <c r="D142" s="178"/>
      <c r="E142" s="194"/>
      <c r="F142" s="414"/>
      <c r="G142" s="181"/>
      <c r="H142" s="182"/>
      <c r="I142" s="521">
        <f t="shared" si="23"/>
        <v>0</v>
      </c>
      <c r="J142" s="521" t="str">
        <f>IF(D142=0,"",ROUND(F142*I142,0))</f>
        <v/>
      </c>
      <c r="K142" s="183"/>
      <c r="L142" s="183"/>
      <c r="M142" s="184"/>
      <c r="N142" s="183"/>
      <c r="O142" s="185">
        <f>IF(K142*L142*N142=0,0,(L142*N142)/K142)</f>
        <v>0</v>
      </c>
      <c r="P142" s="186"/>
      <c r="Q142" s="187"/>
      <c r="R142" s="188"/>
      <c r="S142" s="189"/>
      <c r="T142" s="190" t="str">
        <f t="shared" si="24"/>
        <v/>
      </c>
      <c r="U142" s="191" t="str">
        <f t="shared" si="24"/>
        <v/>
      </c>
      <c r="V142" s="192" t="str">
        <f t="shared" si="24"/>
        <v/>
      </c>
      <c r="W142" s="630"/>
    </row>
    <row r="143" spans="2:23" ht="12.95" customHeight="1">
      <c r="B143" s="893"/>
      <c r="C143" s="193"/>
      <c r="D143" s="178"/>
      <c r="E143" s="194"/>
      <c r="F143" s="414"/>
      <c r="G143" s="181"/>
      <c r="H143" s="182"/>
      <c r="I143" s="521">
        <f t="shared" si="23"/>
        <v>0</v>
      </c>
      <c r="J143" s="521" t="str">
        <f>IF(D143=0,"",ROUND(F143*I143,0))</f>
        <v/>
      </c>
      <c r="K143" s="183"/>
      <c r="L143" s="183"/>
      <c r="M143" s="184"/>
      <c r="N143" s="183"/>
      <c r="O143" s="185">
        <f>IF(K143*L143*N143=0,0,(L143*N143)/K143)</f>
        <v>0</v>
      </c>
      <c r="P143" s="186"/>
      <c r="Q143" s="187"/>
      <c r="R143" s="188"/>
      <c r="S143" s="189"/>
      <c r="T143" s="190" t="str">
        <f t="shared" si="24"/>
        <v/>
      </c>
      <c r="U143" s="191" t="str">
        <f t="shared" si="24"/>
        <v/>
      </c>
      <c r="V143" s="192" t="str">
        <f t="shared" si="24"/>
        <v/>
      </c>
      <c r="W143" s="630"/>
    </row>
    <row r="144" spans="2:23" ht="12.95" customHeight="1" thickBot="1">
      <c r="B144" s="893"/>
      <c r="C144" s="260"/>
      <c r="D144" s="235"/>
      <c r="E144" s="261"/>
      <c r="F144" s="415"/>
      <c r="G144" s="237"/>
      <c r="H144" s="238"/>
      <c r="I144" s="522">
        <f t="shared" si="23"/>
        <v>0</v>
      </c>
      <c r="J144" s="522" t="str">
        <f>IF(D144=0,"",ROUND(F144*I144,0))</f>
        <v/>
      </c>
      <c r="K144" s="239"/>
      <c r="L144" s="239"/>
      <c r="M144" s="240"/>
      <c r="N144" s="239"/>
      <c r="O144" s="241">
        <f>IF(K144*L144*N144=0,0,(L144*N144)/K144)</f>
        <v>0</v>
      </c>
      <c r="P144" s="242"/>
      <c r="Q144" s="243"/>
      <c r="R144" s="244"/>
      <c r="S144" s="245"/>
      <c r="T144" s="246" t="str">
        <f t="shared" si="24"/>
        <v/>
      </c>
      <c r="U144" s="247" t="str">
        <f t="shared" si="24"/>
        <v/>
      </c>
      <c r="V144" s="248" t="str">
        <f t="shared" si="24"/>
        <v/>
      </c>
      <c r="W144" s="629"/>
    </row>
    <row r="145" spans="2:23" ht="12.95" customHeight="1" thickTop="1" thickBot="1">
      <c r="B145" s="894"/>
      <c r="C145" s="327" t="s">
        <v>288</v>
      </c>
      <c r="D145" s="234"/>
      <c r="E145" s="328"/>
      <c r="F145" s="416"/>
      <c r="G145" s="329"/>
      <c r="H145" s="330"/>
      <c r="I145" s="339"/>
      <c r="J145" s="509">
        <f>SUM(J135:J144)</f>
        <v>3004</v>
      </c>
      <c r="K145" s="331"/>
      <c r="L145" s="331"/>
      <c r="M145" s="332"/>
      <c r="N145" s="331"/>
      <c r="O145" s="333"/>
      <c r="P145" s="334"/>
      <c r="Q145" s="335"/>
      <c r="R145" s="336"/>
      <c r="S145" s="337"/>
      <c r="T145" s="338"/>
      <c r="U145" s="339"/>
      <c r="V145" s="340"/>
      <c r="W145" s="626"/>
    </row>
    <row r="146" spans="2:23" ht="12.95" customHeight="1">
      <c r="B146" s="903" t="s">
        <v>422</v>
      </c>
      <c r="C146" s="256"/>
      <c r="D146" s="220"/>
      <c r="E146" s="257"/>
      <c r="F146" s="413"/>
      <c r="G146" s="222"/>
      <c r="H146" s="223"/>
      <c r="I146" s="350" t="str">
        <f>IF(C146=0,"",D146*1/G146*H146)</f>
        <v/>
      </c>
      <c r="J146" s="510" t="str">
        <f>IF(C146=0,"",ROUND(F146*I146,0))</f>
        <v/>
      </c>
      <c r="K146" s="224"/>
      <c r="L146" s="224"/>
      <c r="M146" s="225"/>
      <c r="N146" s="224"/>
      <c r="O146" s="226">
        <f>IF(K146*L146*N146=0,0,(L146*N146)/K146)</f>
        <v>0</v>
      </c>
      <c r="P146" s="227"/>
      <c r="Q146" s="228"/>
      <c r="R146" s="229"/>
      <c r="S146" s="230"/>
      <c r="T146" s="231" t="str">
        <f t="shared" ref="T146:V147" si="25">IF(Q146="","",Q146*$D146)</f>
        <v/>
      </c>
      <c r="U146" s="232" t="str">
        <f t="shared" si="25"/>
        <v/>
      </c>
      <c r="V146" s="233" t="str">
        <f t="shared" si="25"/>
        <v/>
      </c>
      <c r="W146" s="627"/>
    </row>
    <row r="147" spans="2:23" ht="12.95" customHeight="1">
      <c r="B147" s="893"/>
      <c r="C147" s="197"/>
      <c r="D147" s="178"/>
      <c r="E147" s="196"/>
      <c r="F147" s="414"/>
      <c r="G147" s="181"/>
      <c r="H147" s="182"/>
      <c r="I147" s="352" t="str">
        <f>IF(C147=0,"",D147*1/G147*H147)</f>
        <v/>
      </c>
      <c r="J147" s="511" t="str">
        <f>IF(C147=0,"",ROUND(F147*I147,0))</f>
        <v/>
      </c>
      <c r="K147" s="183"/>
      <c r="L147" s="183"/>
      <c r="M147" s="184"/>
      <c r="N147" s="183"/>
      <c r="O147" s="185">
        <f>IF(K147*L147*N147=0,0,(L147*N147)/K147)</f>
        <v>0</v>
      </c>
      <c r="P147" s="186"/>
      <c r="Q147" s="187"/>
      <c r="R147" s="188"/>
      <c r="S147" s="189"/>
      <c r="T147" s="190" t="str">
        <f t="shared" si="25"/>
        <v/>
      </c>
      <c r="U147" s="191" t="str">
        <f t="shared" si="25"/>
        <v/>
      </c>
      <c r="V147" s="192" t="str">
        <f t="shared" si="25"/>
        <v/>
      </c>
      <c r="W147" s="630"/>
    </row>
    <row r="148" spans="2:23" ht="12.95" customHeight="1">
      <c r="B148" s="893"/>
      <c r="C148" s="197"/>
      <c r="D148" s="178"/>
      <c r="E148" s="196"/>
      <c r="F148" s="414"/>
      <c r="G148" s="181"/>
      <c r="H148" s="182"/>
      <c r="I148" s="352" t="str">
        <f>IF(C148=0,"",D148*1/G148*H148)</f>
        <v/>
      </c>
      <c r="J148" s="511" t="str">
        <f>IF(C148=0,"",ROUND(F148*I148,0))</f>
        <v/>
      </c>
      <c r="K148" s="183"/>
      <c r="L148" s="183"/>
      <c r="M148" s="184"/>
      <c r="N148" s="183"/>
      <c r="O148" s="185"/>
      <c r="P148" s="186"/>
      <c r="Q148" s="187"/>
      <c r="R148" s="188"/>
      <c r="S148" s="189"/>
      <c r="T148" s="190"/>
      <c r="U148" s="191"/>
      <c r="V148" s="192"/>
      <c r="W148" s="630"/>
    </row>
    <row r="149" spans="2:23" ht="12.95" customHeight="1" thickBot="1">
      <c r="B149" s="893"/>
      <c r="C149" s="258"/>
      <c r="D149" s="235"/>
      <c r="E149" s="255"/>
      <c r="F149" s="415"/>
      <c r="G149" s="237"/>
      <c r="H149" s="238"/>
      <c r="I149" s="353" t="str">
        <f>IF(C149=0,"",D149*1/G149*H149)</f>
        <v/>
      </c>
      <c r="J149" s="512" t="str">
        <f>IF(C149=0,"",ROUND(F149*I149,0))</f>
        <v/>
      </c>
      <c r="K149" s="239"/>
      <c r="L149" s="239"/>
      <c r="M149" s="240"/>
      <c r="N149" s="239"/>
      <c r="O149" s="241">
        <f>IF(K149*L149*N149=0,0,(L149*N149)/K149)</f>
        <v>0</v>
      </c>
      <c r="P149" s="242"/>
      <c r="Q149" s="243"/>
      <c r="R149" s="244"/>
      <c r="S149" s="245"/>
      <c r="T149" s="246" t="str">
        <f>IF(Q149="","",Q149*$D149)</f>
        <v/>
      </c>
      <c r="U149" s="247" t="str">
        <f>IF(R149="","",R149*$D149)</f>
        <v/>
      </c>
      <c r="V149" s="248" t="str">
        <f>IF(S149="","",S149*$D149)</f>
        <v/>
      </c>
      <c r="W149" s="629"/>
    </row>
    <row r="150" spans="2:23" ht="12.95" customHeight="1" thickTop="1" thickBot="1">
      <c r="B150" s="894"/>
      <c r="C150" s="327" t="s">
        <v>288</v>
      </c>
      <c r="D150" s="234"/>
      <c r="E150" s="328"/>
      <c r="F150" s="416"/>
      <c r="G150" s="329"/>
      <c r="H150" s="330"/>
      <c r="I150" s="339"/>
      <c r="J150" s="509">
        <f>SUM(J146:J149)</f>
        <v>0</v>
      </c>
      <c r="K150" s="331"/>
      <c r="L150" s="331"/>
      <c r="M150" s="332"/>
      <c r="N150" s="331"/>
      <c r="O150" s="333"/>
      <c r="P150" s="334"/>
      <c r="Q150" s="335"/>
      <c r="R150" s="336"/>
      <c r="S150" s="337"/>
      <c r="T150" s="338"/>
      <c r="U150" s="339"/>
      <c r="V150" s="340"/>
      <c r="W150" s="626"/>
    </row>
    <row r="151" spans="2:23" ht="12.95" customHeight="1">
      <c r="B151" s="895" t="s">
        <v>425</v>
      </c>
      <c r="C151" s="256" t="s">
        <v>459</v>
      </c>
      <c r="D151" s="220">
        <v>0.1</v>
      </c>
      <c r="E151" s="257" t="s">
        <v>454</v>
      </c>
      <c r="F151" s="413">
        <v>14438.7</v>
      </c>
      <c r="G151" s="222">
        <v>1</v>
      </c>
      <c r="H151" s="223">
        <v>1</v>
      </c>
      <c r="I151" s="350">
        <f>IF(C151=0,"",D151*1/G151*H151)</f>
        <v>0.1</v>
      </c>
      <c r="J151" s="510">
        <f>IF(C151=0,"",ROUND(F151*I151,0))</f>
        <v>1444</v>
      </c>
      <c r="K151" s="224"/>
      <c r="L151" s="224"/>
      <c r="M151" s="225"/>
      <c r="N151" s="224"/>
      <c r="O151" s="226">
        <f>IF(K151*L151*N151=0,0,(L151*N151)/K151)</f>
        <v>0</v>
      </c>
      <c r="P151" s="227"/>
      <c r="Q151" s="228"/>
      <c r="R151" s="229"/>
      <c r="S151" s="230"/>
      <c r="T151" s="231" t="str">
        <f t="shared" ref="T151:V152" si="26">IF(Q151="","",Q151*$D151)</f>
        <v/>
      </c>
      <c r="U151" s="232" t="str">
        <f t="shared" si="26"/>
        <v/>
      </c>
      <c r="V151" s="233" t="str">
        <f t="shared" si="26"/>
        <v/>
      </c>
      <c r="W151" s="627" t="s">
        <v>460</v>
      </c>
    </row>
    <row r="152" spans="2:23" ht="12.95" customHeight="1">
      <c r="B152" s="896"/>
      <c r="C152" s="197"/>
      <c r="D152" s="178"/>
      <c r="E152" s="196"/>
      <c r="F152" s="414"/>
      <c r="G152" s="181"/>
      <c r="H152" s="182"/>
      <c r="I152" s="352" t="str">
        <f>IF(C152=0,"",D152*1/G152*H152)</f>
        <v/>
      </c>
      <c r="J152" s="511" t="str">
        <f>IF(C152=0,"",ROUND(F152*I152,0))</f>
        <v/>
      </c>
      <c r="K152" s="183"/>
      <c r="L152" s="183"/>
      <c r="M152" s="184"/>
      <c r="N152" s="183"/>
      <c r="O152" s="185">
        <f>IF(K152*L152*N152=0,0,(L152*N152)/K152)</f>
        <v>0</v>
      </c>
      <c r="P152" s="186"/>
      <c r="Q152" s="187"/>
      <c r="R152" s="188"/>
      <c r="S152" s="189"/>
      <c r="T152" s="190" t="str">
        <f t="shared" si="26"/>
        <v/>
      </c>
      <c r="U152" s="191" t="str">
        <f t="shared" si="26"/>
        <v/>
      </c>
      <c r="V152" s="192" t="str">
        <f t="shared" si="26"/>
        <v/>
      </c>
      <c r="W152" s="630"/>
    </row>
    <row r="153" spans="2:23" ht="12.95" customHeight="1">
      <c r="B153" s="896"/>
      <c r="C153" s="197"/>
      <c r="D153" s="178"/>
      <c r="E153" s="196"/>
      <c r="F153" s="414"/>
      <c r="G153" s="181"/>
      <c r="H153" s="182"/>
      <c r="I153" s="352" t="str">
        <f>IF(C153=0,"",D153*1/G153*H153)</f>
        <v/>
      </c>
      <c r="J153" s="511" t="str">
        <f>IF(C153=0,"",ROUND(F153*I153,0))</f>
        <v/>
      </c>
      <c r="K153" s="183"/>
      <c r="L153" s="183"/>
      <c r="M153" s="184"/>
      <c r="N153" s="183"/>
      <c r="O153" s="185"/>
      <c r="P153" s="186"/>
      <c r="Q153" s="187"/>
      <c r="R153" s="188"/>
      <c r="S153" s="189"/>
      <c r="T153" s="190"/>
      <c r="U153" s="191"/>
      <c r="V153" s="192"/>
      <c r="W153" s="630"/>
    </row>
    <row r="154" spans="2:23" ht="12.95" customHeight="1" thickBot="1">
      <c r="B154" s="896"/>
      <c r="C154" s="258"/>
      <c r="D154" s="235"/>
      <c r="E154" s="255"/>
      <c r="F154" s="415"/>
      <c r="G154" s="237"/>
      <c r="H154" s="238"/>
      <c r="I154" s="353" t="str">
        <f>IF(C154=0,"",D154*1/G154*H154)</f>
        <v/>
      </c>
      <c r="J154" s="512" t="str">
        <f>IF(C154=0,"",ROUND(F154*I154,0))</f>
        <v/>
      </c>
      <c r="K154" s="239"/>
      <c r="L154" s="239"/>
      <c r="M154" s="240"/>
      <c r="N154" s="239"/>
      <c r="O154" s="241">
        <f>IF(K154*L154*N154=0,0,(L154*N154)/K154)</f>
        <v>0</v>
      </c>
      <c r="P154" s="242"/>
      <c r="Q154" s="243"/>
      <c r="R154" s="244"/>
      <c r="S154" s="245"/>
      <c r="T154" s="246" t="str">
        <f>IF(Q154="","",Q154*$D154)</f>
        <v/>
      </c>
      <c r="U154" s="247" t="str">
        <f>IF(R154="","",R154*$D154)</f>
        <v/>
      </c>
      <c r="V154" s="248" t="str">
        <f>IF(S154="","",S154*$D154)</f>
        <v/>
      </c>
      <c r="W154" s="629"/>
    </row>
    <row r="155" spans="2:23" ht="12.95" customHeight="1" thickTop="1" thickBot="1">
      <c r="B155" s="897"/>
      <c r="C155" s="327" t="s">
        <v>288</v>
      </c>
      <c r="D155" s="234"/>
      <c r="E155" s="328"/>
      <c r="F155" s="416"/>
      <c r="G155" s="329"/>
      <c r="H155" s="330"/>
      <c r="I155" s="339"/>
      <c r="J155" s="509">
        <f>SUM(J151:J154)</f>
        <v>1444</v>
      </c>
      <c r="K155" s="331"/>
      <c r="L155" s="331"/>
      <c r="M155" s="332"/>
      <c r="N155" s="331"/>
      <c r="O155" s="333"/>
      <c r="P155" s="334"/>
      <c r="Q155" s="335"/>
      <c r="R155" s="336"/>
      <c r="S155" s="337"/>
      <c r="T155" s="338"/>
      <c r="U155" s="339"/>
      <c r="V155" s="340"/>
      <c r="W155" s="626"/>
    </row>
    <row r="156" spans="2:23" ht="12.95" customHeight="1">
      <c r="B156" s="895" t="s">
        <v>427</v>
      </c>
      <c r="C156" s="256"/>
      <c r="D156" s="220"/>
      <c r="E156" s="257"/>
      <c r="F156" s="413"/>
      <c r="G156" s="222"/>
      <c r="H156" s="223"/>
      <c r="I156" s="350" t="str">
        <f>IF(C156=0,"",D156*1/G156*H156)</f>
        <v/>
      </c>
      <c r="J156" s="510" t="str">
        <f>IF(C156=0,"",ROUND(F156*I156,0))</f>
        <v/>
      </c>
      <c r="K156" s="224"/>
      <c r="L156" s="224"/>
      <c r="M156" s="225"/>
      <c r="N156" s="224"/>
      <c r="O156" s="226">
        <f>IF(K156*L156*N156=0,0,(L156*N156)/K156)</f>
        <v>0</v>
      </c>
      <c r="P156" s="227"/>
      <c r="Q156" s="228"/>
      <c r="R156" s="229"/>
      <c r="S156" s="230"/>
      <c r="T156" s="231" t="str">
        <f t="shared" ref="T156:V157" si="27">IF(Q156="","",Q156*$D156)</f>
        <v/>
      </c>
      <c r="U156" s="232" t="str">
        <f t="shared" si="27"/>
        <v/>
      </c>
      <c r="V156" s="233" t="str">
        <f t="shared" si="27"/>
        <v/>
      </c>
      <c r="W156" s="627"/>
    </row>
    <row r="157" spans="2:23" ht="12.95" customHeight="1">
      <c r="B157" s="896"/>
      <c r="C157" s="197"/>
      <c r="D157" s="178"/>
      <c r="E157" s="196"/>
      <c r="F157" s="414"/>
      <c r="G157" s="181"/>
      <c r="H157" s="182"/>
      <c r="I157" s="352" t="str">
        <f>IF(C157=0,"",D157*1/G157*H157)</f>
        <v/>
      </c>
      <c r="J157" s="511" t="str">
        <f>IF(C157=0,"",ROUND(F157*I157,0))</f>
        <v/>
      </c>
      <c r="K157" s="183"/>
      <c r="L157" s="183"/>
      <c r="M157" s="184"/>
      <c r="N157" s="183"/>
      <c r="O157" s="185">
        <f>IF(K157*L157*N157=0,0,(L157*N157)/K157)</f>
        <v>0</v>
      </c>
      <c r="P157" s="186"/>
      <c r="Q157" s="187"/>
      <c r="R157" s="188"/>
      <c r="S157" s="189"/>
      <c r="T157" s="190" t="str">
        <f t="shared" si="27"/>
        <v/>
      </c>
      <c r="U157" s="191" t="str">
        <f t="shared" si="27"/>
        <v/>
      </c>
      <c r="V157" s="192" t="str">
        <f t="shared" si="27"/>
        <v/>
      </c>
      <c r="W157" s="630"/>
    </row>
    <row r="158" spans="2:23" ht="12.95" customHeight="1">
      <c r="B158" s="896"/>
      <c r="C158" s="197"/>
      <c r="D158" s="178"/>
      <c r="E158" s="196"/>
      <c r="F158" s="414"/>
      <c r="G158" s="181"/>
      <c r="H158" s="182"/>
      <c r="I158" s="352" t="str">
        <f>IF(C158=0,"",D158*1/G158*H158)</f>
        <v/>
      </c>
      <c r="J158" s="511" t="str">
        <f>IF(C158=0,"",ROUND(F158*I158,0))</f>
        <v/>
      </c>
      <c r="K158" s="183"/>
      <c r="L158" s="183"/>
      <c r="M158" s="184"/>
      <c r="N158" s="183"/>
      <c r="O158" s="185"/>
      <c r="P158" s="186"/>
      <c r="Q158" s="187"/>
      <c r="R158" s="188"/>
      <c r="S158" s="189"/>
      <c r="T158" s="190"/>
      <c r="U158" s="191"/>
      <c r="V158" s="192"/>
      <c r="W158" s="630"/>
    </row>
    <row r="159" spans="2:23" ht="12.95" customHeight="1" thickBot="1">
      <c r="B159" s="896"/>
      <c r="C159" s="258"/>
      <c r="D159" s="235"/>
      <c r="E159" s="255"/>
      <c r="F159" s="415"/>
      <c r="G159" s="237"/>
      <c r="H159" s="238"/>
      <c r="I159" s="353" t="str">
        <f>IF(C159=0,"",D159*1/G159*H159)</f>
        <v/>
      </c>
      <c r="J159" s="512" t="str">
        <f>IF(C159=0,"",ROUND(F159*I159,0))</f>
        <v/>
      </c>
      <c r="K159" s="239"/>
      <c r="L159" s="239"/>
      <c r="M159" s="240"/>
      <c r="N159" s="239"/>
      <c r="O159" s="241">
        <f>IF(K159*L159*N159=0,0,(L159*N159)/K159)</f>
        <v>0</v>
      </c>
      <c r="P159" s="242"/>
      <c r="Q159" s="243"/>
      <c r="R159" s="244"/>
      <c r="S159" s="245"/>
      <c r="T159" s="246" t="str">
        <f>IF(Q159="","",Q159*$D159)</f>
        <v/>
      </c>
      <c r="U159" s="247" t="str">
        <f>IF(R159="","",R159*$D159)</f>
        <v/>
      </c>
      <c r="V159" s="248" t="str">
        <f>IF(S159="","",S159*$D159)</f>
        <v/>
      </c>
      <c r="W159" s="629"/>
    </row>
    <row r="160" spans="2:23" ht="12.95" customHeight="1" thickTop="1" thickBot="1">
      <c r="B160" s="897"/>
      <c r="C160" s="327" t="s">
        <v>288</v>
      </c>
      <c r="D160" s="234"/>
      <c r="E160" s="328"/>
      <c r="F160" s="416"/>
      <c r="G160" s="329"/>
      <c r="H160" s="330"/>
      <c r="I160" s="339"/>
      <c r="J160" s="509">
        <f>SUM(J156:J159)</f>
        <v>0</v>
      </c>
      <c r="K160" s="331"/>
      <c r="L160" s="331"/>
      <c r="M160" s="332"/>
      <c r="N160" s="331"/>
      <c r="O160" s="333"/>
      <c r="P160" s="334"/>
      <c r="Q160" s="335"/>
      <c r="R160" s="336"/>
      <c r="S160" s="337"/>
      <c r="T160" s="338"/>
      <c r="U160" s="339"/>
      <c r="V160" s="340"/>
      <c r="W160" s="626"/>
    </row>
    <row r="161" spans="2:23" ht="12.95" customHeight="1">
      <c r="B161" s="895" t="s">
        <v>429</v>
      </c>
      <c r="C161" s="256"/>
      <c r="D161" s="220"/>
      <c r="E161" s="257"/>
      <c r="F161" s="413"/>
      <c r="G161" s="222"/>
      <c r="H161" s="223"/>
      <c r="I161" s="350" t="str">
        <f>IF(C161=0,"",D161*1/G161*H161)</f>
        <v/>
      </c>
      <c r="J161" s="510" t="str">
        <f>IF(C161=0,"",ROUND(F161*I161,0))</f>
        <v/>
      </c>
      <c r="K161" s="224"/>
      <c r="L161" s="224"/>
      <c r="M161" s="225"/>
      <c r="N161" s="224"/>
      <c r="O161" s="226">
        <f>IF(K161*L161*N161=0,0,(L161*N161)/K161)</f>
        <v>0</v>
      </c>
      <c r="P161" s="227"/>
      <c r="Q161" s="228"/>
      <c r="R161" s="229"/>
      <c r="S161" s="230"/>
      <c r="T161" s="231" t="str">
        <f t="shared" ref="T161:V162" si="28">IF(Q161="","",Q161*$D161)</f>
        <v/>
      </c>
      <c r="U161" s="232" t="str">
        <f t="shared" si="28"/>
        <v/>
      </c>
      <c r="V161" s="233" t="str">
        <f t="shared" si="28"/>
        <v/>
      </c>
      <c r="W161" s="627"/>
    </row>
    <row r="162" spans="2:23" ht="12.95" customHeight="1">
      <c r="B162" s="896"/>
      <c r="C162" s="197"/>
      <c r="D162" s="178"/>
      <c r="E162" s="196"/>
      <c r="F162" s="414"/>
      <c r="G162" s="181"/>
      <c r="H162" s="182"/>
      <c r="I162" s="352" t="str">
        <f>IF(C162=0,"",D162*1/G162*H162)</f>
        <v/>
      </c>
      <c r="J162" s="511" t="str">
        <f>IF(C162=0,"",ROUND(F162*I162,0))</f>
        <v/>
      </c>
      <c r="K162" s="183"/>
      <c r="L162" s="183"/>
      <c r="M162" s="184"/>
      <c r="N162" s="183"/>
      <c r="O162" s="185">
        <f>IF(K162*L162*N162=0,0,(L162*N162)/K162)</f>
        <v>0</v>
      </c>
      <c r="P162" s="186"/>
      <c r="Q162" s="187"/>
      <c r="R162" s="188"/>
      <c r="S162" s="189"/>
      <c r="T162" s="190" t="str">
        <f t="shared" si="28"/>
        <v/>
      </c>
      <c r="U162" s="191" t="str">
        <f t="shared" si="28"/>
        <v/>
      </c>
      <c r="V162" s="192" t="str">
        <f t="shared" si="28"/>
        <v/>
      </c>
      <c r="W162" s="630"/>
    </row>
    <row r="163" spans="2:23" ht="12.95" customHeight="1">
      <c r="B163" s="896"/>
      <c r="C163" s="197"/>
      <c r="D163" s="178"/>
      <c r="E163" s="196"/>
      <c r="F163" s="414"/>
      <c r="G163" s="181"/>
      <c r="H163" s="182"/>
      <c r="I163" s="352" t="str">
        <f>IF(C163=0,"",D163*1/G163*H163)</f>
        <v/>
      </c>
      <c r="J163" s="511" t="str">
        <f>IF(C163=0,"",ROUND(F163*I163,0))</f>
        <v/>
      </c>
      <c r="K163" s="183"/>
      <c r="L163" s="183"/>
      <c r="M163" s="184"/>
      <c r="N163" s="183"/>
      <c r="O163" s="185"/>
      <c r="P163" s="186"/>
      <c r="Q163" s="187"/>
      <c r="R163" s="188"/>
      <c r="S163" s="189"/>
      <c r="T163" s="190"/>
      <c r="U163" s="191"/>
      <c r="V163" s="192"/>
      <c r="W163" s="630"/>
    </row>
    <row r="164" spans="2:23" ht="12.95" customHeight="1" thickBot="1">
      <c r="B164" s="896"/>
      <c r="C164" s="258"/>
      <c r="D164" s="235"/>
      <c r="E164" s="255"/>
      <c r="F164" s="415"/>
      <c r="G164" s="237"/>
      <c r="H164" s="238"/>
      <c r="I164" s="353" t="str">
        <f>IF(C164=0,"",D164*1/G164*H164)</f>
        <v/>
      </c>
      <c r="J164" s="512" t="str">
        <f>IF(C164=0,"",ROUND(F164*I164,0))</f>
        <v/>
      </c>
      <c r="K164" s="239"/>
      <c r="L164" s="239"/>
      <c r="M164" s="240"/>
      <c r="N164" s="239"/>
      <c r="O164" s="241">
        <f>IF(K164*L164*N164=0,0,(L164*N164)/K164)</f>
        <v>0</v>
      </c>
      <c r="P164" s="242"/>
      <c r="Q164" s="243"/>
      <c r="R164" s="244"/>
      <c r="S164" s="245"/>
      <c r="T164" s="246" t="str">
        <f>IF(Q164="","",Q164*$D164)</f>
        <v/>
      </c>
      <c r="U164" s="247" t="str">
        <f>IF(R164="","",R164*$D164)</f>
        <v/>
      </c>
      <c r="V164" s="248" t="str">
        <f>IF(S164="","",S164*$D164)</f>
        <v/>
      </c>
      <c r="W164" s="629"/>
    </row>
    <row r="165" spans="2:23" ht="12.95" customHeight="1" thickTop="1" thickBot="1">
      <c r="B165" s="897"/>
      <c r="C165" s="327" t="s">
        <v>288</v>
      </c>
      <c r="D165" s="234"/>
      <c r="E165" s="328"/>
      <c r="F165" s="416"/>
      <c r="G165" s="329"/>
      <c r="H165" s="330"/>
      <c r="I165" s="339"/>
      <c r="J165" s="509">
        <f>SUM(J161:J164)</f>
        <v>0</v>
      </c>
      <c r="K165" s="331"/>
      <c r="L165" s="331"/>
      <c r="M165" s="332"/>
      <c r="N165" s="331"/>
      <c r="O165" s="333"/>
      <c r="P165" s="334"/>
      <c r="Q165" s="335"/>
      <c r="R165" s="336"/>
      <c r="S165" s="337"/>
      <c r="T165" s="338"/>
      <c r="U165" s="339"/>
      <c r="V165" s="340"/>
      <c r="W165" s="626"/>
    </row>
    <row r="166" spans="2:23" ht="12.95" customHeight="1">
      <c r="B166" s="898" t="s">
        <v>430</v>
      </c>
      <c r="C166" s="249" t="s">
        <v>190</v>
      </c>
      <c r="D166" s="220"/>
      <c r="E166" s="221"/>
      <c r="F166" s="413"/>
      <c r="G166" s="222"/>
      <c r="H166" s="223"/>
      <c r="I166" s="350" t="str">
        <f>IF(D166=0,"",D166*1/G166*H166)</f>
        <v/>
      </c>
      <c r="J166" s="510" t="str">
        <f t="shared" ref="J166:J176" si="29">IF(D166=0,"",ROUND(F166*I166,0))</f>
        <v/>
      </c>
      <c r="K166" s="224"/>
      <c r="L166" s="224"/>
      <c r="M166" s="225"/>
      <c r="N166" s="224"/>
      <c r="O166" s="226"/>
      <c r="P166" s="227"/>
      <c r="Q166" s="228"/>
      <c r="R166" s="229"/>
      <c r="S166" s="230"/>
      <c r="T166" s="231"/>
      <c r="U166" s="232"/>
      <c r="V166" s="233"/>
      <c r="W166" s="627"/>
    </row>
    <row r="167" spans="2:23" ht="12.95" customHeight="1">
      <c r="B167" s="899"/>
      <c r="C167" s="250" t="s">
        <v>124</v>
      </c>
      <c r="D167" s="161"/>
      <c r="E167" s="162"/>
      <c r="F167" s="417"/>
      <c r="G167" s="163"/>
      <c r="H167" s="164"/>
      <c r="I167" s="513" t="str">
        <f t="shared" ref="I167:I176" si="30">IF(D167=0,"",D167*1/G167*H167)</f>
        <v/>
      </c>
      <c r="J167" s="514" t="str">
        <f t="shared" si="29"/>
        <v/>
      </c>
      <c r="K167" s="165"/>
      <c r="L167" s="165"/>
      <c r="M167" s="166"/>
      <c r="N167" s="165"/>
      <c r="O167" s="167"/>
      <c r="P167" s="168"/>
      <c r="Q167" s="169"/>
      <c r="R167" s="170"/>
      <c r="S167" s="171"/>
      <c r="T167" s="172"/>
      <c r="U167" s="173"/>
      <c r="V167" s="174"/>
      <c r="W167" s="628"/>
    </row>
    <row r="168" spans="2:23" ht="12.95" customHeight="1">
      <c r="B168" s="899"/>
      <c r="C168" s="251" t="s">
        <v>191</v>
      </c>
      <c r="D168" s="161"/>
      <c r="E168" s="162"/>
      <c r="F168" s="417"/>
      <c r="G168" s="163"/>
      <c r="H168" s="164"/>
      <c r="I168" s="513" t="str">
        <f t="shared" si="30"/>
        <v/>
      </c>
      <c r="J168" s="514" t="str">
        <f t="shared" si="29"/>
        <v/>
      </c>
      <c r="K168" s="165"/>
      <c r="L168" s="165"/>
      <c r="M168" s="166"/>
      <c r="N168" s="165"/>
      <c r="O168" s="167"/>
      <c r="P168" s="168"/>
      <c r="Q168" s="169"/>
      <c r="R168" s="170"/>
      <c r="S168" s="171"/>
      <c r="T168" s="172"/>
      <c r="U168" s="173"/>
      <c r="V168" s="174"/>
      <c r="W168" s="628"/>
    </row>
    <row r="169" spans="2:23" ht="12.95" customHeight="1">
      <c r="B169" s="899"/>
      <c r="C169" s="252" t="s">
        <v>192</v>
      </c>
      <c r="D169" s="161"/>
      <c r="E169" s="162"/>
      <c r="F169" s="417"/>
      <c r="G169" s="163"/>
      <c r="H169" s="164"/>
      <c r="I169" s="513" t="str">
        <f t="shared" si="30"/>
        <v/>
      </c>
      <c r="J169" s="514" t="str">
        <f t="shared" si="29"/>
        <v/>
      </c>
      <c r="K169" s="165"/>
      <c r="L169" s="165"/>
      <c r="M169" s="166"/>
      <c r="N169" s="165"/>
      <c r="O169" s="167"/>
      <c r="P169" s="168"/>
      <c r="Q169" s="169"/>
      <c r="R169" s="170"/>
      <c r="S169" s="171"/>
      <c r="T169" s="172"/>
      <c r="U169" s="173"/>
      <c r="V169" s="174"/>
      <c r="W169" s="628"/>
    </row>
    <row r="170" spans="2:23" ht="12.95" customHeight="1">
      <c r="B170" s="899"/>
      <c r="C170" s="252"/>
      <c r="D170" s="161"/>
      <c r="E170" s="162"/>
      <c r="F170" s="417"/>
      <c r="G170" s="163"/>
      <c r="H170" s="164"/>
      <c r="I170" s="513" t="str">
        <f t="shared" si="30"/>
        <v/>
      </c>
      <c r="J170" s="514" t="str">
        <f t="shared" si="29"/>
        <v/>
      </c>
      <c r="K170" s="165"/>
      <c r="L170" s="165"/>
      <c r="M170" s="166"/>
      <c r="N170" s="165"/>
      <c r="O170" s="167"/>
      <c r="P170" s="168"/>
      <c r="Q170" s="169"/>
      <c r="R170" s="170"/>
      <c r="S170" s="171"/>
      <c r="T170" s="172"/>
      <c r="U170" s="173"/>
      <c r="V170" s="174"/>
      <c r="W170" s="628"/>
    </row>
    <row r="171" spans="2:23" ht="12.95" customHeight="1">
      <c r="B171" s="899"/>
      <c r="C171" s="252"/>
      <c r="D171" s="161"/>
      <c r="E171" s="162"/>
      <c r="F171" s="417"/>
      <c r="G171" s="163"/>
      <c r="H171" s="164"/>
      <c r="I171" s="513" t="str">
        <f t="shared" si="30"/>
        <v/>
      </c>
      <c r="J171" s="514" t="str">
        <f t="shared" si="29"/>
        <v/>
      </c>
      <c r="K171" s="165"/>
      <c r="L171" s="165"/>
      <c r="M171" s="166"/>
      <c r="N171" s="165"/>
      <c r="O171" s="167"/>
      <c r="P171" s="168"/>
      <c r="Q171" s="169"/>
      <c r="R171" s="170"/>
      <c r="S171" s="171"/>
      <c r="T171" s="172"/>
      <c r="U171" s="173"/>
      <c r="V171" s="174"/>
      <c r="W171" s="628"/>
    </row>
    <row r="172" spans="2:23" ht="12.95" customHeight="1">
      <c r="B172" s="899"/>
      <c r="C172" s="252"/>
      <c r="D172" s="161"/>
      <c r="E172" s="162"/>
      <c r="F172" s="417"/>
      <c r="G172" s="163"/>
      <c r="H172" s="164"/>
      <c r="I172" s="513" t="str">
        <f t="shared" si="30"/>
        <v/>
      </c>
      <c r="J172" s="514" t="str">
        <f t="shared" si="29"/>
        <v/>
      </c>
      <c r="K172" s="165"/>
      <c r="L172" s="165"/>
      <c r="M172" s="166"/>
      <c r="N172" s="165"/>
      <c r="O172" s="167"/>
      <c r="P172" s="168"/>
      <c r="Q172" s="169"/>
      <c r="R172" s="170"/>
      <c r="S172" s="171"/>
      <c r="T172" s="172"/>
      <c r="U172" s="173"/>
      <c r="V172" s="174"/>
      <c r="W172" s="628"/>
    </row>
    <row r="173" spans="2:23" ht="12.95" customHeight="1">
      <c r="B173" s="899"/>
      <c r="C173" s="252"/>
      <c r="D173" s="161"/>
      <c r="E173" s="162"/>
      <c r="F173" s="417"/>
      <c r="G173" s="163"/>
      <c r="H173" s="164"/>
      <c r="I173" s="513" t="str">
        <f t="shared" si="30"/>
        <v/>
      </c>
      <c r="J173" s="514" t="str">
        <f t="shared" si="29"/>
        <v/>
      </c>
      <c r="K173" s="165"/>
      <c r="L173" s="165"/>
      <c r="M173" s="166"/>
      <c r="N173" s="165"/>
      <c r="O173" s="167"/>
      <c r="P173" s="168"/>
      <c r="Q173" s="169"/>
      <c r="R173" s="170"/>
      <c r="S173" s="171"/>
      <c r="T173" s="172"/>
      <c r="U173" s="173"/>
      <c r="V173" s="174"/>
      <c r="W173" s="628"/>
    </row>
    <row r="174" spans="2:23" ht="12.95" customHeight="1">
      <c r="B174" s="899"/>
      <c r="C174" s="252"/>
      <c r="D174" s="161"/>
      <c r="E174" s="162"/>
      <c r="F174" s="417"/>
      <c r="G174" s="163"/>
      <c r="H174" s="164"/>
      <c r="I174" s="513" t="str">
        <f t="shared" si="30"/>
        <v/>
      </c>
      <c r="J174" s="514" t="str">
        <f t="shared" si="29"/>
        <v/>
      </c>
      <c r="K174" s="165"/>
      <c r="L174" s="165"/>
      <c r="M174" s="166"/>
      <c r="N174" s="165"/>
      <c r="O174" s="167"/>
      <c r="P174" s="168"/>
      <c r="Q174" s="169"/>
      <c r="R174" s="170"/>
      <c r="S174" s="171"/>
      <c r="T174" s="172"/>
      <c r="U174" s="173"/>
      <c r="V174" s="174"/>
      <c r="W174" s="628"/>
    </row>
    <row r="175" spans="2:23" ht="12.95" customHeight="1">
      <c r="B175" s="899"/>
      <c r="C175" s="252"/>
      <c r="D175" s="161"/>
      <c r="E175" s="162"/>
      <c r="F175" s="417"/>
      <c r="G175" s="163"/>
      <c r="H175" s="164"/>
      <c r="I175" s="513" t="str">
        <f t="shared" si="30"/>
        <v/>
      </c>
      <c r="J175" s="514" t="str">
        <f t="shared" si="29"/>
        <v/>
      </c>
      <c r="K175" s="165"/>
      <c r="L175" s="165"/>
      <c r="M175" s="166"/>
      <c r="N175" s="165"/>
      <c r="O175" s="167"/>
      <c r="P175" s="168"/>
      <c r="Q175" s="169"/>
      <c r="R175" s="170"/>
      <c r="S175" s="171"/>
      <c r="T175" s="172"/>
      <c r="U175" s="173"/>
      <c r="V175" s="174"/>
      <c r="W175" s="628"/>
    </row>
    <row r="176" spans="2:23" ht="12.95" customHeight="1" thickBot="1">
      <c r="B176" s="899"/>
      <c r="C176" s="253"/>
      <c r="D176" s="235"/>
      <c r="E176" s="236"/>
      <c r="F176" s="415"/>
      <c r="G176" s="237"/>
      <c r="H176" s="238"/>
      <c r="I176" s="353" t="str">
        <f t="shared" si="30"/>
        <v/>
      </c>
      <c r="J176" s="512" t="str">
        <f t="shared" si="29"/>
        <v/>
      </c>
      <c r="K176" s="239"/>
      <c r="L176" s="239"/>
      <c r="M176" s="240"/>
      <c r="N176" s="239"/>
      <c r="O176" s="241"/>
      <c r="P176" s="242"/>
      <c r="Q176" s="243"/>
      <c r="R176" s="244"/>
      <c r="S176" s="245"/>
      <c r="T176" s="246"/>
      <c r="U176" s="247"/>
      <c r="V176" s="248"/>
      <c r="W176" s="629"/>
    </row>
    <row r="177" spans="2:23" ht="12.95" customHeight="1" thickTop="1" thickBot="1">
      <c r="B177" s="900"/>
      <c r="C177" s="503" t="s">
        <v>288</v>
      </c>
      <c r="D177" s="234"/>
      <c r="E177" s="328"/>
      <c r="F177" s="416"/>
      <c r="G177" s="329"/>
      <c r="H177" s="330"/>
      <c r="I177" s="339"/>
      <c r="J177" s="509">
        <f>SUM(J166:J176)</f>
        <v>0</v>
      </c>
      <c r="K177" s="331"/>
      <c r="L177" s="331"/>
      <c r="M177" s="332"/>
      <c r="N177" s="331"/>
      <c r="O177" s="333"/>
      <c r="P177" s="334"/>
      <c r="Q177" s="335"/>
      <c r="R177" s="336"/>
      <c r="S177" s="337"/>
      <c r="T177" s="504"/>
      <c r="U177" s="339"/>
      <c r="V177" s="340"/>
      <c r="W177" s="626"/>
    </row>
    <row r="178" spans="2:23" ht="13.5" customHeight="1">
      <c r="C178" s="100"/>
      <c r="D178" s="100"/>
      <c r="E178" s="100"/>
      <c r="F178" s="445"/>
      <c r="G178" s="100"/>
      <c r="H178" s="100"/>
      <c r="I178" s="508"/>
      <c r="J178" s="448"/>
      <c r="K178" s="1"/>
      <c r="L178" s="1"/>
      <c r="M178" s="446"/>
      <c r="N178" s="1"/>
      <c r="O178" s="1"/>
      <c r="P178" s="1"/>
      <c r="Q178" s="447"/>
      <c r="R178" s="447"/>
      <c r="S178" s="447"/>
      <c r="T178" s="448"/>
      <c r="U178" s="448"/>
      <c r="V178" s="448"/>
      <c r="W178" s="203"/>
    </row>
    <row r="179" spans="2:23" s="199" customFormat="1">
      <c r="F179" s="449"/>
      <c r="I179" s="453"/>
      <c r="J179" s="453"/>
      <c r="K179" s="450"/>
      <c r="L179" s="450"/>
      <c r="M179" s="451"/>
      <c r="N179" s="450"/>
      <c r="O179" s="450"/>
      <c r="P179" s="450"/>
      <c r="Q179" s="452"/>
      <c r="R179" s="452"/>
      <c r="S179" s="452"/>
      <c r="T179" s="453"/>
      <c r="U179" s="453"/>
      <c r="V179" s="453"/>
      <c r="W179" s="632"/>
    </row>
    <row r="180" spans="2:23" s="199" customFormat="1">
      <c r="F180" s="449"/>
      <c r="I180" s="453"/>
      <c r="J180" s="453"/>
      <c r="K180" s="450"/>
      <c r="L180" s="450"/>
      <c r="M180" s="451"/>
      <c r="N180" s="450"/>
      <c r="O180" s="450"/>
      <c r="P180" s="450"/>
      <c r="Q180" s="452"/>
      <c r="R180" s="452"/>
      <c r="S180" s="452"/>
      <c r="T180" s="453"/>
      <c r="U180" s="453"/>
      <c r="V180" s="453"/>
      <c r="W180" s="632"/>
    </row>
    <row r="181" spans="2:23" s="199" customFormat="1">
      <c r="F181" s="449"/>
      <c r="I181" s="453"/>
      <c r="J181" s="453"/>
      <c r="K181" s="450"/>
      <c r="L181" s="450"/>
      <c r="M181" s="451"/>
      <c r="N181" s="450"/>
      <c r="O181" s="450"/>
      <c r="P181" s="450"/>
      <c r="Q181" s="452"/>
      <c r="R181" s="452"/>
      <c r="S181" s="452"/>
      <c r="T181" s="453"/>
      <c r="U181" s="453"/>
      <c r="V181" s="453"/>
      <c r="W181" s="632"/>
    </row>
    <row r="182" spans="2:23" s="199" customFormat="1">
      <c r="F182" s="449"/>
      <c r="I182" s="453"/>
      <c r="J182" s="453"/>
      <c r="K182" s="450"/>
      <c r="L182" s="450"/>
      <c r="M182" s="451"/>
      <c r="N182" s="450"/>
      <c r="O182" s="450"/>
      <c r="P182" s="450"/>
      <c r="Q182" s="452"/>
      <c r="R182" s="452"/>
      <c r="S182" s="452"/>
      <c r="T182" s="453"/>
      <c r="U182" s="453"/>
      <c r="V182" s="453"/>
      <c r="W182" s="632"/>
    </row>
    <row r="183" spans="2:23" s="199" customFormat="1">
      <c r="F183" s="449"/>
      <c r="I183" s="453"/>
      <c r="J183" s="453"/>
      <c r="K183" s="450"/>
      <c r="L183" s="450"/>
      <c r="M183" s="451"/>
      <c r="N183" s="450"/>
      <c r="O183" s="450"/>
      <c r="P183" s="450"/>
      <c r="Q183" s="452"/>
      <c r="R183" s="452"/>
      <c r="S183" s="452"/>
      <c r="T183" s="453"/>
      <c r="U183" s="453"/>
      <c r="V183" s="453"/>
      <c r="W183" s="632"/>
    </row>
    <row r="184" spans="2:23" s="199" customFormat="1">
      <c r="F184" s="449"/>
      <c r="I184" s="453"/>
      <c r="J184" s="453"/>
      <c r="K184" s="450"/>
      <c r="L184" s="450"/>
      <c r="M184" s="451"/>
      <c r="N184" s="450"/>
      <c r="O184" s="450"/>
      <c r="P184" s="450"/>
      <c r="Q184" s="452"/>
      <c r="R184" s="452"/>
      <c r="S184" s="452"/>
      <c r="T184" s="453"/>
      <c r="U184" s="453"/>
      <c r="V184" s="453"/>
      <c r="W184" s="632"/>
    </row>
    <row r="185" spans="2:23" s="199" customFormat="1">
      <c r="F185" s="449"/>
      <c r="I185" s="453"/>
      <c r="J185" s="453"/>
      <c r="K185" s="450"/>
      <c r="L185" s="450"/>
      <c r="M185" s="451"/>
      <c r="N185" s="450"/>
      <c r="O185" s="450"/>
      <c r="P185" s="450"/>
      <c r="Q185" s="452"/>
      <c r="R185" s="452"/>
      <c r="S185" s="452"/>
      <c r="T185" s="453"/>
      <c r="U185" s="453"/>
      <c r="V185" s="453"/>
      <c r="W185" s="632"/>
    </row>
    <row r="186" spans="2:23" s="199" customFormat="1">
      <c r="F186" s="449"/>
      <c r="I186" s="453" t="s">
        <v>287</v>
      </c>
      <c r="J186" s="453" t="s">
        <v>287</v>
      </c>
      <c r="K186" s="450"/>
      <c r="L186" s="450"/>
      <c r="M186" s="451"/>
      <c r="N186" s="450"/>
      <c r="O186" s="450">
        <v>0</v>
      </c>
      <c r="P186" s="450"/>
      <c r="Q186" s="452"/>
      <c r="R186" s="452"/>
      <c r="S186" s="452"/>
      <c r="T186" s="453" t="s">
        <v>287</v>
      </c>
      <c r="U186" s="453" t="s">
        <v>287</v>
      </c>
      <c r="V186" s="453" t="s">
        <v>287</v>
      </c>
      <c r="W186" s="632"/>
    </row>
    <row r="187" spans="2:23" s="199" customFormat="1">
      <c r="F187" s="449"/>
      <c r="I187" s="453" t="s">
        <v>287</v>
      </c>
      <c r="J187" s="453" t="s">
        <v>287</v>
      </c>
      <c r="K187" s="450"/>
      <c r="L187" s="450"/>
      <c r="M187" s="451"/>
      <c r="N187" s="450"/>
      <c r="O187" s="450">
        <v>0</v>
      </c>
      <c r="P187" s="450"/>
      <c r="Q187" s="452"/>
      <c r="R187" s="452"/>
      <c r="S187" s="452"/>
      <c r="T187" s="453" t="s">
        <v>287</v>
      </c>
      <c r="U187" s="453" t="s">
        <v>287</v>
      </c>
      <c r="V187" s="453" t="s">
        <v>287</v>
      </c>
      <c r="W187" s="632"/>
    </row>
    <row r="188" spans="2:23" s="199" customFormat="1">
      <c r="C188" s="200"/>
      <c r="D188" s="200"/>
      <c r="E188" s="200"/>
      <c r="F188" s="454"/>
      <c r="G188" s="200"/>
      <c r="H188" s="200"/>
      <c r="I188" s="458" t="s">
        <v>287</v>
      </c>
      <c r="J188" s="458" t="s">
        <v>287</v>
      </c>
      <c r="K188" s="455"/>
      <c r="L188" s="455"/>
      <c r="M188" s="456"/>
      <c r="N188" s="455"/>
      <c r="O188" s="455">
        <v>0</v>
      </c>
      <c r="P188" s="455"/>
      <c r="Q188" s="457"/>
      <c r="R188" s="457"/>
      <c r="S188" s="457"/>
      <c r="T188" s="458" t="s">
        <v>287</v>
      </c>
      <c r="U188" s="458" t="s">
        <v>287</v>
      </c>
      <c r="V188" s="458" t="s">
        <v>287</v>
      </c>
      <c r="W188" s="633"/>
    </row>
    <row r="189" spans="2:23" s="199" customFormat="1">
      <c r="C189" s="200"/>
      <c r="D189" s="200"/>
      <c r="E189" s="200"/>
      <c r="F189" s="454"/>
      <c r="G189" s="200"/>
      <c r="H189" s="200"/>
      <c r="I189" s="458" t="s">
        <v>287</v>
      </c>
      <c r="J189" s="458" t="s">
        <v>287</v>
      </c>
      <c r="K189" s="455"/>
      <c r="L189" s="455"/>
      <c r="M189" s="456"/>
      <c r="N189" s="455"/>
      <c r="O189" s="455">
        <v>0</v>
      </c>
      <c r="P189" s="455"/>
      <c r="Q189" s="457"/>
      <c r="R189" s="457"/>
      <c r="S189" s="457"/>
      <c r="T189" s="458" t="s">
        <v>287</v>
      </c>
      <c r="U189" s="458" t="s">
        <v>287</v>
      </c>
      <c r="V189" s="458" t="s">
        <v>287</v>
      </c>
      <c r="W189" s="633"/>
    </row>
    <row r="190" spans="2:23" s="199" customFormat="1">
      <c r="C190" s="200"/>
      <c r="D190" s="200"/>
      <c r="E190" s="200"/>
      <c r="F190" s="454"/>
      <c r="G190" s="200"/>
      <c r="H190" s="200"/>
      <c r="I190" s="458" t="s">
        <v>287</v>
      </c>
      <c r="J190" s="458" t="s">
        <v>287</v>
      </c>
      <c r="K190" s="455"/>
      <c r="L190" s="455"/>
      <c r="M190" s="456"/>
      <c r="N190" s="455"/>
      <c r="O190" s="455">
        <v>0</v>
      </c>
      <c r="P190" s="455"/>
      <c r="Q190" s="457"/>
      <c r="R190" s="457"/>
      <c r="S190" s="457"/>
      <c r="T190" s="458" t="s">
        <v>287</v>
      </c>
      <c r="U190" s="458" t="s">
        <v>287</v>
      </c>
      <c r="V190" s="458" t="s">
        <v>287</v>
      </c>
      <c r="W190" s="633"/>
    </row>
    <row r="191" spans="2:23" s="199" customFormat="1">
      <c r="C191" s="200"/>
      <c r="D191" s="200"/>
      <c r="E191" s="200"/>
      <c r="F191" s="454"/>
      <c r="G191" s="200"/>
      <c r="H191" s="200"/>
      <c r="I191" s="458" t="s">
        <v>287</v>
      </c>
      <c r="J191" s="458" t="s">
        <v>287</v>
      </c>
      <c r="K191" s="455"/>
      <c r="L191" s="455"/>
      <c r="M191" s="456"/>
      <c r="N191" s="455"/>
      <c r="O191" s="455">
        <v>0</v>
      </c>
      <c r="P191" s="455"/>
      <c r="Q191" s="457"/>
      <c r="R191" s="457"/>
      <c r="S191" s="457"/>
      <c r="T191" s="458" t="s">
        <v>287</v>
      </c>
      <c r="U191" s="458" t="s">
        <v>287</v>
      </c>
      <c r="V191" s="458" t="s">
        <v>287</v>
      </c>
      <c r="W191" s="633"/>
    </row>
    <row r="192" spans="2:23" s="199" customFormat="1">
      <c r="C192" s="200"/>
      <c r="D192" s="200"/>
      <c r="E192" s="200"/>
      <c r="F192" s="454"/>
      <c r="G192" s="200"/>
      <c r="H192" s="200"/>
      <c r="I192" s="458" t="s">
        <v>287</v>
      </c>
      <c r="J192" s="458" t="s">
        <v>287</v>
      </c>
      <c r="K192" s="455"/>
      <c r="L192" s="455"/>
      <c r="M192" s="456"/>
      <c r="N192" s="455"/>
      <c r="O192" s="455">
        <v>0</v>
      </c>
      <c r="P192" s="455"/>
      <c r="Q192" s="457"/>
      <c r="R192" s="457"/>
      <c r="S192" s="457"/>
      <c r="T192" s="458" t="s">
        <v>287</v>
      </c>
      <c r="U192" s="458" t="s">
        <v>287</v>
      </c>
      <c r="V192" s="458" t="s">
        <v>287</v>
      </c>
      <c r="W192" s="633"/>
    </row>
    <row r="193" spans="3:23" s="199" customFormat="1">
      <c r="C193" s="200"/>
      <c r="D193" s="200"/>
      <c r="E193" s="200"/>
      <c r="F193" s="454"/>
      <c r="G193" s="200"/>
      <c r="H193" s="200"/>
      <c r="I193" s="458" t="s">
        <v>287</v>
      </c>
      <c r="J193" s="458" t="s">
        <v>287</v>
      </c>
      <c r="K193" s="455"/>
      <c r="L193" s="455"/>
      <c r="M193" s="456"/>
      <c r="N193" s="455"/>
      <c r="O193" s="455">
        <v>0</v>
      </c>
      <c r="P193" s="455"/>
      <c r="Q193" s="457"/>
      <c r="R193" s="457"/>
      <c r="S193" s="457"/>
      <c r="T193" s="458" t="s">
        <v>287</v>
      </c>
      <c r="U193" s="458" t="s">
        <v>287</v>
      </c>
      <c r="V193" s="458" t="s">
        <v>287</v>
      </c>
      <c r="W193" s="633"/>
    </row>
    <row r="194" spans="3:23">
      <c r="I194" s="458" t="s">
        <v>287</v>
      </c>
      <c r="J194" s="458" t="s">
        <v>287</v>
      </c>
      <c r="O194" s="455">
        <v>0</v>
      </c>
      <c r="T194" s="458" t="s">
        <v>287</v>
      </c>
      <c r="U194" s="458" t="s">
        <v>287</v>
      </c>
      <c r="V194" s="458" t="s">
        <v>287</v>
      </c>
    </row>
    <row r="195" spans="3:23">
      <c r="I195" s="458" t="s">
        <v>287</v>
      </c>
      <c r="J195" s="458" t="s">
        <v>287</v>
      </c>
      <c r="O195" s="455">
        <v>0</v>
      </c>
      <c r="T195" s="458" t="s">
        <v>287</v>
      </c>
      <c r="U195" s="458" t="s">
        <v>287</v>
      </c>
      <c r="V195" s="458" t="s">
        <v>287</v>
      </c>
    </row>
    <row r="196" spans="3:23">
      <c r="I196" s="458" t="s">
        <v>287</v>
      </c>
      <c r="J196" s="458" t="s">
        <v>287</v>
      </c>
      <c r="O196" s="455">
        <v>0</v>
      </c>
      <c r="T196" s="458" t="s">
        <v>287</v>
      </c>
      <c r="U196" s="458" t="s">
        <v>287</v>
      </c>
      <c r="V196" s="458" t="s">
        <v>287</v>
      </c>
    </row>
    <row r="197" spans="3:23">
      <c r="I197" s="458" t="s">
        <v>287</v>
      </c>
      <c r="J197" s="458" t="s">
        <v>287</v>
      </c>
      <c r="O197" s="455">
        <v>0</v>
      </c>
      <c r="T197" s="458" t="s">
        <v>287</v>
      </c>
      <c r="U197" s="458" t="s">
        <v>287</v>
      </c>
      <c r="V197" s="458" t="s">
        <v>287</v>
      </c>
    </row>
    <row r="198" spans="3:23">
      <c r="I198" s="458" t="s">
        <v>287</v>
      </c>
      <c r="J198" s="458" t="s">
        <v>287</v>
      </c>
      <c r="O198" s="455">
        <v>0</v>
      </c>
      <c r="T198" s="458" t="s">
        <v>287</v>
      </c>
      <c r="U198" s="458" t="s">
        <v>287</v>
      </c>
      <c r="V198" s="458" t="s">
        <v>287</v>
      </c>
    </row>
    <row r="199" spans="3:23">
      <c r="I199" s="458" t="s">
        <v>287</v>
      </c>
      <c r="J199" s="458" t="s">
        <v>287</v>
      </c>
      <c r="O199" s="455">
        <v>0</v>
      </c>
      <c r="T199" s="458" t="s">
        <v>287</v>
      </c>
      <c r="U199" s="458" t="s">
        <v>287</v>
      </c>
      <c r="V199" s="458" t="s">
        <v>287</v>
      </c>
    </row>
    <row r="200" spans="3:23">
      <c r="I200" s="458" t="s">
        <v>287</v>
      </c>
      <c r="J200" s="458" t="s">
        <v>287</v>
      </c>
      <c r="O200" s="455">
        <v>0</v>
      </c>
      <c r="T200" s="458" t="s">
        <v>287</v>
      </c>
      <c r="U200" s="458" t="s">
        <v>287</v>
      </c>
      <c r="V200" s="458" t="s">
        <v>287</v>
      </c>
    </row>
    <row r="201" spans="3:23">
      <c r="I201" s="458" t="s">
        <v>287</v>
      </c>
      <c r="J201" s="458" t="s">
        <v>287</v>
      </c>
      <c r="O201" s="455">
        <v>0</v>
      </c>
      <c r="T201" s="458" t="s">
        <v>287</v>
      </c>
      <c r="U201" s="458" t="s">
        <v>287</v>
      </c>
      <c r="V201" s="458" t="s">
        <v>287</v>
      </c>
    </row>
    <row r="202" spans="3:23">
      <c r="I202" s="458" t="s">
        <v>287</v>
      </c>
      <c r="J202" s="458" t="s">
        <v>287</v>
      </c>
      <c r="O202" s="455">
        <v>0</v>
      </c>
      <c r="T202" s="458" t="s">
        <v>287</v>
      </c>
      <c r="U202" s="458" t="s">
        <v>287</v>
      </c>
      <c r="V202" s="458" t="s">
        <v>287</v>
      </c>
    </row>
    <row r="203" spans="3:23">
      <c r="I203" s="458" t="s">
        <v>287</v>
      </c>
      <c r="J203" s="458" t="s">
        <v>287</v>
      </c>
      <c r="O203" s="455">
        <v>0</v>
      </c>
      <c r="T203" s="458" t="s">
        <v>287</v>
      </c>
      <c r="U203" s="458" t="s">
        <v>287</v>
      </c>
      <c r="V203" s="458" t="s">
        <v>287</v>
      </c>
    </row>
    <row r="204" spans="3:23">
      <c r="I204" s="458" t="s">
        <v>287</v>
      </c>
      <c r="J204" s="458" t="s">
        <v>287</v>
      </c>
      <c r="O204" s="455">
        <v>0</v>
      </c>
      <c r="T204" s="458" t="s">
        <v>287</v>
      </c>
      <c r="U204" s="458" t="s">
        <v>287</v>
      </c>
      <c r="V204" s="458" t="s">
        <v>287</v>
      </c>
    </row>
    <row r="205" spans="3:23">
      <c r="I205" s="458" t="s">
        <v>287</v>
      </c>
      <c r="J205" s="458" t="s">
        <v>287</v>
      </c>
      <c r="O205" s="455">
        <v>0</v>
      </c>
      <c r="T205" s="458" t="s">
        <v>287</v>
      </c>
      <c r="U205" s="458" t="s">
        <v>287</v>
      </c>
      <c r="V205" s="458" t="s">
        <v>287</v>
      </c>
    </row>
    <row r="206" spans="3:23">
      <c r="I206" s="458" t="s">
        <v>287</v>
      </c>
      <c r="J206" s="458" t="s">
        <v>287</v>
      </c>
      <c r="O206" s="455">
        <v>0</v>
      </c>
      <c r="T206" s="458" t="s">
        <v>287</v>
      </c>
      <c r="U206" s="458" t="s">
        <v>287</v>
      </c>
      <c r="V206" s="458" t="s">
        <v>287</v>
      </c>
    </row>
    <row r="207" spans="3:23">
      <c r="I207" s="458" t="s">
        <v>287</v>
      </c>
      <c r="J207" s="458" t="s">
        <v>287</v>
      </c>
      <c r="O207" s="455">
        <v>0</v>
      </c>
      <c r="T207" s="458" t="s">
        <v>287</v>
      </c>
      <c r="U207" s="458" t="s">
        <v>287</v>
      </c>
      <c r="V207" s="458" t="s">
        <v>287</v>
      </c>
    </row>
    <row r="208" spans="3:23">
      <c r="I208" s="458" t="s">
        <v>287</v>
      </c>
      <c r="J208" s="458" t="s">
        <v>287</v>
      </c>
      <c r="O208" s="455">
        <v>0</v>
      </c>
      <c r="T208" s="458" t="s">
        <v>287</v>
      </c>
      <c r="U208" s="458" t="s">
        <v>287</v>
      </c>
      <c r="V208" s="458" t="s">
        <v>287</v>
      </c>
    </row>
    <row r="209" spans="9:22">
      <c r="I209" s="458" t="s">
        <v>287</v>
      </c>
      <c r="J209" s="458" t="s">
        <v>287</v>
      </c>
      <c r="O209" s="455">
        <v>0</v>
      </c>
      <c r="T209" s="458" t="s">
        <v>287</v>
      </c>
      <c r="U209" s="458" t="s">
        <v>287</v>
      </c>
      <c r="V209" s="458" t="s">
        <v>287</v>
      </c>
    </row>
    <row r="210" spans="9:22">
      <c r="I210" s="458" t="s">
        <v>287</v>
      </c>
      <c r="J210" s="458" t="s">
        <v>287</v>
      </c>
      <c r="O210" s="455">
        <v>0</v>
      </c>
      <c r="T210" s="458" t="s">
        <v>287</v>
      </c>
      <c r="U210" s="458" t="s">
        <v>287</v>
      </c>
      <c r="V210" s="458" t="s">
        <v>287</v>
      </c>
    </row>
    <row r="211" spans="9:22">
      <c r="T211" s="458"/>
      <c r="U211" s="458"/>
      <c r="V211" s="458"/>
    </row>
    <row r="212" spans="9:22">
      <c r="T212" s="458"/>
      <c r="U212" s="458"/>
      <c r="V212" s="458"/>
    </row>
    <row r="213" spans="9:22">
      <c r="T213" s="458"/>
      <c r="U213" s="458"/>
      <c r="V213" s="458"/>
    </row>
    <row r="214" spans="9:22">
      <c r="T214" s="458"/>
      <c r="U214" s="458"/>
      <c r="V214" s="458"/>
    </row>
    <row r="215" spans="9:22">
      <c r="T215" s="458"/>
      <c r="U215" s="458"/>
      <c r="V215" s="458"/>
    </row>
    <row r="216" spans="9:22">
      <c r="T216" s="458"/>
      <c r="U216" s="458"/>
      <c r="V216" s="458"/>
    </row>
    <row r="217" spans="9:22">
      <c r="T217" s="458"/>
      <c r="U217" s="458"/>
      <c r="V217" s="458"/>
    </row>
    <row r="218" spans="9:22">
      <c r="T218" s="458"/>
      <c r="U218" s="458"/>
      <c r="V218" s="458"/>
    </row>
    <row r="219" spans="9:22">
      <c r="T219" s="458"/>
      <c r="U219" s="458"/>
      <c r="V219" s="458"/>
    </row>
    <row r="220" spans="9:22">
      <c r="T220" s="458"/>
      <c r="U220" s="458"/>
      <c r="V220" s="458"/>
    </row>
    <row r="221" spans="9:22">
      <c r="T221" s="458"/>
      <c r="U221" s="458"/>
      <c r="V221" s="458"/>
    </row>
    <row r="222" spans="9:22" hidden="1">
      <c r="T222" s="458"/>
      <c r="U222" s="458"/>
      <c r="V222" s="458"/>
    </row>
    <row r="223" spans="9:22">
      <c r="T223" s="458"/>
      <c r="U223" s="458"/>
      <c r="V223" s="458"/>
    </row>
    <row r="224" spans="9:22">
      <c r="T224" s="458"/>
      <c r="U224" s="458"/>
      <c r="V224" s="458"/>
    </row>
    <row r="225" spans="20:22">
      <c r="T225" s="458"/>
      <c r="U225" s="458"/>
      <c r="V225" s="458"/>
    </row>
    <row r="226" spans="20:22">
      <c r="T226" s="458"/>
      <c r="U226" s="458"/>
      <c r="V226" s="458"/>
    </row>
    <row r="227" spans="20:22">
      <c r="T227" s="458"/>
      <c r="U227" s="458"/>
      <c r="V227" s="458"/>
    </row>
    <row r="228" spans="20:22">
      <c r="T228" s="458"/>
      <c r="U228" s="458"/>
      <c r="V228" s="458"/>
    </row>
    <row r="229" spans="20:22">
      <c r="T229" s="458"/>
      <c r="U229" s="458"/>
      <c r="V229" s="458"/>
    </row>
    <row r="230" spans="20:22">
      <c r="T230" s="458"/>
      <c r="U230" s="458"/>
      <c r="V230" s="458"/>
    </row>
    <row r="231" spans="20:22">
      <c r="T231" s="458"/>
      <c r="U231" s="458"/>
      <c r="V231" s="458"/>
    </row>
    <row r="232" spans="20:22">
      <c r="T232" s="458"/>
      <c r="U232" s="458"/>
      <c r="V232" s="458"/>
    </row>
    <row r="233" spans="20:22">
      <c r="T233" s="458"/>
      <c r="U233" s="458"/>
      <c r="V233" s="458"/>
    </row>
    <row r="234" spans="20:22">
      <c r="T234" s="458"/>
      <c r="U234" s="458"/>
      <c r="V234" s="458"/>
    </row>
    <row r="235" spans="20:22">
      <c r="T235" s="458"/>
      <c r="U235" s="458"/>
      <c r="V235" s="458"/>
    </row>
    <row r="236" spans="20:22">
      <c r="T236" s="458"/>
      <c r="U236" s="458"/>
      <c r="V236" s="458"/>
    </row>
    <row r="237" spans="20:22">
      <c r="T237" s="458"/>
      <c r="U237" s="458"/>
      <c r="V237" s="458"/>
    </row>
    <row r="238" spans="20:22">
      <c r="T238" s="458"/>
      <c r="U238" s="458"/>
      <c r="V238" s="458"/>
    </row>
    <row r="239" spans="20:22">
      <c r="T239" s="458"/>
      <c r="U239" s="458"/>
      <c r="V239" s="458"/>
    </row>
    <row r="240" spans="20:22">
      <c r="T240" s="458"/>
      <c r="U240" s="458"/>
      <c r="V240" s="458"/>
    </row>
    <row r="241" spans="20:22">
      <c r="T241" s="458"/>
      <c r="U241" s="458"/>
      <c r="V241" s="458"/>
    </row>
    <row r="242" spans="20:22">
      <c r="T242" s="458"/>
      <c r="U242" s="458"/>
      <c r="V242" s="458"/>
    </row>
    <row r="243" spans="20:22">
      <c r="T243" s="458"/>
      <c r="U243" s="458"/>
      <c r="V243" s="458"/>
    </row>
    <row r="244" spans="20:22">
      <c r="T244" s="458"/>
      <c r="U244" s="458"/>
      <c r="V244" s="458"/>
    </row>
    <row r="245" spans="20:22">
      <c r="T245" s="458"/>
      <c r="U245" s="458"/>
      <c r="V245" s="458"/>
    </row>
    <row r="246" spans="20:22">
      <c r="T246" s="458"/>
      <c r="U246" s="458"/>
      <c r="V246" s="458"/>
    </row>
    <row r="247" spans="20:22">
      <c r="T247" s="458"/>
      <c r="U247" s="458"/>
      <c r="V247" s="458"/>
    </row>
    <row r="248" spans="20:22">
      <c r="T248" s="458"/>
      <c r="U248" s="458"/>
      <c r="V248" s="458"/>
    </row>
    <row r="249" spans="20:22">
      <c r="T249" s="458"/>
      <c r="U249" s="458"/>
      <c r="V249" s="458"/>
    </row>
    <row r="250" spans="20:22">
      <c r="T250" s="458"/>
      <c r="U250" s="458"/>
      <c r="V250" s="458"/>
    </row>
    <row r="251" spans="20:22">
      <c r="T251" s="458"/>
      <c r="U251" s="458"/>
      <c r="V251" s="458"/>
    </row>
    <row r="252" spans="20:22">
      <c r="T252" s="458"/>
      <c r="U252" s="458"/>
      <c r="V252" s="458"/>
    </row>
    <row r="253" spans="20:22">
      <c r="T253" s="458"/>
      <c r="U253" s="458"/>
      <c r="V253" s="458"/>
    </row>
    <row r="254" spans="20:22">
      <c r="T254" s="458"/>
      <c r="U254" s="458"/>
      <c r="V254" s="458"/>
    </row>
    <row r="255" spans="20:22">
      <c r="T255" s="458"/>
      <c r="U255" s="458"/>
      <c r="V255" s="458"/>
    </row>
    <row r="256" spans="20:22">
      <c r="T256" s="458"/>
      <c r="U256" s="458"/>
      <c r="V256" s="458"/>
    </row>
    <row r="257" spans="20:22">
      <c r="T257" s="458"/>
      <c r="U257" s="458"/>
      <c r="V257" s="458"/>
    </row>
    <row r="258" spans="20:22">
      <c r="T258" s="458"/>
      <c r="U258" s="458"/>
      <c r="V258" s="458"/>
    </row>
    <row r="259" spans="20:22">
      <c r="T259" s="458"/>
      <c r="U259" s="458"/>
      <c r="V259" s="458"/>
    </row>
    <row r="260" spans="20:22">
      <c r="T260" s="458"/>
      <c r="U260" s="458"/>
      <c r="V260" s="458"/>
    </row>
    <row r="261" spans="20:22">
      <c r="T261" s="458"/>
      <c r="U261" s="458"/>
      <c r="V261" s="458"/>
    </row>
    <row r="262" spans="20:22">
      <c r="T262" s="458"/>
      <c r="U262" s="458"/>
      <c r="V262" s="458"/>
    </row>
    <row r="263" spans="20:22">
      <c r="T263" s="458"/>
      <c r="U263" s="458"/>
      <c r="V263" s="458"/>
    </row>
    <row r="264" spans="20:22">
      <c r="T264" s="458"/>
      <c r="U264" s="458"/>
      <c r="V264" s="458"/>
    </row>
    <row r="265" spans="20:22">
      <c r="T265" s="458"/>
      <c r="U265" s="458"/>
      <c r="V265" s="458"/>
    </row>
    <row r="266" spans="20:22">
      <c r="T266" s="458"/>
      <c r="U266" s="458"/>
      <c r="V266" s="458"/>
    </row>
    <row r="267" spans="20:22">
      <c r="T267" s="458"/>
      <c r="U267" s="458"/>
      <c r="V267" s="458"/>
    </row>
    <row r="268" spans="20:22">
      <c r="T268" s="458"/>
      <c r="U268" s="458"/>
      <c r="V268" s="458"/>
    </row>
    <row r="269" spans="20:22">
      <c r="T269" s="458"/>
      <c r="U269" s="458"/>
      <c r="V269" s="458"/>
    </row>
    <row r="270" spans="20:22">
      <c r="T270" s="458"/>
      <c r="U270" s="458"/>
      <c r="V270" s="458"/>
    </row>
    <row r="271" spans="20:22">
      <c r="T271" s="458"/>
      <c r="U271" s="458"/>
      <c r="V271" s="458"/>
    </row>
    <row r="272" spans="20:22">
      <c r="T272" s="458"/>
      <c r="U272" s="458"/>
      <c r="V272" s="458"/>
    </row>
    <row r="273" spans="20:22">
      <c r="T273" s="458"/>
      <c r="U273" s="458"/>
      <c r="V273" s="458"/>
    </row>
    <row r="274" spans="20:22">
      <c r="T274" s="458"/>
      <c r="U274" s="458"/>
      <c r="V274" s="458"/>
    </row>
    <row r="275" spans="20:22">
      <c r="T275" s="458"/>
      <c r="U275" s="458"/>
      <c r="V275" s="458"/>
    </row>
    <row r="276" spans="20:22">
      <c r="T276" s="458"/>
      <c r="U276" s="458"/>
      <c r="V276" s="458"/>
    </row>
    <row r="277" spans="20:22">
      <c r="T277" s="458"/>
      <c r="U277" s="458"/>
      <c r="V277" s="458"/>
    </row>
    <row r="278" spans="20:22">
      <c r="T278" s="458"/>
      <c r="U278" s="458"/>
      <c r="V278" s="458"/>
    </row>
    <row r="279" spans="20:22">
      <c r="T279" s="458"/>
      <c r="U279" s="458"/>
      <c r="V279" s="458"/>
    </row>
    <row r="280" spans="20:22">
      <c r="T280" s="458"/>
      <c r="U280" s="458"/>
      <c r="V280" s="458"/>
    </row>
    <row r="281" spans="20:22">
      <c r="T281" s="458"/>
      <c r="U281" s="458"/>
      <c r="V281" s="458"/>
    </row>
    <row r="282" spans="20:22">
      <c r="T282" s="458"/>
      <c r="U282" s="458"/>
      <c r="V282" s="458"/>
    </row>
    <row r="283" spans="20:22">
      <c r="T283" s="458"/>
      <c r="U283" s="458"/>
      <c r="V283" s="458"/>
    </row>
    <row r="284" spans="20:22">
      <c r="T284" s="458"/>
      <c r="U284" s="458"/>
      <c r="V284" s="458"/>
    </row>
    <row r="285" spans="20:22">
      <c r="T285" s="458"/>
      <c r="U285" s="458"/>
      <c r="V285" s="458"/>
    </row>
    <row r="286" spans="20:22">
      <c r="T286" s="458"/>
      <c r="U286" s="458"/>
      <c r="V286" s="458"/>
    </row>
    <row r="287" spans="20:22">
      <c r="T287" s="458"/>
      <c r="U287" s="458"/>
      <c r="V287" s="458"/>
    </row>
    <row r="288" spans="20:22">
      <c r="T288" s="458"/>
      <c r="U288" s="458"/>
      <c r="V288" s="458"/>
    </row>
    <row r="289" spans="20:22">
      <c r="T289" s="458"/>
      <c r="U289" s="458"/>
      <c r="V289" s="458"/>
    </row>
    <row r="290" spans="20:22">
      <c r="T290" s="458"/>
      <c r="U290" s="458"/>
      <c r="V290" s="458"/>
    </row>
    <row r="291" spans="20:22">
      <c r="T291" s="458"/>
      <c r="U291" s="458"/>
      <c r="V291" s="458"/>
    </row>
    <row r="292" spans="20:22">
      <c r="T292" s="458"/>
      <c r="U292" s="458"/>
      <c r="V292" s="458"/>
    </row>
    <row r="293" spans="20:22">
      <c r="T293" s="458"/>
      <c r="U293" s="458"/>
      <c r="V293" s="458"/>
    </row>
    <row r="294" spans="20:22">
      <c r="T294" s="458"/>
      <c r="U294" s="458"/>
      <c r="V294" s="458"/>
    </row>
    <row r="295" spans="20:22">
      <c r="T295" s="458"/>
      <c r="U295" s="458"/>
      <c r="V295" s="458"/>
    </row>
    <row r="296" spans="20:22">
      <c r="T296" s="458"/>
      <c r="U296" s="458"/>
      <c r="V296" s="458"/>
    </row>
    <row r="297" spans="20:22">
      <c r="T297" s="458"/>
      <c r="U297" s="458"/>
      <c r="V297" s="458"/>
    </row>
    <row r="298" spans="20:22">
      <c r="T298" s="458"/>
      <c r="U298" s="458"/>
      <c r="V298" s="458"/>
    </row>
    <row r="299" spans="20:22">
      <c r="T299" s="458"/>
      <c r="U299" s="458"/>
      <c r="V299" s="458"/>
    </row>
    <row r="300" spans="20:22">
      <c r="T300" s="458"/>
      <c r="U300" s="458"/>
      <c r="V300" s="458"/>
    </row>
    <row r="301" spans="20:22">
      <c r="T301" s="458"/>
      <c r="U301" s="458"/>
      <c r="V301" s="458"/>
    </row>
    <row r="302" spans="20:22">
      <c r="T302" s="458"/>
      <c r="U302" s="458"/>
      <c r="V302" s="458"/>
    </row>
    <row r="303" spans="20:22">
      <c r="T303" s="458"/>
      <c r="U303" s="458"/>
      <c r="V303" s="458"/>
    </row>
    <row r="304" spans="20:22">
      <c r="T304" s="458"/>
      <c r="U304" s="458"/>
      <c r="V304" s="458"/>
    </row>
    <row r="305" spans="20:22">
      <c r="T305" s="458"/>
      <c r="U305" s="458"/>
      <c r="V305" s="458"/>
    </row>
    <row r="306" spans="20:22">
      <c r="T306" s="458"/>
      <c r="U306" s="458"/>
      <c r="V306" s="458"/>
    </row>
    <row r="307" spans="20:22"/>
    <row r="308" spans="20:22"/>
    <row r="309" spans="20:22"/>
    <row r="310" spans="20:22"/>
    <row r="311" spans="20:22"/>
    <row r="312" spans="20:22"/>
    <row r="313" spans="20:22"/>
    <row r="314" spans="20:22"/>
    <row r="315" spans="20:22"/>
    <row r="316" spans="20:22"/>
    <row r="317" spans="20:22"/>
    <row r="318" spans="20:22"/>
    <row r="319" spans="20:22"/>
    <row r="320" spans="20:22"/>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sheetData>
  <sheetProtection sheet="1" objects="1" scenarios="1" selectLockedCells="1"/>
  <mergeCells count="16">
    <mergeCell ref="B156:B160"/>
    <mergeCell ref="B161:B165"/>
    <mergeCell ref="B166:B177"/>
    <mergeCell ref="B135:B145"/>
    <mergeCell ref="B9:B20"/>
    <mergeCell ref="B21:B61"/>
    <mergeCell ref="B146:B150"/>
    <mergeCell ref="B151:B155"/>
    <mergeCell ref="B129:B134"/>
    <mergeCell ref="D1:E1"/>
    <mergeCell ref="B3:B8"/>
    <mergeCell ref="B62:B71"/>
    <mergeCell ref="B110:B116"/>
    <mergeCell ref="B122:B128"/>
    <mergeCell ref="B117:B121"/>
    <mergeCell ref="B72:B109"/>
  </mergeCells>
  <phoneticPr fontId="14"/>
  <dataValidations count="2">
    <dataValidation type="list" allowBlank="1" showErrorMessage="1" sqref="E108:E177 M3:M177 P3:P177 E8:E97">
      <formula1>単位</formula1>
      <formula2>0</formula2>
    </dataValidation>
    <dataValidation type="list" allowBlank="1" showInputMessage="1" showErrorMessage="1" sqref="E3:E7">
      <formula1>単位</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cellComments="asDisplayed" useFirstPageNumber="1" verticalDpi="300" r:id="rId1"/>
  <headerFooter alignWithMargins="0">
    <oddHeader>&amp;L&amp;D&amp;F &amp;A</oddHeader>
    <oddFooter>&amp;C&amp;14&amp;P/&amp;N</oddFooter>
  </headerFooter>
  <legacyDrawing r:id="rId2"/>
</worksheet>
</file>

<file path=xl/worksheets/sheet9.xml><?xml version="1.0" encoding="utf-8"?>
<worksheet xmlns="http://schemas.openxmlformats.org/spreadsheetml/2006/main" xmlns:r="http://schemas.openxmlformats.org/officeDocument/2006/relationships">
  <dimension ref="C3:D16"/>
  <sheetViews>
    <sheetView workbookViewId="0">
      <selection activeCell="C7" sqref="C7"/>
    </sheetView>
  </sheetViews>
  <sheetFormatPr defaultRowHeight="13.5"/>
  <cols>
    <col min="3" max="3" width="9.875" bestFit="1" customWidth="1"/>
    <col min="4" max="4" width="30.5" bestFit="1" customWidth="1"/>
  </cols>
  <sheetData>
    <row r="3" spans="3:4">
      <c r="C3" s="293" t="s">
        <v>371</v>
      </c>
      <c r="D3" s="295"/>
    </row>
    <row r="4" spans="3:4">
      <c r="C4" s="297"/>
      <c r="D4" s="295" t="s">
        <v>372</v>
      </c>
    </row>
    <row r="5" spans="3:4">
      <c r="C5" s="298"/>
      <c r="D5" s="295" t="s">
        <v>373</v>
      </c>
    </row>
    <row r="6" spans="3:4">
      <c r="C6" s="295"/>
      <c r="D6" s="295" t="s">
        <v>374</v>
      </c>
    </row>
    <row r="13" spans="3:4">
      <c r="C13" s="293" t="s">
        <v>367</v>
      </c>
      <c r="D13" s="293" t="s">
        <v>366</v>
      </c>
    </row>
    <row r="14" spans="3:4">
      <c r="C14" s="294"/>
      <c r="D14" s="295" t="s">
        <v>368</v>
      </c>
    </row>
    <row r="15" spans="3:4">
      <c r="C15" s="296"/>
      <c r="D15" s="295" t="s">
        <v>369</v>
      </c>
    </row>
    <row r="16" spans="3:4">
      <c r="C16" s="295"/>
      <c r="D16" s="295" t="s">
        <v>370</v>
      </c>
    </row>
  </sheetData>
  <phoneticPr fontId="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44</vt:i4>
      </vt:variant>
    </vt:vector>
  </HeadingPairs>
  <TitlesOfParts>
    <vt:vector size="60" baseType="lpstr">
      <vt:lpstr>経営収支</vt:lpstr>
      <vt:lpstr>作業体系表</vt:lpstr>
      <vt:lpstr>Z-BFM</vt:lpstr>
      <vt:lpstr>①技術体系</vt:lpstr>
      <vt:lpstr>②償却資産</vt:lpstr>
      <vt:lpstr>③労働時間</vt:lpstr>
      <vt:lpstr>④収入</vt:lpstr>
      <vt:lpstr>⑤支出</vt:lpstr>
      <vt:lpstr>凡例</vt:lpstr>
      <vt:lpstr>科目設定</vt:lpstr>
      <vt:lpstr>ｲﾒｰｼﾞ</vt:lpstr>
      <vt:lpstr>牛購入根基</vt:lpstr>
      <vt:lpstr>共済掛金算出</vt:lpstr>
      <vt:lpstr>簡易牛舎算出根基</vt:lpstr>
      <vt:lpstr>たちすずかWCS関係</vt:lpstr>
      <vt:lpstr>餌代根基</vt:lpstr>
      <vt:lpstr>'Z-BFM'!EI_back</vt:lpstr>
      <vt:lpstr>'Z-BFM'!EI_choice</vt:lpstr>
      <vt:lpstr>'Z-BFM'!EI_expense</vt:lpstr>
      <vt:lpstr>'Z-BFM'!EI_front</vt:lpstr>
      <vt:lpstr>'Z-BFM'!EI_landcoef</vt:lpstr>
      <vt:lpstr>'Z-BFM'!EI_landuse</vt:lpstr>
      <vt:lpstr>'Z-BFM'!EI_outline</vt:lpstr>
      <vt:lpstr>'Z-BFM'!EI_profit</vt:lpstr>
      <vt:lpstr>'Z-BFM'!EI_return</vt:lpstr>
      <vt:lpstr>Excel_BuiltIn__FilterDatabase_3</vt:lpstr>
      <vt:lpstr>①技術体系!Print_Area</vt:lpstr>
      <vt:lpstr>③労働時間!Print_Area</vt:lpstr>
      <vt:lpstr>④収入!Print_Area</vt:lpstr>
      <vt:lpstr>⑤支出!Print_Area</vt:lpstr>
      <vt:lpstr>ｲﾒｰｼﾞ!Print_Area</vt:lpstr>
      <vt:lpstr>科目設定!Print_Area</vt:lpstr>
      <vt:lpstr>作業体系表!Print_Area</vt:lpstr>
      <vt:lpstr>①技術体系!Print_Titles</vt:lpstr>
      <vt:lpstr>③労働時間!Print_Titles</vt:lpstr>
      <vt:lpstr>⑤支出!Print_Titles</vt:lpstr>
      <vt:lpstr>アメダスポイント名</vt:lpstr>
      <vt:lpstr>科目</vt:lpstr>
      <vt:lpstr>管理費用</vt:lpstr>
      <vt:lpstr>機械</vt:lpstr>
      <vt:lpstr>機械能力</vt:lpstr>
      <vt:lpstr>月旬</vt:lpstr>
      <vt:lpstr>固定区分</vt:lpstr>
      <vt:lpstr>雇用労働費</vt:lpstr>
      <vt:lpstr>作業名</vt:lpstr>
      <vt:lpstr>種苗費</vt:lpstr>
      <vt:lpstr>諸材料費</vt:lpstr>
      <vt:lpstr>植付本数</vt:lpstr>
      <vt:lpstr>粗収益</vt:lpstr>
      <vt:lpstr>想定面積</vt:lpstr>
      <vt:lpstr>単位</vt:lpstr>
      <vt:lpstr>賃借料・利用料</vt:lpstr>
      <vt:lpstr>土地改良・水利費</vt:lpstr>
      <vt:lpstr>動力・光熱費</vt:lpstr>
      <vt:lpstr>燃料種類</vt:lpstr>
      <vt:lpstr>農業薬剤費</vt:lpstr>
      <vt:lpstr>農具費</vt:lpstr>
      <vt:lpstr>販売費用</vt:lpstr>
      <vt:lpstr>肥料費</vt:lpstr>
      <vt:lpstr>本</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015209</cp:lastModifiedBy>
  <cp:lastPrinted>2018-02-24T06:36:53Z</cp:lastPrinted>
  <dcterms:created xsi:type="dcterms:W3CDTF">2008-10-27T01:58:08Z</dcterms:created>
  <dcterms:modified xsi:type="dcterms:W3CDTF">2018-04-11T05:50:01Z</dcterms:modified>
</cp:coreProperties>
</file>